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stestData" sheetId="1" r:id="rId3"/>
    <sheet state="visible" name="PostestData (ExactPA)" sheetId="2" r:id="rId4"/>
    <sheet state="visible" name="PostestData (ExactPB)" sheetId="3" r:id="rId5"/>
    <sheet state="visible" name="PostestData (ExactPC)" sheetId="4" r:id="rId6"/>
    <sheet state="visible" name="PostestData (ExactPD)" sheetId="5" r:id="rId7"/>
    <sheet state="visible" name="PostestData (Submission)" sheetId="6" r:id="rId8"/>
    <sheet state="visible" name="PostestData (ViewVPL)" sheetId="7" r:id="rId9"/>
    <sheet state="visible" name="PostestData (Loggedin)" sheetId="8" r:id="rId10"/>
    <sheet state="visible" name="PretestData" sheetId="9" r:id="rId11"/>
    <sheet state="visible" name="PretestData (Submission)" sheetId="10" r:id="rId12"/>
    <sheet state="visible" name="PretestData (ViewVPL)" sheetId="11" r:id="rId13"/>
    <sheet state="visible" name="PretestData (Loggedin)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SELECT u.id as `UserID`
  , (CASE oj1.name
      WHEN 'Intervention' THEN 'ont-gamified'
      ELSE 'non-gamified'
    END) AS `Type`
  , oj2.name AS `Group`
  , (CASE oj3.name
      WHEN 'Mestre' THEN 'Master'
      WHEN 'Aprendiz' THEN 'Apprentice'
      ELSE ''
    END) AS `CLRole`
  , (CASE oj4.name
      WHEN 'Competidor' THEN 'Yee Achiever'
      WHEN 'Socializador' THEN 'Yee Socializer'
      ELSE ''
    END) AS `PlayerRole`
FROM mdl_user u
INNER JOIN mdl_user_enrolments ue ON ue.userid = u.id
INNER JOIN mdl_enrol e ON e.id = ue.enrolid
INNER JOIN (SELECT gm1.userid, g1.name
            FROM mdl_groups_members gm1
            INNER JOIN mdl_groups g1 ON g1.id = gm1.groupid
            WHERE g1.name IN ('Control', 'Intervention')) oj1 ON oj1.userid = u.id
INNER JOIN (SELECT gm2.userid, g2.name
            FROM mdl_groups_members gm2
            INNER JOIN mdl_groups g2 ON g2.id = gm2.groupid
            INNER JOIN mdl_groupings_groups grg2 ON grg2.groupid = g2.id
            INNER JOIN mdl_groupings gr2 ON gr2.id = grg2.groupingid
            WHERE gr2.name IN ('Grouping')) oj2 ON oj2.userid = u.id
INNER JOIN (SELECT gm3.userid, g3.name
            FROM mdl_groups_members gm3
            INNER JOIN mdl_groups g3 ON g3.id = gm3.groupid
            INNER JOIN mdl_groupings_groups grg3 ON grg3.groupid = g3.id
            INNER JOIN mdl_groupings gr3 ON gr3.id = grg3.groupingid
            WHERE gr3.name IN ('CLRoles')) oj3 ON oj3.userid = u.id
LEFT JOIN (SELECT gm4.userid, g4.name
            FROM mdl_groups_members gm4
            INNER JOIN mdl_groups g4 ON g4.id = gm4.groupid
            INNER JOIN mdl_groupings_groups grg4 ON grg4.groupid = g4.id
            INNER JOIN mdl_groupings gr4 ON gr4.id = grg4.groupingid
            WHERE gr4.name IN ('PlayerRoles') AND g4.name IN ('Socializador', 'Competidor')) oj4 ON oj4.userid = u.id
WHERE e.courseid = 5</t>
      </text>
    </comment>
    <comment authorId="0" ref="F1">
      <text>
        <t xml:space="preserve">PA=443</t>
      </text>
    </comment>
    <comment authorId="0" ref="O1">
      <text>
        <t xml:space="preserve">PB=444</t>
      </text>
    </comment>
    <comment authorId="0" ref="X1">
      <text>
        <t xml:space="preserve">PC=442</t>
      </text>
    </comment>
    <comment authorId="0" ref="AG1">
      <text>
        <t xml:space="preserve">PD=445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SELECT m.id as `activity id`, s.*
FROM mdl_course_modules m
INNER JOIN mdl_vpl v ON v.id = m.instance
INNER JOIN mdl_vpl_submissions s ON s.vpl = v.id
WHERE m.id IN (443, 444,  442, 445)
AND s.datesubmitted &gt; 1480114800
AND s.comments NOT LIKE 'Submitted by Admin User%'
ORDER BY m.id, s.userid, s.datesubmitted ASC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SELECT l.id, l.contextinstanceid as `activity id`, l.userid, l.timecreated
FROM mdl_logstore_standard_log l
WHERE l.component='mod_vpl' AND l.action='viewed' AND l.courseid=5
AND l.contextinstanceid IN (443, 444,  442, 445)
AND l.timecreated &gt; 1480114800
ORDER BY l.contextinstanceid, l.userid  ASC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SELECT l.id, l.userid, l.timecreated
FROM mdl_logstore_standard_log l
INNER JOIN mdl_user_enrolments ue ON ue.userid = l.userid
INNER JOIN mdl_enrol e ON e.id = ue.enrolid
WHERE e.courseid = 5 AND l.action = 'loggedin' AND l.timecreated &gt; 1480114800
ORDER BY `id`  ASC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SELECT u.id as `UserID`
  , (CASE oj1.name
      WHEN 'Intervention' THEN 'ont-gamified'
      ELSE 'non-gamified'
    END) AS `Type`
  , oj2.name AS `Group`
  , (CASE oj3.name
      WHEN 'Mestre' THEN 'Master'
      WHEN 'Aprendiz' THEN 'Apprentice'
      ELSE ''
    END) AS `CLRole`
  , (CASE oj4.name
      WHEN 'Competidor' THEN 'Yee Achiever'
      WHEN 'Socializador' THEN 'Yee Socializer'
      ELSE ''
    END) AS `PlayerRole`
FROM mdl_user u
INNER JOIN mdl_user_enrolments ue ON ue.userid = u.id
INNER JOIN mdl_enrol e ON e.id = ue.enrolid
INNER JOIN (SELECT gm1.userid, g1.name
            FROM mdl_groups_members gm1
            INNER JOIN mdl_groups g1 ON g1.id = gm1.groupid
            WHERE g1.name IN ('Control', 'Intervention')) oj1 ON oj1.userid = u.id
INNER JOIN (SELECT gm2.userid, g2.name
            FROM mdl_groups_members gm2
            INNER JOIN mdl_groups g2 ON g2.id = gm2.groupid
            INNER JOIN mdl_groupings_groups grg2 ON grg2.groupid = g2.id
            INNER JOIN mdl_groupings gr2 ON gr2.id = grg2.groupingid
            WHERE gr2.name IN ('Grouping')) oj2 ON oj2.userid = u.id
INNER JOIN (SELECT gm3.userid, g3.name
            FROM mdl_groups_members gm3
            INNER JOIN mdl_groups g3 ON g3.id = gm3.groupid
            INNER JOIN mdl_groupings_groups grg3 ON grg3.groupid = g3.id
            INNER JOIN mdl_groupings gr3 ON gr3.id = grg3.groupingid
            WHERE gr3.name IN ('CLRoles')) oj3 ON oj3.userid = u.id
LEFT JOIN (SELECT gm4.userid, g4.name
            FROM mdl_groups_members gm4
            INNER JOIN mdl_groups g4 ON g4.id = gm4.groupid
            INNER JOIN mdl_groupings_groups grg4 ON grg4.groupid = g4.id
            INNER JOIN mdl_groupings gr4 ON gr4.id = grg4.groupingid
            WHERE gr4.name IN ('PlayerRoles') AND g4.name IN ('Socializador', 'Competidor')) oj4 ON oj4.userid = u.id
WHERE e.courseid = 5</t>
      </text>
    </comment>
    <comment authorId="0" ref="F1">
      <text>
        <t xml:space="preserve">P1=401
time of login related to the first submission</t>
      </text>
    </comment>
    <comment authorId="0" ref="I1">
      <text>
        <t xml:space="preserve">approx. time (in seconds) =
last_evaluation - first_view_in relation to the first submission(vpl)</t>
      </text>
    </comment>
    <comment authorId="0" ref="N1">
      <text>
        <t xml:space="preserve">P2=403</t>
      </text>
    </comment>
    <comment authorId="0" ref="V1">
      <text>
        <t xml:space="preserve">P3=404</t>
      </text>
    </comment>
    <comment authorId="0" ref="AD1">
      <text>
        <t xml:space="preserve">P4=405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SELECT m.id as `activity id`, s.*
FROM mdl_course_modules m
INNER JOIN mdl_vpl v ON v.id = m.instance
INNER JOIN mdl_vpl_submissions s ON s.vpl = v.id
WHERE m.id IN (401, 403, 404, 405)
AND s.datesubmitted &lt; 1479510000
AND s.comments NOT LIKE 'Submitted by Admin User%'
ORDER BY m.id, s.userid, s.datesubmitted ASC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SELECT l.id, l.contextinstanceid as `activity id`, l.userid, l.timecreated
FROM mdl_logstore_standard_log l
WHERE l.component='mod_vpl' AND l.action='viewed' AND l.courseid=5
AND l.contextinstanceid IN (401, 403, 404, 405)
AND l.timecreated &lt; 1479510000
ORDER BY l.contextinstanceid, l.userid  ASC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SELECT l.id, l.userid, l.timecreated
FROM mdl_logstore_standard_log l
INNER JOIN mdl_user_enrolments ue ON ue.userid = l.userid
INNER JOIN mdl_enrol e ON e.id = ue.enrolid
WHERE e.courseid = 5 AND l.action = 'loggedin' AND l.timecreated &lt; 1479510000
ORDER BY `id`  ASC</t>
      </text>
    </comment>
  </commentList>
</comments>
</file>

<file path=xl/sharedStrings.xml><?xml version="1.0" encoding="utf-8"?>
<sst xmlns="http://schemas.openxmlformats.org/spreadsheetml/2006/main" count="1037" uniqueCount="109">
  <si>
    <t>UserID</t>
  </si>
  <si>
    <t>ActivityID</t>
  </si>
  <si>
    <t>StartTime</t>
  </si>
  <si>
    <t>SolvedTime</t>
  </si>
  <si>
    <t>SpendTime</t>
  </si>
  <si>
    <t>Type</t>
  </si>
  <si>
    <t>CLGroup</t>
  </si>
  <si>
    <t>CLRole</t>
  </si>
  <si>
    <t>PlayerRole</t>
  </si>
  <si>
    <t>logintimePA</t>
  </si>
  <si>
    <t>firstsubmtimePA</t>
  </si>
  <si>
    <t>viewtimePA</t>
  </si>
  <si>
    <t>apxtPA</t>
  </si>
  <si>
    <t>exatPA</t>
  </si>
  <si>
    <t>nsubmPA</t>
  </si>
  <si>
    <t>nevalPA</t>
  </si>
  <si>
    <t>corrPA</t>
  </si>
  <si>
    <t>nviewPA</t>
  </si>
  <si>
    <t>logintimePB</t>
  </si>
  <si>
    <t>firstsubmtimePB</t>
  </si>
  <si>
    <t>viewtimePB</t>
  </si>
  <si>
    <t>apxtPB</t>
  </si>
  <si>
    <t>exatPB</t>
  </si>
  <si>
    <t>nsubmPB</t>
  </si>
  <si>
    <t>nevalPB</t>
  </si>
  <si>
    <t>corrPB</t>
  </si>
  <si>
    <t>nviewPB</t>
  </si>
  <si>
    <t>logintimePC</t>
  </si>
  <si>
    <t>firstsubmtimePC</t>
  </si>
  <si>
    <t>viewtimePC</t>
  </si>
  <si>
    <t>apxtPC</t>
  </si>
  <si>
    <t>exatPC</t>
  </si>
  <si>
    <t>nsubmPC</t>
  </si>
  <si>
    <t>nevalPC</t>
  </si>
  <si>
    <t>corrPC</t>
  </si>
  <si>
    <t>nviewPC</t>
  </si>
  <si>
    <t>logintimePD</t>
  </si>
  <si>
    <t>firstsubmtimePD</t>
  </si>
  <si>
    <t>viewtimePD</t>
  </si>
  <si>
    <t>apxtPD</t>
  </si>
  <si>
    <t>exatPD</t>
  </si>
  <si>
    <t>nsubmPD</t>
  </si>
  <si>
    <t>nevalPD</t>
  </si>
  <si>
    <t>corrPD</t>
  </si>
  <si>
    <t>nviewPD</t>
  </si>
  <si>
    <t>ont-gamified</t>
  </si>
  <si>
    <t>Grupo Zeus</t>
  </si>
  <si>
    <t>Master</t>
  </si>
  <si>
    <t>Yee Achiever</t>
  </si>
  <si>
    <t>Activity ID</t>
  </si>
  <si>
    <t>Submission ID</t>
  </si>
  <si>
    <t>VPL</t>
  </si>
  <si>
    <t>User ID</t>
  </si>
  <si>
    <t>datesubmitted</t>
  </si>
  <si>
    <t>ID</t>
  </si>
  <si>
    <t>comments</t>
  </si>
  <si>
    <t>grader</t>
  </si>
  <si>
    <t>dategraded</t>
  </si>
  <si>
    <t>grade</t>
  </si>
  <si>
    <t>mailed</t>
  </si>
  <si>
    <t>highlight</t>
  </si>
  <si>
    <t>NULL</t>
  </si>
  <si>
    <t>Time Created</t>
  </si>
  <si>
    <t>Apprentice</t>
  </si>
  <si>
    <t>lucas quirino do prado
 9864654</t>
  </si>
  <si>
    <t>timecreated</t>
  </si>
  <si>
    <t>lucas quirino do prado</t>
  </si>
  <si>
    <t>logintimeP1</t>
  </si>
  <si>
    <t>firstsubmtimeP1</t>
  </si>
  <si>
    <t>viewtimeP1</t>
  </si>
  <si>
    <t>apxtP1</t>
  </si>
  <si>
    <t>nsubmP1</t>
  </si>
  <si>
    <t>nevalP1</t>
  </si>
  <si>
    <t>corrP1</t>
  </si>
  <si>
    <t>nviewP1</t>
  </si>
  <si>
    <t>logintimeP2</t>
  </si>
  <si>
    <t>firstsubmtimeP2</t>
  </si>
  <si>
    <t>viewtimeP2</t>
  </si>
  <si>
    <t>apxtP2</t>
  </si>
  <si>
    <t>nsubmP2</t>
  </si>
  <si>
    <t>nevalP2</t>
  </si>
  <si>
    <t>corrP2</t>
  </si>
  <si>
    <t>nviewP2</t>
  </si>
  <si>
    <t>logintimeP3</t>
  </si>
  <si>
    <t>firstsubmtimeP3</t>
  </si>
  <si>
    <t>viewtimeP3</t>
  </si>
  <si>
    <t>apxtP3</t>
  </si>
  <si>
    <t>nsubmP3</t>
  </si>
  <si>
    <t>nevalP3</t>
  </si>
  <si>
    <t>corrP3</t>
  </si>
  <si>
    <t>nviewP3</t>
  </si>
  <si>
    <t>logintimeP4</t>
  </si>
  <si>
    <t>firstsubmtimeP4</t>
  </si>
  <si>
    <t>viewtimeP4</t>
  </si>
  <si>
    <t>apxtP4</t>
  </si>
  <si>
    <t>nsubmP4</t>
  </si>
  <si>
    <t>nevalP4</t>
  </si>
  <si>
    <t>corrP4</t>
  </si>
  <si>
    <t>nviewP4</t>
  </si>
  <si>
    <t>Grupo Apolo</t>
  </si>
  <si>
    <t>Yee Socializer</t>
  </si>
  <si>
    <t>Grupo Hades</t>
  </si>
  <si>
    <t>Grupo Morfeu</t>
  </si>
  <si>
    <t>Grupo Hélio</t>
  </si>
  <si>
    <t>non-gamified</t>
  </si>
  <si>
    <t>GroupA</t>
  </si>
  <si>
    <t>GroupB</t>
  </si>
  <si>
    <t>GroupC</t>
  </si>
  <si>
    <t>GroupD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</si>
</sst>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0" numFmtId="0" xfId="0" applyAlignment="1" applyFill="1" applyFont="1">
      <alignment horizontal="left" readingOrder="0"/>
    </xf>
    <xf borderId="0" fillId="2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4" numFmtId="0" xfId="0" applyAlignment="1" applyFont="1">
      <alignment horizontal="left" readingOrder="0"/>
    </xf>
    <xf borderId="0" fillId="2" fontId="0" numFmtId="0" xfId="0" applyFont="1"/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2" width="12.57"/>
    <col customWidth="1" min="3" max="5" width="10.0"/>
    <col customWidth="1" min="6" max="6" width="11.43"/>
    <col customWidth="1" min="7" max="7" width="14.57"/>
    <col customWidth="1" min="8" max="8" width="11.43"/>
    <col customWidth="1" min="9" max="10" width="7.0"/>
    <col customWidth="1" min="11" max="11" width="9.0"/>
    <col customWidth="1" min="12" max="12" width="7.86"/>
    <col customWidth="1" min="13" max="13" width="6.71"/>
    <col customWidth="1" min="14" max="14" width="8.86"/>
    <col customWidth="1" min="15" max="15" width="11.0"/>
    <col customWidth="1" min="16" max="16" width="14.71"/>
    <col customWidth="1" min="17" max="17" width="10.86"/>
    <col customWidth="1" min="18" max="19" width="8.43"/>
    <col customWidth="1" min="20" max="20" width="9.71"/>
    <col customWidth="1" min="21" max="21" width="8.57"/>
    <col customWidth="1" min="22" max="22" width="7.29"/>
    <col customWidth="1" min="23" max="23" width="8.86"/>
    <col customWidth="1" min="24" max="24" width="11.0"/>
    <col customWidth="1" min="25" max="25" width="14.71"/>
    <col customWidth="1" min="26" max="26" width="10.86"/>
    <col customWidth="1" min="27" max="28" width="8.43"/>
    <col customWidth="1" min="29" max="29" width="9.86"/>
    <col customWidth="1" min="30" max="30" width="8.71"/>
    <col customWidth="1" min="31" max="31" width="7.43"/>
    <col customWidth="1" min="32" max="32" width="8.71"/>
    <col customWidth="1" min="33" max="33" width="11.14"/>
    <col customWidth="1" min="34" max="34" width="14.71"/>
    <col customWidth="1" min="35" max="35" width="11.0"/>
    <col customWidth="1" min="36" max="38" width="9.86"/>
    <col customWidth="1" min="39" max="39" width="8.71"/>
    <col customWidth="1" min="40" max="40" width="7.43"/>
    <col customWidth="1" min="41" max="41" width="10.43"/>
  </cols>
  <sheetData>
    <row r="1">
      <c r="A1" s="2" t="s">
        <v>0</v>
      </c>
      <c r="B1" s="3" t="s">
        <v>5</v>
      </c>
      <c r="C1" s="4" t="s">
        <v>6</v>
      </c>
      <c r="D1" s="3" t="s">
        <v>7</v>
      </c>
      <c r="E1" s="3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5" t="s">
        <v>39</v>
      </c>
      <c r="AK1" s="2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/>
      <c r="AQ1" s="6"/>
      <c r="AR1" s="6"/>
      <c r="AS1" s="5"/>
      <c r="AT1" s="5"/>
      <c r="AU1" s="5"/>
      <c r="AV1" s="5"/>
      <c r="AW1" s="6"/>
      <c r="AX1" s="6"/>
      <c r="AY1" s="6"/>
    </row>
    <row r="2">
      <c r="A2" s="7">
        <v>10119.0</v>
      </c>
      <c r="B2" s="3" t="s">
        <v>45</v>
      </c>
      <c r="C2" s="3" t="s">
        <v>46</v>
      </c>
      <c r="D2" s="3" t="s">
        <v>47</v>
      </c>
      <c r="E2" s="3" t="s">
        <v>48</v>
      </c>
      <c r="F2" s="8">
        <f>IFERROR(__xludf.DUMMYFUNCTION("IFERROR(MAX(FILTER('PostestData (Loggedin)'!C:C,'PostestData (Loggedin)'!B:B=A2,'PostestData (Loggedin)'!C:C&lt;G2)),0)"),"0")</f>
        <v>0</v>
      </c>
      <c r="G2" s="8">
        <f>IFERROR(__xludf.DUMMYFUNCTION("IFERROR(MIN(FILTER({'PostestData (Submission)'!E:E}, 'PostestData (Submission)'!D:D=A2, 'PostestData (Submission)'!A:A=443, 'PostestData (Submission)'!E:E&gt;0)),0)"),"0")</f>
        <v>0</v>
      </c>
      <c r="H2" s="8">
        <f>IFERROR(__xludf.DUMMYFUNCTION("IFERROR(MIN(FILTER('PostestData (ViewVPL)'!D:D, 'PostestData (ViewVPL)'!C:C=A2, 'PostestData (ViewVPL)'!B:B=443,'PostestData (ViewVPL)'!D:D&gt;F2,'PostestData (ViewVPL)'!D:D&lt;G2)),0)"),"0")</f>
        <v>0</v>
      </c>
      <c r="I2" s="8">
        <f>IFERROR(__xludf.DUMMYFUNCTION("IFERROR(MAX(FILTER({'PostestData (Submission)'!E:E}, 'PostestData (Submission)'!D:D=A2, 'PostestData (Submission)'!A:A=443))-H2, 0)"),"0")</f>
        <v>0</v>
      </c>
      <c r="J2" s="8">
        <f>IFERROR(__xludf.DUMMYFUNCTION("IFERROR(FILTER({'PostestData (ExactPA)'!E:E}, 'PostestData (ExactPA)'!A:A=A2), 0)"),"48")</f>
        <v>48</v>
      </c>
      <c r="K2" s="8">
        <f>COUNTIFS('PostestData (Submission)'!D:D,"="&amp;A2,'PostestData (Submission)'!A:A,"=443",'PostestData (Submission)'!E:E,"&gt;0")</f>
        <v>0</v>
      </c>
      <c r="L2" s="8">
        <f>COUNTIFS('PostestData (Submission)'!D:D,"="&amp;A2,'PostestData (Submission)'!A:A,"=443",'PostestData (Submission)'!H:H,"&gt;0")</f>
        <v>0</v>
      </c>
      <c r="M2" s="8">
        <f>IFERROR(__xludf.DUMMYFUNCTION("IFERROR(MAX(FILTER('PostestData (Submission)'!I:I,'PostestData (Submission)'!D:D=A2,'PostestData (Submission)'!A:A=443,'PostestData (Submission)'!H:H&gt;0)),0)"),"0")</f>
        <v>0</v>
      </c>
      <c r="N2" s="8">
        <f>COUNTIFS('PostestData (ViewVPL)'!C:C,"="&amp;A2,'PostestData (ViewVPL)'!B:B,"=443")</f>
        <v>1</v>
      </c>
      <c r="O2" s="8">
        <f>IFERROR(__xludf.DUMMYFUNCTION("IFERROR(MAX(FILTER('PostestData (Loggedin)'!C:C,'PostestData (Loggedin)'!B:B=A2,'PostestData (Loggedin)'!C:C&lt;P2)),0)"),"0")</f>
        <v>0</v>
      </c>
      <c r="P2" s="8">
        <f>IFERROR(__xludf.DUMMYFUNCTION("IFERROR(MIN(FILTER({'PostestData (Submission)'!E:E}, 'PostestData (Submission)'!D:D=A2, 'PostestData (Submission)'!A:A=444, 'PostestData (Submission)'!E:E&gt;0)),0)"),"0")</f>
        <v>0</v>
      </c>
      <c r="Q2" s="8">
        <f>IFERROR(__xludf.DUMMYFUNCTION("IFERROR(MIN(FILTER('PostestData (ViewVPL)'!D:D, 'PostestData (ViewVPL)'!C:C=A2, 'PostestData (ViewVPL)'!B:B=444,'PostestData (ViewVPL)'!D:D&gt;O2,'PostestData (ViewVPL)'!D:D&lt;P2)),0)"),"0")</f>
        <v>0</v>
      </c>
      <c r="R2" s="8">
        <f>IFERROR(__xludf.DUMMYFUNCTION("IFERROR(MAX(FILTER({'PostestData (Submission)'!E:E}, 'PostestData (Submission)'!D:D=A2, 'PostestData (Submission)'!A:A=444))-Q2, 0)"),"0")</f>
        <v>0</v>
      </c>
      <c r="S2" s="8">
        <f>IFERROR(__xludf.DUMMYFUNCTION("IFERROR(FILTER({'PostestData (ExactPB)'!E:E}, 'PostestData (ExactPB)'!A:A=A2), 0)"),"180")</f>
        <v>180</v>
      </c>
      <c r="T2" s="8">
        <f>COUNTIFS('PostestData (Submission)'!D:D,"="&amp;A2,'PostestData (Submission)'!A:A,"=444",'PostestData (Submission)'!E:E,"&gt;0")</f>
        <v>0</v>
      </c>
      <c r="U2" s="8">
        <f>COUNTIFS('PostestData (Submission)'!D:D,"="&amp;A2,'PostestData (Submission)'!A:A,"=444",'PostestData (Submission)'!H:H,"&gt;0")</f>
        <v>0</v>
      </c>
      <c r="V2" s="8">
        <f>IFERROR(__xludf.DUMMYFUNCTION("IFERROR(MAX(FILTER('PostestData (Submission)'!I:I,'PostestData (Submission)'!D:D=A2,'PostestData (Submission)'!A:A=444,'PostestData (Submission)'!H:H&gt;0)),0)"),"0")</f>
        <v>0</v>
      </c>
      <c r="W2" s="8">
        <f>COUNTIFS('PostestData (ViewVPL)'!C:C,"="&amp;A2,'PostestData (ViewVPL)'!B:B,"=444")</f>
        <v>1</v>
      </c>
      <c r="X2" s="8">
        <f>IFERROR(__xludf.DUMMYFUNCTION("IFERROR(MAX(FILTER('PostestData (Loggedin)'!C:C,'PostestData (Loggedin)'!B:B=A2,'PostestData (Loggedin)'!C:C&lt;Y2)),0)"),"0")</f>
        <v>0</v>
      </c>
      <c r="Y2" s="8">
        <f>IFERROR(__xludf.DUMMYFUNCTION("IFERROR(MIN(FILTER({'PostestData (Submission)'!E:E}, 'PostestData (Submission)'!D:D=A2, 'PostestData (Submission)'!A:A=442, 'PostestData (Submission)'!E:E&gt;0)),0)"),"0")</f>
        <v>0</v>
      </c>
      <c r="Z2" s="8">
        <f>IFERROR(__xludf.DUMMYFUNCTION("IFERROR(MIN(FILTER('PostestData (ViewVPL)'!D:D, 'PostestData (ViewVPL)'!C:C=A2, 'PostestData (ViewVPL)'!B:B=442,'PostestData (ViewVPL)'!D:D&gt;X2,'PostestData (ViewVPL)'!D:D&lt;Y2)),0)"),"0")</f>
        <v>0</v>
      </c>
      <c r="AA2" s="8">
        <f>IFERROR(__xludf.DUMMYFUNCTION("IFERROR(MAX(FILTER({'PostestData (Submission)'!E:E}, 'PostestData (Submission)'!D:D=A2, 'PostestData (Submission)'!A:A=442))-Z2, 0)"),"0")</f>
        <v>0</v>
      </c>
      <c r="AB2" s="8">
        <f>IFERROR(__xludf.DUMMYFUNCTION("IFERROR(FILTER({'PostestData (ExactPC)'!E:E}, 'PostestData (ExactPC)'!A:A=A2), 0)"),"113")</f>
        <v>113</v>
      </c>
      <c r="AC2" s="8">
        <f>COUNTIFS('PostestData (Submission)'!D:D,"="&amp;A2,'PostestData (Submission)'!A:A,"=442",'PostestData (Submission)'!E:E,"&gt;0")</f>
        <v>0</v>
      </c>
      <c r="AD2" s="8">
        <f>COUNTIFS('PostestData (Submission)'!D:D,"="&amp;A2,'PostestData (Submission)'!A:A,"=442",'PostestData (Submission)'!H:H,"&gt;0")</f>
        <v>0</v>
      </c>
      <c r="AE2" s="8">
        <f>IFERROR(__xludf.DUMMYFUNCTION("IFERROR(MAX(FILTER('PostestData (Submission)'!I:I,'PostestData (Submission)'!D:D=A2,'PostestData (Submission)'!A:A=442,'PostestData (Submission)'!H:H&gt;0)),0)"),"0")</f>
        <v>0</v>
      </c>
      <c r="AF2" s="8">
        <f>COUNTIFS('PostestData (ViewVPL)'!C:C,"="&amp;A2,'PostestData (ViewVPL)'!B:B,"=442")</f>
        <v>0</v>
      </c>
      <c r="AG2" s="8">
        <f>IFERROR(__xludf.DUMMYFUNCTION("IFERROR(MAX(FILTER('PostestData (Loggedin)'!C:C,'PostestData (Loggedin)'!B:B=A2,'PostestData (Loggedin)'!C:C&lt;AH2)),0)"),"0")</f>
        <v>0</v>
      </c>
      <c r="AH2" s="8">
        <f>IFERROR(__xludf.DUMMYFUNCTION("IFERROR(MIN(FILTER({'PostestData (Submission)'!E:E}, 'PostestData (Submission)'!D:D=A2, 'PostestData (Submission)'!A:A=445, 'PostestData (Submission)'!E:E&gt;0)),0)"),"0")</f>
        <v>0</v>
      </c>
      <c r="AI2" s="8">
        <f>IFERROR(__xludf.DUMMYFUNCTION("IFERROR(MIN(FILTER('PostestData (ViewVPL)'!D:D, 'PostestData (ViewVPL)'!C:C=A2, 'PostestData (ViewVPL)'!B:B=445,'PostestData (ViewVPL)'!D:D&gt;AG2,'PostestData (ViewVPL)'!D:D&lt;AH2)),0)"),"0")</f>
        <v>0</v>
      </c>
      <c r="AJ2" s="8">
        <f>IFERROR(__xludf.DUMMYFUNCTION("IFERROR(MAX(FILTER({'PostestData (Submission)'!E:E}, 'PostestData (Submission)'!D:D=A2, 'PostestData (Submission)'!A:A=445))-AI2, 0)"),"0")</f>
        <v>0</v>
      </c>
      <c r="AK2" s="8">
        <f>IFERROR(__xludf.DUMMYFUNCTION("IFERROR(FILTER({'PostestData (ExactPD)'!E:E}, 'PostestData (ExactPD)'!A:A=A2), 0)"),"38")</f>
        <v>38</v>
      </c>
      <c r="AL2" s="8">
        <f>COUNTIFS('PostestData (Submission)'!D:D,"="&amp;A2,'PostestData (Submission)'!A:A,"=445",'PostestData (Submission)'!E:E,"&gt;0")</f>
        <v>0</v>
      </c>
      <c r="AM2" s="8">
        <f>COUNTIFS('PostestData (Submission)'!D:D,"="&amp;A2,'PostestData (Submission)'!A:A,"=445",'PostestData (Submission)'!H:H,"&gt;0")</f>
        <v>0</v>
      </c>
      <c r="AN2" s="8">
        <f>IFERROR(__xludf.DUMMYFUNCTION("IFERROR(MAX(FILTER('PostestData (Submission)'!I:I,'PostestData (Submission)'!D:D=A2,'PostestData (Submission)'!A:A=445,'PostestData (Submission)'!H:H&gt;0)),0)"),"0")</f>
        <v>0</v>
      </c>
      <c r="AO2" s="8">
        <f>COUNTIFS('PostestData (ViewVPL)'!C:C,"="&amp;A2,'PostestData (ViewVPL)'!B:B,"=445")</f>
        <v>0</v>
      </c>
      <c r="AP2" s="8"/>
      <c r="AQ2" s="11"/>
      <c r="AR2" s="11"/>
      <c r="AS2" s="8"/>
      <c r="AT2" s="8"/>
      <c r="AU2" s="8"/>
      <c r="AV2" s="8"/>
      <c r="AW2" s="11"/>
      <c r="AX2" s="11"/>
      <c r="AY2" s="11"/>
    </row>
    <row r="3">
      <c r="A3" s="7">
        <v>10139.0</v>
      </c>
      <c r="B3" s="3" t="s">
        <v>45</v>
      </c>
      <c r="C3" s="3" t="s">
        <v>46</v>
      </c>
      <c r="D3" s="3" t="s">
        <v>63</v>
      </c>
      <c r="E3" s="3" t="s">
        <v>48</v>
      </c>
      <c r="F3" s="8">
        <f>IFERROR(__xludf.DUMMYFUNCTION("IFERROR(MAX(FILTER('PostestData (Loggedin)'!C:C,'PostestData (Loggedin)'!B:B=A3,'PostestData (Loggedin)'!C:C&lt;G3)),0)"),"1480116171")</f>
        <v>1480116171</v>
      </c>
      <c r="G3" s="8">
        <f>IFERROR(__xludf.DUMMYFUNCTION("IFERROR(MIN(FILTER({'PostestData (Submission)'!H:H}, 'PostestData (Submission)'!D:D=A3, 'PostestData (Submission)'!A:A=443, 'PostestData (Submission)'!H:H&gt;0)),0)"),"1480118281")</f>
        <v>1480118281</v>
      </c>
      <c r="H3" s="8">
        <f>IFERROR(__xludf.DUMMYFUNCTION("IFERROR(MIN(FILTER('PostestData (ViewVPL)'!D:D, 'PostestData (ViewVPL)'!C:C=A3, 'PostestData (ViewVPL)'!B:B=443,'PostestData (ViewVPL)'!D:D&gt;F3,'PostestData (ViewVPL)'!D:D&lt;G3)),0)"),"1480116540")</f>
        <v>1480116540</v>
      </c>
      <c r="I3" s="8">
        <f>IFERROR(__xludf.DUMMYFUNCTION("IFERROR(MAX(FILTER({'PostestData (Submission)'!E:E}, 'PostestData (Submission)'!D:D=A3, 'PostestData (Submission)'!A:A=443))-H3, 0)"),"1733")</f>
        <v>1733</v>
      </c>
      <c r="J3" s="8">
        <f>IFERROR(__xludf.DUMMYFUNCTION("IFERROR(FILTER({'PostestData (ExactPA)'!E:E}, 'PostestData (ExactPA)'!A:A=A3), 0)"),"24")</f>
        <v>24</v>
      </c>
      <c r="K3" s="8">
        <f>COUNTIFS('PostestData (Submission)'!D:D,"="&amp;A3,'PostestData (Submission)'!A:A,"=443",'PostestData (Submission)'!E:E,"&gt;0")</f>
        <v>1</v>
      </c>
      <c r="L3" s="8">
        <f>COUNTIFS('PostestData (Submission)'!D:D,"="&amp;A3,'PostestData (Submission)'!A:A,"=443",'PostestData (Submission)'!H:H,"&gt;0")</f>
        <v>1</v>
      </c>
      <c r="M3" s="8">
        <f>IFERROR(__xludf.DUMMYFUNCTION("IFERROR(MAX(FILTER('PostestData (Submission)'!I:I,'PostestData (Submission)'!D:D=A3,'PostestData (Submission)'!A:A=443,'PostestData (Submission)'!H:H&gt;0)),0)"),"10")</f>
        <v>10</v>
      </c>
      <c r="N3" s="8">
        <f>COUNTIFS('PostestData (ViewVPL)'!C:C,"="&amp;A3,'PostestData (ViewVPL)'!B:B,"=443")</f>
        <v>3</v>
      </c>
      <c r="O3" s="8">
        <f>IFERROR(__xludf.DUMMYFUNCTION("IFERROR(MAX(FILTER('PostestData (Loggedin)'!C:C,'PostestData (Loggedin)'!B:B=A3,'PostestData (Loggedin)'!C:C&lt;P3)),0)"),"1480116171")</f>
        <v>1480116171</v>
      </c>
      <c r="P3" s="8">
        <f>IFERROR(__xludf.DUMMYFUNCTION("IFERROR(MIN(FILTER({'PostestData (Submission)'!E:E}, 'PostestData (Submission)'!D:D=A3, 'PostestData (Submission)'!A:A=444, 'PostestData (Submission)'!E:E&gt;0)),0)"),"1480118995")</f>
        <v>1480118995</v>
      </c>
      <c r="Q3" s="8">
        <f>IFERROR(__xludf.DUMMYFUNCTION("IFERROR(MIN(FILTER('PostestData (ViewVPL)'!D:D, 'PostestData (ViewVPL)'!C:C=A3, 'PostestData (ViewVPL)'!B:B=444,'PostestData (ViewVPL)'!D:D&gt;O3,'PostestData (ViewVPL)'!D:D&lt;P3)),0)"),"1480118304")</f>
        <v>1480118304</v>
      </c>
      <c r="R3" s="8">
        <f>IFERROR(__xludf.DUMMYFUNCTION("IFERROR(MAX(FILTER({'PostestData (Submission)'!E:E}, 'PostestData (Submission)'!D:D=A3, 'PostestData (Submission)'!A:A=444))-Q3, 0)"),"691")</f>
        <v>691</v>
      </c>
      <c r="S3" s="8">
        <f>IFERROR(__xludf.DUMMYFUNCTION("IFERROR(FILTER({'PostestData (ExactPB)'!E:E}, 'PostestData (ExactPB)'!A:A=A3), 0)"),"0")</f>
        <v>0</v>
      </c>
      <c r="T3" s="8">
        <f>COUNTIFS('PostestData (Submission)'!D:D,"="&amp;A3,'PostestData (Submission)'!A:A,"=444",'PostestData (Submission)'!E:E,"&gt;0")</f>
        <v>1</v>
      </c>
      <c r="U3" s="8">
        <f>COUNTIFS('PostestData (Submission)'!D:D,"="&amp;A3,'PostestData (Submission)'!A:A,"=444",'PostestData (Submission)'!H:H,"&gt;0")</f>
        <v>1</v>
      </c>
      <c r="V3" s="8">
        <f>IFERROR(__xludf.DUMMYFUNCTION("IFERROR(MAX(FILTER('PostestData (Submission)'!I:I,'PostestData (Submission)'!D:D=A3,'PostestData (Submission)'!A:A=444,'PostestData (Submission)'!H:H&gt;0)),0)"),"10")</f>
        <v>10</v>
      </c>
      <c r="W3" s="8">
        <f>COUNTIFS('PostestData (ViewVPL)'!C:C,"="&amp;A3,'PostestData (ViewVPL)'!B:B,"=444")</f>
        <v>3</v>
      </c>
      <c r="X3" s="8">
        <f>IFERROR(__xludf.DUMMYFUNCTION("IFERROR(MAX(FILTER('PostestData (Loggedin)'!C:C,'PostestData (Loggedin)'!B:B=A3,'PostestData (Loggedin)'!C:C&lt;Y3)),0)"),"0")</f>
        <v>0</v>
      </c>
      <c r="Y3" s="8">
        <f>IFERROR(__xludf.DUMMYFUNCTION("IFERROR(MIN(FILTER({'PostestData (Submission)'!E:E}, 'PostestData (Submission)'!D:D=A3, 'PostestData (Submission)'!A:A=442, 'PostestData (Submission)'!E:E&gt;0)),0)"),"0")</f>
        <v>0</v>
      </c>
      <c r="Z3" s="8">
        <f>IFERROR(__xludf.DUMMYFUNCTION("IFERROR(MIN(FILTER('PostestData (ViewVPL)'!D:D, 'PostestData (ViewVPL)'!C:C=A3, 'PostestData (ViewVPL)'!B:B=442,'PostestData (ViewVPL)'!D:D&gt;X3,'PostestData (ViewVPL)'!D:D&lt;Y3)),0)"),"0")</f>
        <v>0</v>
      </c>
      <c r="AA3" s="8">
        <f>IFERROR(__xludf.DUMMYFUNCTION("IFERROR(MAX(FILTER({'PostestData (Submission)'!E:E}, 'PostestData (Submission)'!D:D=A3, 'PostestData (Submission)'!A:A=442))-Z3, 0)"),"0")</f>
        <v>0</v>
      </c>
      <c r="AB3" s="8">
        <f>IFERROR(__xludf.DUMMYFUNCTION("IFERROR(FILTER({'PostestData (ExactPC)'!E:E}, 'PostestData (ExactPC)'!A:A=A3), 0)"),"0")</f>
        <v>0</v>
      </c>
      <c r="AC3" s="8">
        <f>COUNTIFS('PostestData (Submission)'!D:D,"="&amp;A3,'PostestData (Submission)'!A:A,"=442",'PostestData (Submission)'!E:E,"&gt;0")</f>
        <v>0</v>
      </c>
      <c r="AD3" s="8">
        <f>COUNTIFS('PostestData (Submission)'!D:D,"="&amp;A3,'PostestData (Submission)'!A:A,"=442",'PostestData (Submission)'!H:H,"&gt;0")</f>
        <v>0</v>
      </c>
      <c r="AE3" s="8">
        <f>IFERROR(__xludf.DUMMYFUNCTION("IFERROR(MAX(FILTER('PostestData (Submission)'!I:I,'PostestData (Submission)'!D:D=A3,'PostestData (Submission)'!A:A=442,'PostestData (Submission)'!H:H&gt;0)),0)"),"0")</f>
        <v>0</v>
      </c>
      <c r="AF3" s="8">
        <f>COUNTIFS('PostestData (ViewVPL)'!C:C,"="&amp;A3,'PostestData (ViewVPL)'!B:B,"=442")</f>
        <v>1</v>
      </c>
      <c r="AG3" s="8">
        <f>IFERROR(__xludf.DUMMYFUNCTION("IFERROR(MAX(FILTER('PostestData (Loggedin)'!C:C,'PostestData (Loggedin)'!B:B=A3,'PostestData (Loggedin)'!C:C&lt;AH3)),0)"),"0")</f>
        <v>0</v>
      </c>
      <c r="AH3" s="8">
        <f>IFERROR(__xludf.DUMMYFUNCTION("IFERROR(MIN(FILTER({'PostestData (Submission)'!E:E}, 'PostestData (Submission)'!D:D=A3, 'PostestData (Submission)'!A:A=445, 'PostestData (Submission)'!E:E&gt;0)),0)"),"0")</f>
        <v>0</v>
      </c>
      <c r="AI3" s="8">
        <f>IFERROR(__xludf.DUMMYFUNCTION("IFERROR(MIN(FILTER('PostestData (ViewVPL)'!D:D, 'PostestData (ViewVPL)'!C:C=A3, 'PostestData (ViewVPL)'!B:B=445,'PostestData (ViewVPL)'!D:D&gt;AG3,'PostestData (ViewVPL)'!D:D&lt;AH3)),0)"),"0")</f>
        <v>0</v>
      </c>
      <c r="AJ3" s="8">
        <f>IFERROR(__xludf.DUMMYFUNCTION("IFERROR(MAX(FILTER({'PostestData (Submission)'!E:E}, 'PostestData (Submission)'!D:D=A3, 'PostestData (Submission)'!A:A=445))-AI3, 0)"),"0")</f>
        <v>0</v>
      </c>
      <c r="AK3" s="8">
        <f>IFERROR(__xludf.DUMMYFUNCTION("IFERROR(FILTER({'PostestData (ExactPD)'!E:E}, 'PostestData (ExactPD)'!A:A=A3), 0)"),"0")</f>
        <v>0</v>
      </c>
      <c r="AL3" s="8">
        <f>COUNTIFS('PostestData (Submission)'!D:D,"="&amp;A3,'PostestData (Submission)'!A:A,"=445",'PostestData (Submission)'!E:E,"&gt;0")</f>
        <v>0</v>
      </c>
      <c r="AM3" s="8">
        <f>COUNTIFS('PostestData (Submission)'!D:D,"="&amp;A3,'PostestData (Submission)'!A:A,"=445",'PostestData (Submission)'!H:H,"&gt;0")</f>
        <v>0</v>
      </c>
      <c r="AN3" s="8">
        <f>IFERROR(__xludf.DUMMYFUNCTION("IFERROR(MAX(FILTER('PostestData (Submission)'!I:I,'PostestData (Submission)'!D:D=A3,'PostestData (Submission)'!A:A=445,'PostestData (Submission)'!H:H&gt;0)),0)"),"0")</f>
        <v>0</v>
      </c>
      <c r="AO3" s="8">
        <f>COUNTIFS('PostestData (ViewVPL)'!C:C,"="&amp;A3,'PostestData (ViewVPL)'!B:B,"=445")</f>
        <v>0</v>
      </c>
      <c r="AP3" s="8"/>
      <c r="AQ3" s="11"/>
      <c r="AR3" s="11"/>
      <c r="AS3" s="8"/>
      <c r="AT3" s="8"/>
      <c r="AU3" s="8"/>
      <c r="AV3" s="8"/>
      <c r="AW3" s="11"/>
      <c r="AX3" s="11"/>
      <c r="AY3" s="11"/>
    </row>
    <row r="4">
      <c r="A4" s="7">
        <v>10131.0</v>
      </c>
      <c r="B4" s="3" t="s">
        <v>45</v>
      </c>
      <c r="C4" s="3" t="s">
        <v>46</v>
      </c>
      <c r="D4" s="3" t="s">
        <v>63</v>
      </c>
      <c r="E4" s="3" t="s">
        <v>48</v>
      </c>
      <c r="F4" s="8">
        <f>IFERROR(__xludf.DUMMYFUNCTION("IFERROR(MAX(FILTER('PostestData (Loggedin)'!C:C,'PostestData (Loggedin)'!B:B=A4,'PostestData (Loggedin)'!C:C&lt;G4)),0)"),"1480115075")</f>
        <v>1480115075</v>
      </c>
      <c r="G4" s="8">
        <f>IFERROR(__xludf.DUMMYFUNCTION("IFERROR(MIN(FILTER({'PostestData (Submission)'!H:H}, 'PostestData (Submission)'!D:D=A4, 'PostestData (Submission)'!A:A=443, 'PostestData (Submission)'!H:H&gt;0)),0)"),"1480117374")</f>
        <v>1480117374</v>
      </c>
      <c r="H4" s="8">
        <f>IFERROR(__xludf.DUMMYFUNCTION("IFERROR(MIN(FILTER('PostestData (ViewVPL)'!D:D, 'PostestData (ViewVPL)'!C:C=A4, 'PostestData (ViewVPL)'!B:B=443,'PostestData (ViewVPL)'!D:D&gt;F4,'PostestData (ViewVPL)'!D:D&lt;G4)),0)"),"1480115763")</f>
        <v>1480115763</v>
      </c>
      <c r="I4" s="8">
        <f>IFERROR(__xludf.DUMMYFUNCTION("IFERROR(MAX(FILTER({'PostestData (Submission)'!E:E}, 'PostestData (Submission)'!D:D=A4, 'PostestData (Submission)'!A:A=443))-H4, 0)"),"1676")</f>
        <v>1676</v>
      </c>
      <c r="J4" s="8">
        <f>IFERROR(__xludf.DUMMYFUNCTION("IFERROR(FILTER({'PostestData (ExactPA)'!E:E}, 'PostestData (ExactPA)'!A:A=A4), 0)"),"11")</f>
        <v>11</v>
      </c>
      <c r="K4" s="8">
        <f>COUNTIFS('PostestData (Submission)'!D:D,"="&amp;A4,'PostestData (Submission)'!A:A,"=443",'PostestData (Submission)'!E:E,"&gt;0")</f>
        <v>3</v>
      </c>
      <c r="L4" s="8">
        <f>COUNTIFS('PostestData (Submission)'!D:D,"="&amp;A4,'PostestData (Submission)'!A:A,"=443",'PostestData (Submission)'!H:H,"&gt;0")</f>
        <v>2</v>
      </c>
      <c r="M4" s="8">
        <f>IFERROR(__xludf.DUMMYFUNCTION("IFERROR(MAX(FILTER('PostestData (Submission)'!I:I,'PostestData (Submission)'!D:D=A4,'PostestData (Submission)'!A:A=443,'PostestData (Submission)'!H:H&gt;0)),0)"),"10")</f>
        <v>10</v>
      </c>
      <c r="N4" s="8">
        <f>COUNTIFS('PostestData (ViewVPL)'!C:C,"="&amp;A4,'PostestData (ViewVPL)'!B:B,"=443")</f>
        <v>4</v>
      </c>
      <c r="O4" s="8">
        <f>IFERROR(__xludf.DUMMYFUNCTION("IFERROR(MAX(FILTER('PostestData (Loggedin)'!C:C,'PostestData (Loggedin)'!B:B=A4,'PostestData (Loggedin)'!C:C&lt;P4)),0)"),"1480115075")</f>
        <v>1480115075</v>
      </c>
      <c r="P4" s="8">
        <f>IFERROR(__xludf.DUMMYFUNCTION("IFERROR(MIN(FILTER({'PostestData (Submission)'!E:E}, 'PostestData (Submission)'!D:D=A4, 'PostestData (Submission)'!A:A=444, 'PostestData (Submission)'!E:E&gt;0)),0)"),"1480119093")</f>
        <v>1480119093</v>
      </c>
      <c r="Q4" s="8">
        <f>IFERROR(__xludf.DUMMYFUNCTION("IFERROR(MIN(FILTER('PostestData (ViewVPL)'!D:D, 'PostestData (ViewVPL)'!C:C=A4, 'PostestData (ViewVPL)'!B:B=444,'PostestData (ViewVPL)'!D:D&gt;O4,'PostestData (ViewVPL)'!D:D&lt;P4)),0)"),"1480117473")</f>
        <v>1480117473</v>
      </c>
      <c r="R4" s="8">
        <f>IFERROR(__xludf.DUMMYFUNCTION("IFERROR(MAX(FILTER({'PostestData (Submission)'!E:E}, 'PostestData (Submission)'!D:D=A4, 'PostestData (Submission)'!A:A=444))-Q4, 0)"),"1699")</f>
        <v>1699</v>
      </c>
      <c r="S4" s="8">
        <f>IFERROR(__xludf.DUMMYFUNCTION("IFERROR(FILTER({'PostestData (ExactPB)'!E:E}, 'PostestData (ExactPB)'!A:A=A4), 0)"),"0")</f>
        <v>0</v>
      </c>
      <c r="T4" s="8">
        <f>COUNTIFS('PostestData (Submission)'!D:D,"="&amp;A4,'PostestData (Submission)'!A:A,"=444",'PostestData (Submission)'!E:E,"&gt;0")</f>
        <v>2</v>
      </c>
      <c r="U4" s="8">
        <f>COUNTIFS('PostestData (Submission)'!D:D,"="&amp;A4,'PostestData (Submission)'!A:A,"=444",'PostestData (Submission)'!H:H,"&gt;0")</f>
        <v>2</v>
      </c>
      <c r="V4" s="8">
        <f>IFERROR(__xludf.DUMMYFUNCTION("IFERROR(MAX(FILTER('PostestData (Submission)'!I:I,'PostestData (Submission)'!D:D=A4,'PostestData (Submission)'!A:A=444,'PostestData (Submission)'!H:H&gt;0)),0)"),"10")</f>
        <v>10</v>
      </c>
      <c r="W4" s="8">
        <f>COUNTIFS('PostestData (ViewVPL)'!C:C,"="&amp;A4,'PostestData (ViewVPL)'!B:B,"=444")</f>
        <v>11</v>
      </c>
      <c r="X4" s="8">
        <f>IFERROR(__xludf.DUMMYFUNCTION("IFERROR(MAX(FILTER('PostestData (Loggedin)'!C:C,'PostestData (Loggedin)'!B:B=A4,'PostestData (Loggedin)'!C:C&lt;Y4)),0)"),"0")</f>
        <v>0</v>
      </c>
      <c r="Y4" s="8">
        <f>IFERROR(__xludf.DUMMYFUNCTION("IFERROR(MIN(FILTER({'PostestData (Submission)'!E:E}, 'PostestData (Submission)'!D:D=A4, 'PostestData (Submission)'!A:A=442, 'PostestData (Submission)'!E:E&gt;0)),0)"),"0")</f>
        <v>0</v>
      </c>
      <c r="Z4" s="8">
        <f>IFERROR(__xludf.DUMMYFUNCTION("IFERROR(MIN(FILTER('PostestData (ViewVPL)'!D:D, 'PostestData (ViewVPL)'!C:C=A4, 'PostestData (ViewVPL)'!B:B=442,'PostestData (ViewVPL)'!D:D&gt;X4,'PostestData (ViewVPL)'!D:D&lt;Y4)),0)"),"0")</f>
        <v>0</v>
      </c>
      <c r="AA4" s="8">
        <f>IFERROR(__xludf.DUMMYFUNCTION("IFERROR(MAX(FILTER({'PostestData (Submission)'!E:E}, 'PostestData (Submission)'!D:D=A4, 'PostestData (Submission)'!A:A=442))-Z4, 0)"),"0")</f>
        <v>0</v>
      </c>
      <c r="AB4" s="8">
        <f>IFERROR(__xludf.DUMMYFUNCTION("IFERROR(FILTER({'PostestData (ExactPC)'!E:E}, 'PostestData (ExactPC)'!A:A=A4), 0)"),"0")</f>
        <v>0</v>
      </c>
      <c r="AC4" s="8">
        <f>COUNTIFS('PostestData (Submission)'!D:D,"="&amp;A4,'PostestData (Submission)'!A:A,"=442",'PostestData (Submission)'!E:E,"&gt;0")</f>
        <v>0</v>
      </c>
      <c r="AD4" s="8">
        <f>COUNTIFS('PostestData (Submission)'!D:D,"="&amp;A4,'PostestData (Submission)'!A:A,"=442",'PostestData (Submission)'!H:H,"&gt;0")</f>
        <v>0</v>
      </c>
      <c r="AE4" s="8">
        <f>IFERROR(__xludf.DUMMYFUNCTION("IFERROR(MAX(FILTER('PostestData (Submission)'!I:I,'PostestData (Submission)'!D:D=A4,'PostestData (Submission)'!A:A=442,'PostestData (Submission)'!H:H&gt;0)),0)"),"0")</f>
        <v>0</v>
      </c>
      <c r="AF4" s="8">
        <f>COUNTIFS('PostestData (ViewVPL)'!C:C,"="&amp;A4,'PostestData (ViewVPL)'!B:B,"=442")</f>
        <v>7</v>
      </c>
      <c r="AG4" s="8">
        <f>IFERROR(__xludf.DUMMYFUNCTION("IFERROR(MAX(FILTER('PostestData (Loggedin)'!C:C,'PostestData (Loggedin)'!B:B=A4,'PostestData (Loggedin)'!C:C&lt;AH4)),0)"),"0")</f>
        <v>0</v>
      </c>
      <c r="AH4" s="8">
        <f>IFERROR(__xludf.DUMMYFUNCTION("IFERROR(MIN(FILTER({'PostestData (Submission)'!E:E}, 'PostestData (Submission)'!D:D=A4, 'PostestData (Submission)'!A:A=445, 'PostestData (Submission)'!E:E&gt;0)),0)"),"0")</f>
        <v>0</v>
      </c>
      <c r="AI4" s="8">
        <f>IFERROR(__xludf.DUMMYFUNCTION("IFERROR(MIN(FILTER('PostestData (ViewVPL)'!D:D, 'PostestData (ViewVPL)'!C:C=A4, 'PostestData (ViewVPL)'!B:B=445,'PostestData (ViewVPL)'!D:D&gt;AG4,'PostestData (ViewVPL)'!D:D&lt;AH4)),0)"),"0")</f>
        <v>0</v>
      </c>
      <c r="AJ4" s="8">
        <f>IFERROR(__xludf.DUMMYFUNCTION("IFERROR(MAX(FILTER({'PostestData (Submission)'!E:E}, 'PostestData (Submission)'!D:D=A4, 'PostestData (Submission)'!A:A=445))-AI4, 0)"),"0")</f>
        <v>0</v>
      </c>
      <c r="AK4" s="8">
        <f>IFERROR(__xludf.DUMMYFUNCTION("IFERROR(FILTER({'PostestData (ExactPD)'!E:E}, 'PostestData (ExactPD)'!A:A=A4), 0)"),"0")</f>
        <v>0</v>
      </c>
      <c r="AL4" s="8">
        <f>COUNTIFS('PostestData (Submission)'!D:D,"="&amp;A4,'PostestData (Submission)'!A:A,"=445",'PostestData (Submission)'!E:E,"&gt;0")</f>
        <v>0</v>
      </c>
      <c r="AM4" s="8">
        <f>COUNTIFS('PostestData (Submission)'!D:D,"="&amp;A4,'PostestData (Submission)'!A:A,"=445",'PostestData (Submission)'!H:H,"&gt;0")</f>
        <v>0</v>
      </c>
      <c r="AN4" s="8">
        <f>IFERROR(__xludf.DUMMYFUNCTION("IFERROR(MAX(FILTER('PostestData (Submission)'!I:I,'PostestData (Submission)'!D:D=A4,'PostestData (Submission)'!A:A=445,'PostestData (Submission)'!H:H&gt;0)),0)"),"0")</f>
        <v>0</v>
      </c>
      <c r="AO4" s="8">
        <f>COUNTIFS('PostestData (ViewVPL)'!C:C,"="&amp;A4,'PostestData (ViewVPL)'!B:B,"=445")</f>
        <v>0</v>
      </c>
      <c r="AP4" s="8"/>
      <c r="AQ4" s="11"/>
      <c r="AR4" s="11"/>
      <c r="AS4" s="8"/>
      <c r="AT4" s="8"/>
      <c r="AU4" s="8"/>
      <c r="AV4" s="8"/>
      <c r="AW4" s="11"/>
      <c r="AX4" s="11"/>
      <c r="AY4" s="11"/>
    </row>
    <row r="5">
      <c r="A5" s="7">
        <v>10147.0</v>
      </c>
      <c r="B5" s="3" t="s">
        <v>45</v>
      </c>
      <c r="C5" s="3" t="s">
        <v>46</v>
      </c>
      <c r="D5" s="3" t="s">
        <v>63</v>
      </c>
      <c r="E5" s="3" t="s">
        <v>48</v>
      </c>
      <c r="F5" s="8">
        <f>IFERROR(__xludf.DUMMYFUNCTION("IFERROR(MAX(FILTER('PostestData (Loggedin)'!C:C,'PostestData (Loggedin)'!B:B=A5,'PostestData (Loggedin)'!C:C&lt;G5)),0)"),"0")</f>
        <v>0</v>
      </c>
      <c r="G5" s="8">
        <f>IFERROR(__xludf.DUMMYFUNCTION("IFERROR(MIN(FILTER({'PostestData (Submission)'!H:H}, 'PostestData (Submission)'!D:D=A5, 'PostestData (Submission)'!A:A=443, 'PostestData (Submission)'!H:H&gt;0)),0)"),"0")</f>
        <v>0</v>
      </c>
      <c r="H5" s="8">
        <f>IFERROR(__xludf.DUMMYFUNCTION("IFERROR(MIN(FILTER('PostestData (ViewVPL)'!D:D, 'PostestData (ViewVPL)'!C:C=A5, 'PostestData (ViewVPL)'!B:B=443,'PostestData (ViewVPL)'!D:D&gt;F5,'PostestData (ViewVPL)'!D:D&lt;G5)),0)"),"0")</f>
        <v>0</v>
      </c>
      <c r="I5" s="8">
        <f>IFERROR(__xludf.DUMMYFUNCTION("IFERROR(MAX(FILTER({'PostestData (Submission)'!E:E}, 'PostestData (Submission)'!D:D=A5, 'PostestData (Submission)'!A:A=443))-H5, 0)"),"0")</f>
        <v>0</v>
      </c>
      <c r="J5" s="8">
        <f>IFERROR(__xludf.DUMMYFUNCTION("IFERROR(FILTER({'PostestData (ExactPA)'!E:E}, 'PostestData (ExactPA)'!A:A=A5), 0)"),"0")</f>
        <v>0</v>
      </c>
      <c r="K5" s="8">
        <f>COUNTIFS('PostestData (Submission)'!D:D,"="&amp;A5,'PostestData (Submission)'!A:A,"=443",'PostestData (Submission)'!E:E,"&gt;0")</f>
        <v>0</v>
      </c>
      <c r="L5" s="8">
        <f>COUNTIFS('PostestData (Submission)'!D:D,"="&amp;A5,'PostestData (Submission)'!A:A,"=443",'PostestData (Submission)'!H:H,"&gt;0")</f>
        <v>0</v>
      </c>
      <c r="M5" s="8">
        <f>IFERROR(__xludf.DUMMYFUNCTION("IFERROR(MAX(FILTER('PostestData (Submission)'!I:I,'PostestData (Submission)'!D:D=A5,'PostestData (Submission)'!A:A=443,'PostestData (Submission)'!H:H&gt;0)),0)"),"0")</f>
        <v>0</v>
      </c>
      <c r="N5" s="8">
        <f>COUNTIFS('PostestData (ViewVPL)'!C:C,"="&amp;A5,'PostestData (ViewVPL)'!B:B,"=443")</f>
        <v>0</v>
      </c>
      <c r="O5" s="8">
        <f>IFERROR(__xludf.DUMMYFUNCTION("IFERROR(MAX(FILTER('PostestData (Loggedin)'!C:C,'PostestData (Loggedin)'!B:B=A5,'PostestData (Loggedin)'!C:C&lt;P5)),0)"),"0")</f>
        <v>0</v>
      </c>
      <c r="P5" s="8">
        <f>IFERROR(__xludf.DUMMYFUNCTION("IFERROR(MIN(FILTER({'PostestData (Submission)'!E:E}, 'PostestData (Submission)'!D:D=A5, 'PostestData (Submission)'!A:A=444, 'PostestData (Submission)'!E:E&gt;0)),0)"),"0")</f>
        <v>0</v>
      </c>
      <c r="Q5" s="8">
        <f>IFERROR(__xludf.DUMMYFUNCTION("IFERROR(MIN(FILTER('PostestData (ViewVPL)'!D:D, 'PostestData (ViewVPL)'!C:C=A5, 'PostestData (ViewVPL)'!B:B=444,'PostestData (ViewVPL)'!D:D&gt;O5,'PostestData (ViewVPL)'!D:D&lt;P5)),0)"),"0")</f>
        <v>0</v>
      </c>
      <c r="R5" s="8">
        <f>IFERROR(__xludf.DUMMYFUNCTION("IFERROR(MAX(FILTER({'PostestData (Submission)'!E:E}, 'PostestData (Submission)'!D:D=A5, 'PostestData (Submission)'!A:A=444))-Q5, 0)"),"0")</f>
        <v>0</v>
      </c>
      <c r="S5" s="8">
        <f>IFERROR(__xludf.DUMMYFUNCTION("IFERROR(FILTER({'PostestData (ExactPB)'!E:E}, 'PostestData (ExactPB)'!A:A=A5), 0)"),"0")</f>
        <v>0</v>
      </c>
      <c r="T5" s="8">
        <f>COUNTIFS('PostestData (Submission)'!D:D,"="&amp;A5,'PostestData (Submission)'!A:A,"=444",'PostestData (Submission)'!E:E,"&gt;0")</f>
        <v>0</v>
      </c>
      <c r="U5" s="8">
        <f>COUNTIFS('PostestData (Submission)'!D:D,"="&amp;A5,'PostestData (Submission)'!A:A,"=444",'PostestData (Submission)'!H:H,"&gt;0")</f>
        <v>0</v>
      </c>
      <c r="V5" s="8">
        <f>IFERROR(__xludf.DUMMYFUNCTION("IFERROR(MAX(FILTER('PostestData (Submission)'!I:I,'PostestData (Submission)'!D:D=A5,'PostestData (Submission)'!A:A=444,'PostestData (Submission)'!H:H&gt;0)),0)"),"0")</f>
        <v>0</v>
      </c>
      <c r="W5" s="8">
        <f>COUNTIFS('PostestData (ViewVPL)'!C:C,"="&amp;A5,'PostestData (ViewVPL)'!B:B,"=444")</f>
        <v>0</v>
      </c>
      <c r="X5" s="8">
        <f>IFERROR(__xludf.DUMMYFUNCTION("IFERROR(MAX(FILTER('PostestData (Loggedin)'!C:C,'PostestData (Loggedin)'!B:B=A5,'PostestData (Loggedin)'!C:C&lt;Y5)),0)"),"0")</f>
        <v>0</v>
      </c>
      <c r="Y5" s="8">
        <f>IFERROR(__xludf.DUMMYFUNCTION("IFERROR(MIN(FILTER({'PostestData (Submission)'!E:E}, 'PostestData (Submission)'!D:D=A5, 'PostestData (Submission)'!A:A=442, 'PostestData (Submission)'!E:E&gt;0)),0)"),"0")</f>
        <v>0</v>
      </c>
      <c r="Z5" s="8">
        <f>IFERROR(__xludf.DUMMYFUNCTION("IFERROR(MIN(FILTER('PostestData (ViewVPL)'!D:D, 'PostestData (ViewVPL)'!C:C=A5, 'PostestData (ViewVPL)'!B:B=442,'PostestData (ViewVPL)'!D:D&gt;X5,'PostestData (ViewVPL)'!D:D&lt;Y5)),0)"),"0")</f>
        <v>0</v>
      </c>
      <c r="AA5" s="8">
        <f>IFERROR(__xludf.DUMMYFUNCTION("IFERROR(MAX(FILTER({'PostestData (Submission)'!E:E}, 'PostestData (Submission)'!D:D=A5, 'PostestData (Submission)'!A:A=442))-Z5, 0)"),"0")</f>
        <v>0</v>
      </c>
      <c r="AB5" s="8">
        <f>IFERROR(__xludf.DUMMYFUNCTION("IFERROR(FILTER({'PostestData (ExactPC)'!E:E}, 'PostestData (ExactPC)'!A:A=A5), 0)"),"0")</f>
        <v>0</v>
      </c>
      <c r="AC5" s="8">
        <f>COUNTIFS('PostestData (Submission)'!D:D,"="&amp;A5,'PostestData (Submission)'!A:A,"=442",'PostestData (Submission)'!E:E,"&gt;0")</f>
        <v>0</v>
      </c>
      <c r="AD5" s="8">
        <f>COUNTIFS('PostestData (Submission)'!D:D,"="&amp;A5,'PostestData (Submission)'!A:A,"=442",'PostestData (Submission)'!H:H,"&gt;0")</f>
        <v>0</v>
      </c>
      <c r="AE5" s="8">
        <f>IFERROR(__xludf.DUMMYFUNCTION("IFERROR(MAX(FILTER('PostestData (Submission)'!I:I,'PostestData (Submission)'!D:D=A5,'PostestData (Submission)'!A:A=442,'PostestData (Submission)'!H:H&gt;0)),0)"),"0")</f>
        <v>0</v>
      </c>
      <c r="AF5" s="8">
        <f>COUNTIFS('PostestData (ViewVPL)'!C:C,"="&amp;A5,'PostestData (ViewVPL)'!B:B,"=442")</f>
        <v>0</v>
      </c>
      <c r="AG5" s="8">
        <f>IFERROR(__xludf.DUMMYFUNCTION("IFERROR(MAX(FILTER('PostestData (Loggedin)'!C:C,'PostestData (Loggedin)'!B:B=A5,'PostestData (Loggedin)'!C:C&lt;AH5)),0)"),"0")</f>
        <v>0</v>
      </c>
      <c r="AH5" s="8">
        <f>IFERROR(__xludf.DUMMYFUNCTION("IFERROR(MIN(FILTER({'PostestData (Submission)'!E:E}, 'PostestData (Submission)'!D:D=A5, 'PostestData (Submission)'!A:A=445, 'PostestData (Submission)'!E:E&gt;0)),0)"),"0")</f>
        <v>0</v>
      </c>
      <c r="AI5" s="8">
        <f>IFERROR(__xludf.DUMMYFUNCTION("IFERROR(MIN(FILTER('PostestData (ViewVPL)'!D:D, 'PostestData (ViewVPL)'!C:C=A5, 'PostestData (ViewVPL)'!B:B=445,'PostestData (ViewVPL)'!D:D&gt;AG5,'PostestData (ViewVPL)'!D:D&lt;AH5)),0)"),"0")</f>
        <v>0</v>
      </c>
      <c r="AJ5" s="8">
        <f>IFERROR(__xludf.DUMMYFUNCTION("IFERROR(MAX(FILTER({'PostestData (Submission)'!E:E}, 'PostestData (Submission)'!D:D=A5, 'PostestData (Submission)'!A:A=445))-AI5, 0)"),"0")</f>
        <v>0</v>
      </c>
      <c r="AK5" s="8">
        <f>IFERROR(__xludf.DUMMYFUNCTION("IFERROR(FILTER({'PostestData (ExactPD)'!E:E}, 'PostestData (ExactPD)'!A:A=A5), 0)"),"0")</f>
        <v>0</v>
      </c>
      <c r="AL5" s="8">
        <f>COUNTIFS('PostestData (Submission)'!D:D,"="&amp;A5,'PostestData (Submission)'!A:A,"=445",'PostestData (Submission)'!E:E,"&gt;0")</f>
        <v>0</v>
      </c>
      <c r="AM5" s="8">
        <f>COUNTIFS('PostestData (Submission)'!D:D,"="&amp;A5,'PostestData (Submission)'!A:A,"=445",'PostestData (Submission)'!H:H,"&gt;0")</f>
        <v>0</v>
      </c>
      <c r="AN5" s="8">
        <f>IFERROR(__xludf.DUMMYFUNCTION("IFERROR(MAX(FILTER('PostestData (Submission)'!I:I,'PostestData (Submission)'!D:D=A5,'PostestData (Submission)'!A:A=445,'PostestData (Submission)'!H:H&gt;0)),0)"),"0")</f>
        <v>0</v>
      </c>
      <c r="AO5" s="8">
        <f>COUNTIFS('PostestData (ViewVPL)'!C:C,"="&amp;A5,'PostestData (ViewVPL)'!B:B,"=445")</f>
        <v>0</v>
      </c>
      <c r="AP5" s="8"/>
      <c r="AQ5" s="11"/>
      <c r="AR5" s="11"/>
      <c r="AS5" s="8"/>
      <c r="AT5" s="8"/>
      <c r="AU5" s="8"/>
      <c r="AV5" s="8"/>
      <c r="AW5" s="11"/>
      <c r="AX5" s="11"/>
      <c r="AY5" s="11"/>
    </row>
    <row r="6">
      <c r="A6" s="7">
        <v>10157.0</v>
      </c>
      <c r="B6" s="3" t="s">
        <v>45</v>
      </c>
      <c r="C6" s="3" t="s">
        <v>46</v>
      </c>
      <c r="D6" s="3" t="s">
        <v>63</v>
      </c>
      <c r="E6" s="3" t="s">
        <v>48</v>
      </c>
      <c r="F6" s="8">
        <f>IFERROR(__xludf.DUMMYFUNCTION("IFERROR(MAX(FILTER('PostestData (Loggedin)'!C:C,'PostestData (Loggedin)'!B:B=A6,'PostestData (Loggedin)'!C:C&lt;G6)),0)"),"0")</f>
        <v>0</v>
      </c>
      <c r="G6" s="8">
        <f>IFERROR(__xludf.DUMMYFUNCTION("IFERROR(MIN(FILTER({'PostestData (Submission)'!H:H}, 'PostestData (Submission)'!D:D=A6, 'PostestData (Submission)'!A:A=443, 'PostestData (Submission)'!H:H&gt;0)),0)"),"0")</f>
        <v>0</v>
      </c>
      <c r="H6" s="8">
        <f>IFERROR(__xludf.DUMMYFUNCTION("IFERROR(MIN(FILTER('PostestData (ViewVPL)'!D:D, 'PostestData (ViewVPL)'!C:C=A6, 'PostestData (ViewVPL)'!B:B=443,'PostestData (ViewVPL)'!D:D&gt;F6,'PostestData (ViewVPL)'!D:D&lt;G6)),0)"),"0")</f>
        <v>0</v>
      </c>
      <c r="I6" s="8">
        <f>IFERROR(__xludf.DUMMYFUNCTION("IFERROR(MAX(FILTER({'PostestData (Submission)'!E:E}, 'PostestData (Submission)'!D:D=A6, 'PostestData (Submission)'!A:A=443))-H6, 0)"),"0")</f>
        <v>0</v>
      </c>
      <c r="J6" s="8">
        <f>IFERROR(__xludf.DUMMYFUNCTION("IFERROR(FILTER({'PostestData (ExactPA)'!E:E}, 'PostestData (ExactPA)'!A:A=A6), 0)"),"0")</f>
        <v>0</v>
      </c>
      <c r="K6" s="8">
        <f>COUNTIFS('PostestData (Submission)'!D:D,"="&amp;A6,'PostestData (Submission)'!A:A,"=443",'PostestData (Submission)'!E:E,"&gt;0")</f>
        <v>0</v>
      </c>
      <c r="L6" s="8">
        <f>COUNTIFS('PostestData (Submission)'!D:D,"="&amp;A6,'PostestData (Submission)'!A:A,"=443",'PostestData (Submission)'!H:H,"&gt;0")</f>
        <v>0</v>
      </c>
      <c r="M6" s="8">
        <f>IFERROR(__xludf.DUMMYFUNCTION("IFERROR(MAX(FILTER('PostestData (Submission)'!I:I,'PostestData (Submission)'!D:D=A6,'PostestData (Submission)'!A:A=443,'PostestData (Submission)'!H:H&gt;0)),0)"),"0")</f>
        <v>0</v>
      </c>
      <c r="N6" s="8">
        <f>COUNTIFS('PostestData (ViewVPL)'!C:C,"="&amp;A6,'PostestData (ViewVPL)'!B:B,"=443")</f>
        <v>0</v>
      </c>
      <c r="O6" s="8">
        <f>IFERROR(__xludf.DUMMYFUNCTION("IFERROR(MAX(FILTER('PostestData (Loggedin)'!C:C,'PostestData (Loggedin)'!B:B=A6,'PostestData (Loggedin)'!C:C&lt;P6)),0)"),"0")</f>
        <v>0</v>
      </c>
      <c r="P6" s="8">
        <f>IFERROR(__xludf.DUMMYFUNCTION("IFERROR(MIN(FILTER({'PostestData (Submission)'!E:E}, 'PostestData (Submission)'!D:D=A6, 'PostestData (Submission)'!A:A=444, 'PostestData (Submission)'!E:E&gt;0)),0)"),"0")</f>
        <v>0</v>
      </c>
      <c r="Q6" s="8">
        <f>IFERROR(__xludf.DUMMYFUNCTION("IFERROR(MIN(FILTER('PostestData (ViewVPL)'!D:D, 'PostestData (ViewVPL)'!C:C=A6, 'PostestData (ViewVPL)'!B:B=444,'PostestData (ViewVPL)'!D:D&gt;O6,'PostestData (ViewVPL)'!D:D&lt;P6)),0)"),"0")</f>
        <v>0</v>
      </c>
      <c r="R6" s="8">
        <f>IFERROR(__xludf.DUMMYFUNCTION("IFERROR(MAX(FILTER({'PostestData (Submission)'!E:E}, 'PostestData (Submission)'!D:D=A6, 'PostestData (Submission)'!A:A=444))-Q6, 0)"),"0")</f>
        <v>0</v>
      </c>
      <c r="S6" s="8">
        <f>IFERROR(__xludf.DUMMYFUNCTION("IFERROR(FILTER({'PostestData (ExactPB)'!E:E}, 'PostestData (ExactPB)'!A:A=A6), 0)"),"0")</f>
        <v>0</v>
      </c>
      <c r="T6" s="8">
        <f>COUNTIFS('PostestData (Submission)'!D:D,"="&amp;A6,'PostestData (Submission)'!A:A,"=444",'PostestData (Submission)'!E:E,"&gt;0")</f>
        <v>0</v>
      </c>
      <c r="U6" s="8">
        <f>COUNTIFS('PostestData (Submission)'!D:D,"="&amp;A6,'PostestData (Submission)'!A:A,"=444",'PostestData (Submission)'!H:H,"&gt;0")</f>
        <v>0</v>
      </c>
      <c r="V6" s="8">
        <f>IFERROR(__xludf.DUMMYFUNCTION("IFERROR(MAX(FILTER('PostestData (Submission)'!I:I,'PostestData (Submission)'!D:D=A6,'PostestData (Submission)'!A:A=444,'PostestData (Submission)'!H:H&gt;0)),0)"),"0")</f>
        <v>0</v>
      </c>
      <c r="W6" s="8">
        <f>COUNTIFS('PostestData (ViewVPL)'!C:C,"="&amp;A6,'PostestData (ViewVPL)'!B:B,"=444")</f>
        <v>0</v>
      </c>
      <c r="X6" s="8">
        <f>IFERROR(__xludf.DUMMYFUNCTION("IFERROR(MAX(FILTER('PostestData (Loggedin)'!C:C,'PostestData (Loggedin)'!B:B=A6,'PostestData (Loggedin)'!C:C&lt;Y6)),0)"),"0")</f>
        <v>0</v>
      </c>
      <c r="Y6" s="8">
        <f>IFERROR(__xludf.DUMMYFUNCTION("IFERROR(MIN(FILTER({'PostestData (Submission)'!E:E}, 'PostestData (Submission)'!D:D=A6, 'PostestData (Submission)'!A:A=442, 'PostestData (Submission)'!E:E&gt;0)),0)"),"0")</f>
        <v>0</v>
      </c>
      <c r="Z6" s="8">
        <f>IFERROR(__xludf.DUMMYFUNCTION("IFERROR(MIN(FILTER('PostestData (ViewVPL)'!D:D, 'PostestData (ViewVPL)'!C:C=A6, 'PostestData (ViewVPL)'!B:B=442,'PostestData (ViewVPL)'!D:D&gt;X6,'PostestData (ViewVPL)'!D:D&lt;Y6)),0)"),"0")</f>
        <v>0</v>
      </c>
      <c r="AA6" s="8">
        <f>IFERROR(__xludf.DUMMYFUNCTION("IFERROR(MAX(FILTER({'PostestData (Submission)'!E:E}, 'PostestData (Submission)'!D:D=A6, 'PostestData (Submission)'!A:A=442))-Z6, 0)"),"0")</f>
        <v>0</v>
      </c>
      <c r="AB6" s="8">
        <f>IFERROR(__xludf.DUMMYFUNCTION("IFERROR(FILTER({'PostestData (ExactPC)'!E:E}, 'PostestData (ExactPC)'!A:A=A6), 0)"),"0")</f>
        <v>0</v>
      </c>
      <c r="AC6" s="8">
        <f>COUNTIFS('PostestData (Submission)'!D:D,"="&amp;A6,'PostestData (Submission)'!A:A,"=442",'PostestData (Submission)'!E:E,"&gt;0")</f>
        <v>0</v>
      </c>
      <c r="AD6" s="8">
        <f>COUNTIFS('PostestData (Submission)'!D:D,"="&amp;A6,'PostestData (Submission)'!A:A,"=442",'PostestData (Submission)'!H:H,"&gt;0")</f>
        <v>0</v>
      </c>
      <c r="AE6" s="8">
        <f>IFERROR(__xludf.DUMMYFUNCTION("IFERROR(MAX(FILTER('PostestData (Submission)'!I:I,'PostestData (Submission)'!D:D=A6,'PostestData (Submission)'!A:A=442,'PostestData (Submission)'!H:H&gt;0)),0)"),"0")</f>
        <v>0</v>
      </c>
      <c r="AF6" s="8">
        <f>COUNTIFS('PostestData (ViewVPL)'!C:C,"="&amp;A6,'PostestData (ViewVPL)'!B:B,"=442")</f>
        <v>0</v>
      </c>
      <c r="AG6" s="8">
        <f>IFERROR(__xludf.DUMMYFUNCTION("IFERROR(MAX(FILTER('PostestData (Loggedin)'!C:C,'PostestData (Loggedin)'!B:B=A6,'PostestData (Loggedin)'!C:C&lt;AH6)),0)"),"0")</f>
        <v>0</v>
      </c>
      <c r="AH6" s="8">
        <f>IFERROR(__xludf.DUMMYFUNCTION("IFERROR(MIN(FILTER({'PostestData (Submission)'!E:E}, 'PostestData (Submission)'!D:D=A6, 'PostestData (Submission)'!A:A=445, 'PostestData (Submission)'!E:E&gt;0)),0)"),"0")</f>
        <v>0</v>
      </c>
      <c r="AI6" s="8">
        <f>IFERROR(__xludf.DUMMYFUNCTION("IFERROR(MIN(FILTER('PostestData (ViewVPL)'!D:D, 'PostestData (ViewVPL)'!C:C=A6, 'PostestData (ViewVPL)'!B:B=445,'PostestData (ViewVPL)'!D:D&gt;AG6,'PostestData (ViewVPL)'!D:D&lt;AH6)),0)"),"0")</f>
        <v>0</v>
      </c>
      <c r="AJ6" s="8">
        <f>IFERROR(__xludf.DUMMYFUNCTION("IFERROR(MAX(FILTER({'PostestData (Submission)'!E:E}, 'PostestData (Submission)'!D:D=A6, 'PostestData (Submission)'!A:A=445))-AI6, 0)"),"0")</f>
        <v>0</v>
      </c>
      <c r="AK6" s="8">
        <f>IFERROR(__xludf.DUMMYFUNCTION("IFERROR(FILTER({'PostestData (ExactPD)'!E:E}, 'PostestData (ExactPD)'!A:A=A6), 0)"),"0")</f>
        <v>0</v>
      </c>
      <c r="AL6" s="8">
        <f>COUNTIFS('PostestData (Submission)'!D:D,"="&amp;A6,'PostestData (Submission)'!A:A,"=445",'PostestData (Submission)'!E:E,"&gt;0")</f>
        <v>0</v>
      </c>
      <c r="AM6" s="8">
        <f>COUNTIFS('PostestData (Submission)'!D:D,"="&amp;A6,'PostestData (Submission)'!A:A,"=445",'PostestData (Submission)'!H:H,"&gt;0")</f>
        <v>0</v>
      </c>
      <c r="AN6" s="8">
        <f>IFERROR(__xludf.DUMMYFUNCTION("IFERROR(MAX(FILTER('PostestData (Submission)'!I:I,'PostestData (Submission)'!D:D=A6,'PostestData (Submission)'!A:A=445,'PostestData (Submission)'!H:H&gt;0)),0)"),"0")</f>
        <v>0</v>
      </c>
      <c r="AO6" s="8">
        <f>COUNTIFS('PostestData (ViewVPL)'!C:C,"="&amp;A6,'PostestData (ViewVPL)'!B:B,"=445")</f>
        <v>0</v>
      </c>
      <c r="AP6" s="8"/>
      <c r="AQ6" s="11"/>
      <c r="AR6" s="11"/>
      <c r="AS6" s="8"/>
      <c r="AT6" s="8"/>
      <c r="AU6" s="8"/>
      <c r="AV6" s="8"/>
      <c r="AW6" s="11"/>
      <c r="AX6" s="11"/>
      <c r="AY6" s="11"/>
    </row>
    <row r="7">
      <c r="A7" s="7">
        <v>10148.0</v>
      </c>
      <c r="B7" s="3" t="s">
        <v>45</v>
      </c>
      <c r="C7" s="3" t="s">
        <v>99</v>
      </c>
      <c r="D7" s="3" t="s">
        <v>63</v>
      </c>
      <c r="E7" s="3" t="s">
        <v>100</v>
      </c>
      <c r="F7" s="8">
        <f>IFERROR(__xludf.DUMMYFUNCTION("IFERROR(MAX(FILTER('PostestData (Loggedin)'!C:C,'PostestData (Loggedin)'!B:B=A7,'PostestData (Loggedin)'!C:C&lt;G7)),0)"),"1480116406")</f>
        <v>1480116406</v>
      </c>
      <c r="G7" s="8">
        <f>IFERROR(__xludf.DUMMYFUNCTION("IFERROR(MIN(FILTER({'PostestData (Submission)'!E:E}, 'PostestData (Submission)'!D:D=A7, 'PostestData (Submission)'!A:A=443, 'PostestData (Submission)'!E:E&gt;0)),0)"),"1480117832")</f>
        <v>1480117832</v>
      </c>
      <c r="H7" s="8">
        <f>IFERROR(__xludf.DUMMYFUNCTION("IFERROR(MIN(FILTER('PostestData (ViewVPL)'!D:D, 'PostestData (ViewVPL)'!C:C=A7, 'PostestData (ViewVPL)'!B:B=443,'PostestData (ViewVPL)'!D:D&gt;F7,'PostestData (ViewVPL)'!D:D&lt;G7)),0)"),"1480117658")</f>
        <v>1480117658</v>
      </c>
      <c r="I7" s="8">
        <f>IFERROR(__xludf.DUMMYFUNCTION("IFERROR(MAX(FILTER({'PostestData (Submission)'!E:E}, 'PostestData (Submission)'!D:D=A7, 'PostestData (Submission)'!A:A=443))-H7, 0)"),"343")</f>
        <v>343</v>
      </c>
      <c r="J7" s="8">
        <f>IFERROR(__xludf.DUMMYFUNCTION("IFERROR(FILTER({'PostestData (ExactPA)'!E:E}, 'PostestData (ExactPA)'!A:A=A7), 0)"),"6")</f>
        <v>6</v>
      </c>
      <c r="K7" s="8">
        <f>COUNTIFS('PostestData (Submission)'!D:D,"="&amp;A7,'PostestData (Submission)'!A:A,"=443",'PostestData (Submission)'!E:E,"&gt;0")</f>
        <v>3</v>
      </c>
      <c r="L7" s="8">
        <f>COUNTIFS('PostestData (Submission)'!D:D,"="&amp;A7,'PostestData (Submission)'!A:A,"=443",'PostestData (Submission)'!H:H,"&gt;0")</f>
        <v>2</v>
      </c>
      <c r="M7" s="8">
        <f>IFERROR(__xludf.DUMMYFUNCTION("IFERROR(MAX(FILTER('PostestData (Submission)'!I:I,'PostestData (Submission)'!D:D=A7,'PostestData (Submission)'!A:A=443,'PostestData (Submission)'!H:H&gt;0)),0)"),"10")</f>
        <v>10</v>
      </c>
      <c r="N7" s="8">
        <f>COUNTIFS('PostestData (ViewVPL)'!C:C,"="&amp;A7,'PostestData (ViewVPL)'!B:B,"=443")</f>
        <v>8</v>
      </c>
      <c r="O7" s="8">
        <f>IFERROR(__xludf.DUMMYFUNCTION("IFERROR(MAX(FILTER('PostestData (Loggedin)'!C:C,'PostestData (Loggedin)'!B:B=A7,'PostestData (Loggedin)'!C:C&lt;P7)),0)"),"1480116406")</f>
        <v>1480116406</v>
      </c>
      <c r="P7" s="8">
        <f>IFERROR(__xludf.DUMMYFUNCTION("IFERROR(MIN(FILTER({'PostestData (Submission)'!E:E}, 'PostestData (Submission)'!D:D=A7, 'PostestData (Submission)'!A:A=444, 'PostestData (Submission)'!E:E&gt;0)),0)"),"1480119088")</f>
        <v>1480119088</v>
      </c>
      <c r="Q7" s="8">
        <f>IFERROR(__xludf.DUMMYFUNCTION("IFERROR(MIN(FILTER('PostestData (ViewVPL)'!D:D, 'PostestData (ViewVPL)'!C:C=A7, 'PostestData (ViewVPL)'!B:B=444,'PostestData (ViewVPL)'!D:D&gt;O7,'PostestData (ViewVPL)'!D:D&lt;P7)),0)"),"1480118025")</f>
        <v>1480118025</v>
      </c>
      <c r="R7" s="8">
        <f>IFERROR(__xludf.DUMMYFUNCTION("IFERROR(MAX(FILTER({'PostestData (Submission)'!E:E}, 'PostestData (Submission)'!D:D=A7, 'PostestData (Submission)'!A:A=444))-Q7, 0)"),"1669")</f>
        <v>1669</v>
      </c>
      <c r="S7" s="8">
        <f>IFERROR(__xludf.DUMMYFUNCTION("IFERROR(FILTER({'PostestData (ExactPB)'!E:E}, 'PostestData (ExactPB)'!A:A=A7), 0)"),"882")</f>
        <v>882</v>
      </c>
      <c r="T7" s="8">
        <f>COUNTIFS('PostestData (Submission)'!D:D,"="&amp;A7,'PostestData (Submission)'!A:A,"=444",'PostestData (Submission)'!E:E,"&gt;0")</f>
        <v>6</v>
      </c>
      <c r="U7" s="8">
        <f>COUNTIFS('PostestData (Submission)'!D:D,"="&amp;A7,'PostestData (Submission)'!A:A,"=444",'PostestData (Submission)'!H:H,"&gt;0")</f>
        <v>2</v>
      </c>
      <c r="V7" s="8">
        <f>IFERROR(__xludf.DUMMYFUNCTION("IFERROR(MAX(FILTER('PostestData (Submission)'!I:I,'PostestData (Submission)'!D:D=A7,'PostestData (Submission)'!A:A=444,'PostestData (Submission)'!H:H&gt;0)),0)"),"10")</f>
        <v>10</v>
      </c>
      <c r="W7" s="8">
        <f>COUNTIFS('PostestData (ViewVPL)'!C:C,"="&amp;A7,'PostestData (ViewVPL)'!B:B,"=444")</f>
        <v>8</v>
      </c>
      <c r="X7" s="8">
        <f>IFERROR(__xludf.DUMMYFUNCTION("IFERROR(MAX(FILTER('PostestData (Loggedin)'!C:C,'PostestData (Loggedin)'!B:B=A7,'PostestData (Loggedin)'!C:C&lt;Y7)),0)"),"1480351419")</f>
        <v>1480351419</v>
      </c>
      <c r="Y7" s="8">
        <f>IFERROR(__xludf.DUMMYFUNCTION("IFERROR(MIN(FILTER({'PostestData (Submission)'!E:E}, 'PostestData (Submission)'!D:D=A7, 'PostestData (Submission)'!A:A=442, 'PostestData (Submission)'!E:E&gt;0)),0)"),"1480351529")</f>
        <v>1480351529</v>
      </c>
      <c r="Z7" s="8">
        <f>IFERROR(__xludf.DUMMYFUNCTION("IFERROR(MIN(FILTER('PostestData (ViewVPL)'!D:D, 'PostestData (ViewVPL)'!C:C=A7, 'PostestData (ViewVPL)'!B:B=442,'PostestData (ViewVPL)'!D:D&gt;X7,'PostestData (ViewVPL)'!D:D&lt;Y7)),0)"),"1480351425")</f>
        <v>1480351425</v>
      </c>
      <c r="AA7" s="8">
        <f>IFERROR(__xludf.DUMMYFUNCTION("IFERROR(MAX(FILTER({'PostestData (Submission)'!E:E}, 'PostestData (Submission)'!D:D=A7, 'PostestData (Submission)'!A:A=442))-Z7, 0)"),"178929")</f>
        <v>178929</v>
      </c>
      <c r="AB7" s="8">
        <f>IFERROR(__xludf.DUMMYFUNCTION("IFERROR(FILTER({'PostestData (ExactPC)'!E:E}, 'PostestData (ExactPC)'!A:A=A7), 0)"),"10747")</f>
        <v>10747</v>
      </c>
      <c r="AC7" s="8">
        <f>COUNTIFS('PostestData (Submission)'!D:D,"="&amp;A7,'PostestData (Submission)'!A:A,"=442",'PostestData (Submission)'!E:E,"&gt;0")</f>
        <v>6</v>
      </c>
      <c r="AD7" s="8">
        <f>COUNTIFS('PostestData (Submission)'!D:D,"="&amp;A7,'PostestData (Submission)'!A:A,"=442",'PostestData (Submission)'!H:H,"&gt;0")</f>
        <v>5</v>
      </c>
      <c r="AE7" s="8">
        <f>IFERROR(__xludf.DUMMYFUNCTION("IFERROR(MAX(FILTER('PostestData (Submission)'!I:I,'PostestData (Submission)'!D:D=A7,'PostestData (Submission)'!A:A=442,'PostestData (Submission)'!H:H&gt;0)),0)"),"10")</f>
        <v>10</v>
      </c>
      <c r="AF7" s="8">
        <f>COUNTIFS('PostestData (ViewVPL)'!C:C,"="&amp;A7,'PostestData (ViewVPL)'!B:B,"=442")</f>
        <v>22</v>
      </c>
      <c r="AG7" s="8">
        <f>IFERROR(__xludf.DUMMYFUNCTION("IFERROR(MAX(FILTER('PostestData (Loggedin)'!C:C,'PostestData (Loggedin)'!B:B=A7,'PostestData (Loggedin)'!C:C&lt;AH7)),0)"),"1480529750")</f>
        <v>1480529750</v>
      </c>
      <c r="AH7" s="8">
        <f>IFERROR(__xludf.DUMMYFUNCTION("IFERROR(MIN(FILTER({'PostestData (Submission)'!E:E}, 'PostestData (Submission)'!D:D=A7, 'PostestData (Submission)'!A:A=445, 'PostestData (Submission)'!E:E&gt;0)),0)"),"1480530262")</f>
        <v>1480530262</v>
      </c>
      <c r="AI7" s="8">
        <f>IFERROR(__xludf.DUMMYFUNCTION("IFERROR(MIN(FILTER('PostestData (ViewVPL)'!D:D, 'PostestData (ViewVPL)'!C:C=A7, 'PostestData (ViewVPL)'!B:B=445,'PostestData (ViewVPL)'!D:D&gt;AG7,'PostestData (ViewVPL)'!D:D&lt;AH7)),0)"),"1480530255")</f>
        <v>1480530255</v>
      </c>
      <c r="AJ7" s="8">
        <f>IFERROR(__xludf.DUMMYFUNCTION("IFERROR(MAX(FILTER({'PostestData (Submission)'!E:E}, 'PostestData (Submission)'!D:D=A7, 'PostestData (Submission)'!A:A=445))-AI7, 0)"),"7")</f>
        <v>7</v>
      </c>
      <c r="AK7" s="8">
        <f>IFERROR(__xludf.DUMMYFUNCTION("IFERROR(FILTER({'PostestData (ExactPD)'!E:E}, 'PostestData (ExactPD)'!A:A=A7), 0)"),"0")</f>
        <v>0</v>
      </c>
      <c r="AL7" s="8">
        <f>COUNTIFS('PostestData (Submission)'!D:D,"="&amp;A7,'PostestData (Submission)'!A:A,"=445",'PostestData (Submission)'!E:E,"&gt;0")</f>
        <v>1</v>
      </c>
      <c r="AM7" s="8">
        <f>COUNTIFS('PostestData (Submission)'!D:D,"="&amp;A7,'PostestData (Submission)'!A:A,"=445",'PostestData (Submission)'!H:H,"&gt;0")</f>
        <v>1</v>
      </c>
      <c r="AN7" s="8">
        <f>IFERROR(__xludf.DUMMYFUNCTION("IFERROR(MAX(FILTER('PostestData (Submission)'!I:I,'PostestData (Submission)'!D:D=A7,'PostestData (Submission)'!A:A=445,'PostestData (Submission)'!H:H&gt;0)),0)"),"10")</f>
        <v>10</v>
      </c>
      <c r="AO7" s="8">
        <f>COUNTIFS('PostestData (ViewVPL)'!C:C,"="&amp;A7,'PostestData (ViewVPL)'!B:B,"=445")</f>
        <v>8</v>
      </c>
      <c r="AP7" s="8"/>
      <c r="AQ7" s="11"/>
      <c r="AR7" s="11"/>
      <c r="AS7" s="8"/>
      <c r="AT7" s="8"/>
      <c r="AU7" s="8"/>
      <c r="AV7" s="8"/>
      <c r="AW7" s="11"/>
      <c r="AX7" s="11"/>
      <c r="AY7" s="11"/>
    </row>
    <row r="8">
      <c r="A8" s="7">
        <v>10141.0</v>
      </c>
      <c r="B8" s="3" t="s">
        <v>45</v>
      </c>
      <c r="C8" s="3" t="s">
        <v>99</v>
      </c>
      <c r="D8" s="3" t="s">
        <v>47</v>
      </c>
      <c r="E8" s="3" t="s">
        <v>100</v>
      </c>
      <c r="F8" s="8">
        <f>IFERROR(__xludf.DUMMYFUNCTION("IFERROR(MAX(FILTER('PostestData (Loggedin)'!C:C,'PostestData (Loggedin)'!B:B=A8,'PostestData (Loggedin)'!C:C&lt;G8)),0)"),"1480117647")</f>
        <v>1480117647</v>
      </c>
      <c r="G8" s="8">
        <f>IFERROR(__xludf.DUMMYFUNCTION("IFERROR(MIN(FILTER({'PostestData (Submission)'!E:E}, 'PostestData (Submission)'!D:D=A8, 'PostestData (Submission)'!A:A=443, 'PostestData (Submission)'!E:E&gt;0)),0)"),"1480117675")</f>
        <v>1480117675</v>
      </c>
      <c r="H8" s="8">
        <f>IFERROR(__xludf.DUMMYFUNCTION("IFERROR(MIN(FILTER('PostestData (ViewVPL)'!D:D, 'PostestData (ViewVPL)'!C:C=A8, 'PostestData (ViewVPL)'!B:B=443,'PostestData (ViewVPL)'!D:D&gt;F8,'PostestData (ViewVPL)'!D:D&lt;G8)),0)"),"1480117659")</f>
        <v>1480117659</v>
      </c>
      <c r="I8" s="8">
        <f>IFERROR(__xludf.DUMMYFUNCTION("IFERROR(MAX(FILTER({'PostestData (Submission)'!E:E}, 'PostestData (Submission)'!D:D=A8, 'PostestData (Submission)'!A:A=443))-H8, 0)"),"84")</f>
        <v>84</v>
      </c>
      <c r="J8" s="8">
        <f>IFERROR(__xludf.DUMMYFUNCTION("IFERROR(FILTER({'PostestData (ExactPA)'!E:E}, 'PostestData (ExactPA)'!A:A=A8), 0)"),"78")</f>
        <v>78</v>
      </c>
      <c r="K8" s="8">
        <f>COUNTIFS('PostestData (Submission)'!D:D,"="&amp;A8,'PostestData (Submission)'!A:A,"=443",'PostestData (Submission)'!E:E,"&gt;0")</f>
        <v>2</v>
      </c>
      <c r="L8" s="8">
        <f>COUNTIFS('PostestData (Submission)'!D:D,"="&amp;A8,'PostestData (Submission)'!A:A,"=443",'PostestData (Submission)'!H:H,"&gt;0")</f>
        <v>2</v>
      </c>
      <c r="M8" s="8">
        <f>IFERROR(__xludf.DUMMYFUNCTION("IFERROR(MAX(FILTER('PostestData (Submission)'!I:I,'PostestData (Submission)'!D:D=A8,'PostestData (Submission)'!A:A=443,'PostestData (Submission)'!H:H&gt;0)),0)"),"10")</f>
        <v>10</v>
      </c>
      <c r="N8" s="8">
        <f>COUNTIFS('PostestData (ViewVPL)'!C:C,"="&amp;A8,'PostestData (ViewVPL)'!B:B,"=443")</f>
        <v>9</v>
      </c>
      <c r="O8" s="8">
        <f>IFERROR(__xludf.DUMMYFUNCTION("IFERROR(MAX(FILTER('PostestData (Loggedin)'!C:C,'PostestData (Loggedin)'!B:B=A8,'PostestData (Loggedin)'!C:C&lt;P8)),0)"),"1480118431")</f>
        <v>1480118431</v>
      </c>
      <c r="P8" s="8">
        <f>IFERROR(__xludf.DUMMYFUNCTION("IFERROR(MIN(FILTER({'PostestData (Submission)'!E:E}, 'PostestData (Submission)'!D:D=A8, 'PostestData (Submission)'!A:A=444, 'PostestData (Submission)'!E:E&gt;0)),0)"),"1480118530")</f>
        <v>1480118530</v>
      </c>
      <c r="Q8" s="8">
        <f>IFERROR(__xludf.DUMMYFUNCTION("IFERROR(MIN(FILTER('PostestData (ViewVPL)'!D:D, 'PostestData (ViewVPL)'!C:C=A8, 'PostestData (ViewVPL)'!B:B=444,'PostestData (ViewVPL)'!D:D&gt;O8,'PostestData (ViewVPL)'!D:D&lt;P8)),0)"),"1480118452")</f>
        <v>1480118452</v>
      </c>
      <c r="R8" s="8">
        <f>IFERROR(__xludf.DUMMYFUNCTION("IFERROR(MAX(FILTER({'PostestData (Submission)'!E:E}, 'PostestData (Submission)'!D:D=A8, 'PostestData (Submission)'!A:A=444))-Q8, 0)"),"274")</f>
        <v>274</v>
      </c>
      <c r="S8" s="8">
        <f>IFERROR(__xludf.DUMMYFUNCTION("IFERROR(FILTER({'PostestData (ExactPB)'!E:E}, 'PostestData (ExactPB)'!A:A=A8), 0)"),"408")</f>
        <v>408</v>
      </c>
      <c r="T8" s="8">
        <f>COUNTIFS('PostestData (Submission)'!D:D,"="&amp;A8,'PostestData (Submission)'!A:A,"=444",'PostestData (Submission)'!E:E,"&gt;0")</f>
        <v>3</v>
      </c>
      <c r="U8" s="8">
        <f>COUNTIFS('PostestData (Submission)'!D:D,"="&amp;A8,'PostestData (Submission)'!A:A,"=444",'PostestData (Submission)'!H:H,"&gt;0")</f>
        <v>3</v>
      </c>
      <c r="V8" s="8">
        <f>IFERROR(__xludf.DUMMYFUNCTION("IFERROR(MAX(FILTER('PostestData (Submission)'!I:I,'PostestData (Submission)'!D:D=A8,'PostestData (Submission)'!A:A=444,'PostestData (Submission)'!H:H&gt;0)),0)"),"10")</f>
        <v>10</v>
      </c>
      <c r="W8" s="8">
        <f>COUNTIFS('PostestData (ViewVPL)'!C:C,"="&amp;A8,'PostestData (ViewVPL)'!B:B,"=444")</f>
        <v>7</v>
      </c>
      <c r="X8" s="8">
        <f>IFERROR(__xludf.DUMMYFUNCTION("IFERROR(MAX(FILTER('PostestData (Loggedin)'!C:C,'PostestData (Loggedin)'!B:B=A8,'PostestData (Loggedin)'!C:C&lt;Y8)),0)"),"1480118431")</f>
        <v>1480118431</v>
      </c>
      <c r="Y8" s="8">
        <f>IFERROR(__xludf.DUMMYFUNCTION("IFERROR(MIN(FILTER({'PostestData (Submission)'!E:E}, 'PostestData (Submission)'!D:D=A8, 'PostestData (Submission)'!A:A=442, 'PostestData (Submission)'!E:E&gt;0)),0)"),"1480124891")</f>
        <v>1480124891</v>
      </c>
      <c r="Z8" s="8">
        <f>IFERROR(__xludf.DUMMYFUNCTION("IFERROR(MIN(FILTER('PostestData (ViewVPL)'!D:D, 'PostestData (ViewVPL)'!C:C=A8, 'PostestData (ViewVPL)'!B:B=442,'PostestData (ViewVPL)'!D:D&gt;X8,'PostestData (ViewVPL)'!D:D&lt;Y8)),0)"),"1480118841")</f>
        <v>1480118841</v>
      </c>
      <c r="AA8" s="8">
        <f>IFERROR(__xludf.DUMMYFUNCTION("IFERROR(MAX(FILTER({'PostestData (Submission)'!E:E}, 'PostestData (Submission)'!D:D=A8, 'PostestData (Submission)'!A:A=442))-Z8, 0)"),"6261")</f>
        <v>6261</v>
      </c>
      <c r="AB8" s="8">
        <f>IFERROR(__xludf.DUMMYFUNCTION("IFERROR(FILTER({'PostestData (ExactPC)'!E:E}, 'PostestData (ExactPC)'!A:A=A8), 0)"),"327")</f>
        <v>327</v>
      </c>
      <c r="AC8" s="8">
        <f>COUNTIFS('PostestData (Submission)'!D:D,"="&amp;A8,'PostestData (Submission)'!A:A,"=442",'PostestData (Submission)'!E:E,"&gt;0")</f>
        <v>2</v>
      </c>
      <c r="AD8" s="8">
        <f>COUNTIFS('PostestData (Submission)'!D:D,"="&amp;A8,'PostestData (Submission)'!A:A,"=442",'PostestData (Submission)'!H:H,"&gt;0")</f>
        <v>2</v>
      </c>
      <c r="AE8" s="8">
        <f>IFERROR(__xludf.DUMMYFUNCTION("IFERROR(MAX(FILTER('PostestData (Submission)'!I:I,'PostestData (Submission)'!D:D=A8,'PostestData (Submission)'!A:A=442,'PostestData (Submission)'!H:H&gt;0)),0)"),"10")</f>
        <v>10</v>
      </c>
      <c r="AF8" s="8">
        <f>COUNTIFS('PostestData (ViewVPL)'!C:C,"="&amp;A8,'PostestData (ViewVPL)'!B:B,"=442")</f>
        <v>7</v>
      </c>
      <c r="AG8" s="8">
        <f>IFERROR(__xludf.DUMMYFUNCTION("IFERROR(MAX(FILTER('PostestData (Loggedin)'!C:C,'PostestData (Loggedin)'!B:B=A8,'PostestData (Loggedin)'!C:C&lt;AH8)),0)"),"1480118431")</f>
        <v>1480118431</v>
      </c>
      <c r="AH8" s="8">
        <f>IFERROR(__xludf.DUMMYFUNCTION("IFERROR(MIN(FILTER({'PostestData (Submission)'!E:E}, 'PostestData (Submission)'!D:D=A8, 'PostestData (Submission)'!A:A=445, 'PostestData (Submission)'!E:E&gt;0)),0)"),"1480122833")</f>
        <v>1480122833</v>
      </c>
      <c r="AI8" s="8">
        <f>IFERROR(__xludf.DUMMYFUNCTION("IFERROR(MIN(FILTER('PostestData (ViewVPL)'!D:D, 'PostestData (ViewVPL)'!C:C=A8, 'PostestData (ViewVPL)'!B:B=445,'PostestData (ViewVPL)'!D:D&gt;AG8,'PostestData (ViewVPL)'!D:D&lt;AH8)),0)"),"1480121363")</f>
        <v>1480121363</v>
      </c>
      <c r="AJ8" s="8">
        <f>IFERROR(__xludf.DUMMYFUNCTION("IFERROR(MAX(FILTER({'PostestData (Submission)'!E:E}, 'PostestData (Submission)'!D:D=A8, 'PostestData (Submission)'!A:A=445))-AI8, 0)"),"4036")</f>
        <v>4036</v>
      </c>
      <c r="AK8" s="8">
        <f>IFERROR(__xludf.DUMMYFUNCTION("IFERROR(FILTER({'PostestData (ExactPD)'!E:E}, 'PostestData (ExactPD)'!A:A=A8), 0)"),"183")</f>
        <v>183</v>
      </c>
      <c r="AL8" s="8">
        <f>COUNTIFS('PostestData (Submission)'!D:D,"="&amp;A8,'PostestData (Submission)'!A:A,"=445",'PostestData (Submission)'!E:E,"&gt;0")</f>
        <v>5</v>
      </c>
      <c r="AM8" s="8">
        <f>COUNTIFS('PostestData (Submission)'!D:D,"="&amp;A8,'PostestData (Submission)'!A:A,"=445",'PostestData (Submission)'!H:H,"&gt;0")</f>
        <v>5</v>
      </c>
      <c r="AN8" s="8">
        <f>IFERROR(__xludf.DUMMYFUNCTION("IFERROR(MAX(FILTER('PostestData (Submission)'!I:I,'PostestData (Submission)'!D:D=A8,'PostestData (Submission)'!A:A=445,'PostestData (Submission)'!H:H&gt;0)),0)"),"10")</f>
        <v>10</v>
      </c>
      <c r="AO8" s="8">
        <f>COUNTIFS('PostestData (ViewVPL)'!C:C,"="&amp;A8,'PostestData (ViewVPL)'!B:B,"=445")</f>
        <v>8</v>
      </c>
      <c r="AP8" s="8"/>
      <c r="AQ8" s="11"/>
      <c r="AR8" s="11"/>
      <c r="AS8" s="8"/>
      <c r="AT8" s="8"/>
      <c r="AU8" s="8"/>
      <c r="AV8" s="8"/>
      <c r="AW8" s="11"/>
      <c r="AX8" s="11"/>
      <c r="AY8" s="11"/>
    </row>
    <row r="9">
      <c r="A9" s="7">
        <v>10143.0</v>
      </c>
      <c r="B9" s="3" t="s">
        <v>45</v>
      </c>
      <c r="C9" s="3" t="s">
        <v>99</v>
      </c>
      <c r="D9" s="3" t="s">
        <v>63</v>
      </c>
      <c r="E9" s="3" t="s">
        <v>100</v>
      </c>
      <c r="F9" s="8">
        <f>IFERROR(__xludf.DUMMYFUNCTION("IFERROR(MAX(FILTER('PostestData (Loggedin)'!C:C,'PostestData (Loggedin)'!B:B=A9,'PostestData (Loggedin)'!C:C&lt;G9)),0)"),"0")</f>
        <v>0</v>
      </c>
      <c r="G9" s="8">
        <f>IFERROR(__xludf.DUMMYFUNCTION("IFERROR(MIN(FILTER({'PostestData (Submission)'!E:E}, 'PostestData (Submission)'!D:D=A9, 'PostestData (Submission)'!A:A=443, 'PostestData (Submission)'!E:E&gt;0)),0)"),"0")</f>
        <v>0</v>
      </c>
      <c r="H9" s="8">
        <f>IFERROR(__xludf.DUMMYFUNCTION("IFERROR(MIN(FILTER('PostestData (ViewVPL)'!D:D, 'PostestData (ViewVPL)'!C:C=A9, 'PostestData (ViewVPL)'!B:B=443,'PostestData (ViewVPL)'!D:D&gt;F9,'PostestData (ViewVPL)'!D:D&lt;G9)),0)"),"0")</f>
        <v>0</v>
      </c>
      <c r="I9" s="8">
        <f>IFERROR(__xludf.DUMMYFUNCTION("IFERROR(MAX(FILTER({'PostestData (Submission)'!E:E}, 'PostestData (Submission)'!D:D=A9, 'PostestData (Submission)'!A:A=443))-H9, 0)"),"0")</f>
        <v>0</v>
      </c>
      <c r="J9" s="8">
        <f>IFERROR(__xludf.DUMMYFUNCTION("IFERROR(FILTER({'PostestData (ExactPA)'!E:E}, 'PostestData (ExactPA)'!A:A=A9), 0)"),"0")</f>
        <v>0</v>
      </c>
      <c r="K9" s="8">
        <f>COUNTIFS('PostestData (Submission)'!D:D,"="&amp;A9,'PostestData (Submission)'!A:A,"=443",'PostestData (Submission)'!E:E,"&gt;0")</f>
        <v>0</v>
      </c>
      <c r="L9" s="8">
        <f>COUNTIFS('PostestData (Submission)'!D:D,"="&amp;A9,'PostestData (Submission)'!A:A,"=443",'PostestData (Submission)'!H:H,"&gt;0")</f>
        <v>0</v>
      </c>
      <c r="M9" s="8">
        <f>IFERROR(__xludf.DUMMYFUNCTION("IFERROR(MAX(FILTER('PostestData (Submission)'!I:I,'PostestData (Submission)'!D:D=A9,'PostestData (Submission)'!A:A=443,'PostestData (Submission)'!H:H&gt;0)),0)"),"0")</f>
        <v>0</v>
      </c>
      <c r="N9" s="8">
        <f>COUNTIFS('PostestData (ViewVPL)'!C:C,"="&amp;A9,'PostestData (ViewVPL)'!B:B,"=443")</f>
        <v>2</v>
      </c>
      <c r="O9" s="8">
        <f>IFERROR(__xludf.DUMMYFUNCTION("IFERROR(MAX(FILTER('PostestData (Loggedin)'!C:C,'PostestData (Loggedin)'!B:B=A9,'PostestData (Loggedin)'!C:C&lt;P9)),0)"),"0")</f>
        <v>0</v>
      </c>
      <c r="P9" s="8">
        <f>IFERROR(__xludf.DUMMYFUNCTION("IFERROR(MIN(FILTER({'PostestData (Submission)'!E:E}, 'PostestData (Submission)'!D:D=A9, 'PostestData (Submission)'!A:A=444, 'PostestData (Submission)'!E:E&gt;0)),0)"),"0")</f>
        <v>0</v>
      </c>
      <c r="Q9" s="8">
        <f>IFERROR(__xludf.DUMMYFUNCTION("IFERROR(MIN(FILTER('PostestData (ViewVPL)'!D:D, 'PostestData (ViewVPL)'!C:C=A9, 'PostestData (ViewVPL)'!B:B=444,'PostestData (ViewVPL)'!D:D&gt;O9,'PostestData (ViewVPL)'!D:D&lt;P9)),0)"),"0")</f>
        <v>0</v>
      </c>
      <c r="R9" s="8">
        <f>IFERROR(__xludf.DUMMYFUNCTION("IFERROR(MAX(FILTER({'PostestData (Submission)'!E:E}, 'PostestData (Submission)'!D:D=A9, 'PostestData (Submission)'!A:A=444))-Q9, 0)"),"0")</f>
        <v>0</v>
      </c>
      <c r="S9" s="8">
        <f>IFERROR(__xludf.DUMMYFUNCTION("IFERROR(FILTER({'PostestData (ExactPB)'!E:E}, 'PostestData (ExactPB)'!A:A=A9), 0)"),"0")</f>
        <v>0</v>
      </c>
      <c r="T9" s="8">
        <f>COUNTIFS('PostestData (Submission)'!D:D,"="&amp;A9,'PostestData (Submission)'!A:A,"=444",'PostestData (Submission)'!E:E,"&gt;0")</f>
        <v>0</v>
      </c>
      <c r="U9" s="8">
        <f>COUNTIFS('PostestData (Submission)'!D:D,"="&amp;A9,'PostestData (Submission)'!A:A,"=444",'PostestData (Submission)'!H:H,"&gt;0")</f>
        <v>0</v>
      </c>
      <c r="V9" s="8">
        <f>IFERROR(__xludf.DUMMYFUNCTION("IFERROR(MAX(FILTER('PostestData (Submission)'!I:I,'PostestData (Submission)'!D:D=A9,'PostestData (Submission)'!A:A=444,'PostestData (Submission)'!H:H&gt;0)),0)"),"0")</f>
        <v>0</v>
      </c>
      <c r="W9" s="8">
        <f>COUNTIFS('PostestData (ViewVPL)'!C:C,"="&amp;A9,'PostestData (ViewVPL)'!B:B,"=444")</f>
        <v>0</v>
      </c>
      <c r="X9" s="8">
        <f>IFERROR(__xludf.DUMMYFUNCTION("IFERROR(MAX(FILTER('PostestData (Loggedin)'!C:C,'PostestData (Loggedin)'!B:B=A9,'PostestData (Loggedin)'!C:C&lt;Y9)),0)"),"0")</f>
        <v>0</v>
      </c>
      <c r="Y9" s="8">
        <f>IFERROR(__xludf.DUMMYFUNCTION("IFERROR(MIN(FILTER({'PostestData (Submission)'!E:E}, 'PostestData (Submission)'!D:D=A9, 'PostestData (Submission)'!A:A=442, 'PostestData (Submission)'!E:E&gt;0)),0)"),"0")</f>
        <v>0</v>
      </c>
      <c r="Z9" s="8">
        <f>IFERROR(__xludf.DUMMYFUNCTION("IFERROR(MIN(FILTER('PostestData (ViewVPL)'!D:D, 'PostestData (ViewVPL)'!C:C=A9, 'PostestData (ViewVPL)'!B:B=442,'PostestData (ViewVPL)'!D:D&gt;X9,'PostestData (ViewVPL)'!D:D&lt;Y9)),0)"),"0")</f>
        <v>0</v>
      </c>
      <c r="AA9" s="8">
        <f>IFERROR(__xludf.DUMMYFUNCTION("IFERROR(MAX(FILTER({'PostestData (Submission)'!E:E}, 'PostestData (Submission)'!D:D=A9, 'PostestData (Submission)'!A:A=442))-Z9, 0)"),"0")</f>
        <v>0</v>
      </c>
      <c r="AB9" s="8">
        <f>IFERROR(__xludf.DUMMYFUNCTION("IFERROR(FILTER({'PostestData (ExactPC)'!E:E}, 'PostestData (ExactPC)'!A:A=A9), 0)"),"0")</f>
        <v>0</v>
      </c>
      <c r="AC9" s="8">
        <f>COUNTIFS('PostestData (Submission)'!D:D,"="&amp;A9,'PostestData (Submission)'!A:A,"=442",'PostestData (Submission)'!E:E,"&gt;0")</f>
        <v>0</v>
      </c>
      <c r="AD9" s="8">
        <f>COUNTIFS('PostestData (Submission)'!D:D,"="&amp;A9,'PostestData (Submission)'!A:A,"=442",'PostestData (Submission)'!H:H,"&gt;0")</f>
        <v>0</v>
      </c>
      <c r="AE9" s="8">
        <f>IFERROR(__xludf.DUMMYFUNCTION("IFERROR(MAX(FILTER('PostestData (Submission)'!I:I,'PostestData (Submission)'!D:D=A9,'PostestData (Submission)'!A:A=442,'PostestData (Submission)'!H:H&gt;0)),0)"),"0")</f>
        <v>0</v>
      </c>
      <c r="AF9" s="8">
        <f>COUNTIFS('PostestData (ViewVPL)'!C:C,"="&amp;A9,'PostestData (ViewVPL)'!B:B,"=442")</f>
        <v>0</v>
      </c>
      <c r="AG9" s="8">
        <f>IFERROR(__xludf.DUMMYFUNCTION("IFERROR(MAX(FILTER('PostestData (Loggedin)'!C:C,'PostestData (Loggedin)'!B:B=A9,'PostestData (Loggedin)'!C:C&lt;AH9)),0)"),"0")</f>
        <v>0</v>
      </c>
      <c r="AH9" s="8">
        <f>IFERROR(__xludf.DUMMYFUNCTION("IFERROR(MIN(FILTER({'PostestData (Submission)'!E:E}, 'PostestData (Submission)'!D:D=A9, 'PostestData (Submission)'!A:A=445, 'PostestData (Submission)'!E:E&gt;0)),0)"),"0")</f>
        <v>0</v>
      </c>
      <c r="AI9" s="8">
        <f>IFERROR(__xludf.DUMMYFUNCTION("IFERROR(MIN(FILTER('PostestData (ViewVPL)'!D:D, 'PostestData (ViewVPL)'!C:C=A9, 'PostestData (ViewVPL)'!B:B=445,'PostestData (ViewVPL)'!D:D&gt;AG9,'PostestData (ViewVPL)'!D:D&lt;AH9)),0)"),"0")</f>
        <v>0</v>
      </c>
      <c r="AJ9" s="8">
        <f>IFERROR(__xludf.DUMMYFUNCTION("IFERROR(MAX(FILTER({'PostestData (Submission)'!E:E}, 'PostestData (Submission)'!D:D=A9, 'PostestData (Submission)'!A:A=445))-AI9, 0)"),"0")</f>
        <v>0</v>
      </c>
      <c r="AK9" s="8">
        <f>IFERROR(__xludf.DUMMYFUNCTION("IFERROR(FILTER({'PostestData (ExactPD)'!E:E}, 'PostestData (ExactPD)'!A:A=A9), 0)"),"0")</f>
        <v>0</v>
      </c>
      <c r="AL9" s="8">
        <f>COUNTIFS('PostestData (Submission)'!D:D,"="&amp;A9,'PostestData (Submission)'!A:A,"=445",'PostestData (Submission)'!E:E,"&gt;0")</f>
        <v>0</v>
      </c>
      <c r="AM9" s="8">
        <f>COUNTIFS('PostestData (Submission)'!D:D,"="&amp;A9,'PostestData (Submission)'!A:A,"=445",'PostestData (Submission)'!H:H,"&gt;0")</f>
        <v>0</v>
      </c>
      <c r="AN9" s="8">
        <f>IFERROR(__xludf.DUMMYFUNCTION("IFERROR(MAX(FILTER('PostestData (Submission)'!I:I,'PostestData (Submission)'!D:D=A9,'PostestData (Submission)'!A:A=445,'PostestData (Submission)'!H:H&gt;0)),0)"),"0")</f>
        <v>0</v>
      </c>
      <c r="AO9" s="8">
        <f>COUNTIFS('PostestData (ViewVPL)'!C:C,"="&amp;A9,'PostestData (ViewVPL)'!B:B,"=445")</f>
        <v>0</v>
      </c>
      <c r="AP9" s="8"/>
      <c r="AQ9" s="11"/>
      <c r="AR9" s="11"/>
      <c r="AS9" s="8"/>
      <c r="AT9" s="8"/>
      <c r="AU9" s="8"/>
      <c r="AV9" s="8"/>
      <c r="AW9" s="11"/>
      <c r="AX9" s="11"/>
      <c r="AY9" s="11"/>
    </row>
    <row r="10">
      <c r="A10" s="7">
        <v>10134.0</v>
      </c>
      <c r="B10" s="3" t="s">
        <v>45</v>
      </c>
      <c r="C10" s="3" t="s">
        <v>99</v>
      </c>
      <c r="D10" s="3" t="s">
        <v>63</v>
      </c>
      <c r="E10" s="3" t="s">
        <v>100</v>
      </c>
      <c r="F10" s="8">
        <f>IFERROR(__xludf.DUMMYFUNCTION("IFERROR(MAX(FILTER('PostestData (Loggedin)'!C:C,'PostestData (Loggedin)'!B:B=A10,'PostestData (Loggedin)'!C:C&lt;G10)),0)"),"1480114905")</f>
        <v>1480114905</v>
      </c>
      <c r="G10" s="8">
        <f>IFERROR(__xludf.DUMMYFUNCTION("IFERROR(MIN(FILTER({'PostestData (Submission)'!E:E}, 'PostestData (Submission)'!D:D=A10, 'PostestData (Submission)'!A:A=443, 'PostestData (Submission)'!E:E&gt;0)),0)"),"1480116044")</f>
        <v>1480116044</v>
      </c>
      <c r="H10" s="8">
        <f>IFERROR(__xludf.DUMMYFUNCTION("IFERROR(MIN(FILTER('PostestData (ViewVPL)'!D:D, 'PostestData (ViewVPL)'!C:C=A10, 'PostestData (ViewVPL)'!B:B=443,'PostestData (ViewVPL)'!D:D&gt;F10,'PostestData (ViewVPL)'!D:D&lt;G10)),0)"),"1480115222")</f>
        <v>1480115222</v>
      </c>
      <c r="I10" s="8">
        <f>IFERROR(__xludf.DUMMYFUNCTION("IFERROR(MAX(FILTER({'PostestData (Submission)'!E:E}, 'PostestData (Submission)'!D:D=A10, 'PostestData (Submission)'!A:A=443))-H10, 0)"),"2982")</f>
        <v>2982</v>
      </c>
      <c r="J10" s="8">
        <f>IFERROR(__xludf.DUMMYFUNCTION("IFERROR(FILTER({'PostestData (ExactPA)'!E:E}, 'PostestData (ExactPA)'!A:A=A10), 0)"),"2767")</f>
        <v>2767</v>
      </c>
      <c r="K10" s="8">
        <f>COUNTIFS('PostestData (Submission)'!D:D,"="&amp;A10,'PostestData (Submission)'!A:A,"=443",'PostestData (Submission)'!E:E,"&gt;0")</f>
        <v>29</v>
      </c>
      <c r="L10" s="8">
        <f>COUNTIFS('PostestData (Submission)'!D:D,"="&amp;A10,'PostestData (Submission)'!A:A,"=443",'PostestData (Submission)'!H:H,"&gt;0")</f>
        <v>3</v>
      </c>
      <c r="M10" s="8">
        <f>IFERROR(__xludf.DUMMYFUNCTION("IFERROR(MAX(FILTER('PostestData (Submission)'!I:I,'PostestData (Submission)'!D:D=A10,'PostestData (Submission)'!A:A=443,'PostestData (Submission)'!H:H&gt;0)),0)"),"10")</f>
        <v>10</v>
      </c>
      <c r="N10" s="8">
        <f>COUNTIFS('PostestData (ViewVPL)'!C:C,"="&amp;A10,'PostestData (ViewVPL)'!B:B,"=443")</f>
        <v>4</v>
      </c>
      <c r="O10" s="8">
        <f>IFERROR(__xludf.DUMMYFUNCTION("IFERROR(MAX(FILTER('PostestData (Loggedin)'!C:C,'PostestData (Loggedin)'!B:B=A10,'PostestData (Loggedin)'!C:C&lt;P10)),0)"),"1480114905")</f>
        <v>1480114905</v>
      </c>
      <c r="P10" s="8">
        <f>IFERROR(__xludf.DUMMYFUNCTION("IFERROR(MIN(FILTER({'PostestData (Submission)'!E:E}, 'PostestData (Submission)'!D:D=A10, 'PostestData (Submission)'!A:A=444, 'PostestData (Submission)'!E:E&gt;0)),0)"),"1480118826")</f>
        <v>1480118826</v>
      </c>
      <c r="Q10" s="8">
        <f>IFERROR(__xludf.DUMMYFUNCTION("IFERROR(MIN(FILTER('PostestData (ViewVPL)'!D:D, 'PostestData (ViewVPL)'!C:C=A10, 'PostestData (ViewVPL)'!B:B=444,'PostestData (ViewVPL)'!D:D&gt;O10,'PostestData (ViewVPL)'!D:D&lt;P10)),0)"),"1480116168")</f>
        <v>1480116168</v>
      </c>
      <c r="R10" s="8">
        <f>IFERROR(__xludf.DUMMYFUNCTION("IFERROR(MAX(FILTER({'PostestData (Submission)'!E:E}, 'PostestData (Submission)'!D:D=A10, 'PostestData (Submission)'!A:A=444))-Q10, 0)"),"2705")</f>
        <v>2705</v>
      </c>
      <c r="S10" s="8">
        <f>IFERROR(__xludf.DUMMYFUNCTION("IFERROR(FILTER({'PostestData (ExactPB)'!E:E}, 'PostestData (ExactPB)'!A:A=A10), 0)"),"1112")</f>
        <v>1112</v>
      </c>
      <c r="T10" s="8">
        <f>COUNTIFS('PostestData (Submission)'!D:D,"="&amp;A10,'PostestData (Submission)'!A:A,"=444",'PostestData (Submission)'!E:E,"&gt;0")</f>
        <v>2</v>
      </c>
      <c r="U10" s="8">
        <f>COUNTIFS('PostestData (Submission)'!D:D,"="&amp;A10,'PostestData (Submission)'!A:A,"=444",'PostestData (Submission)'!H:H,"&gt;0")</f>
        <v>1</v>
      </c>
      <c r="V10" s="8">
        <f>IFERROR(__xludf.DUMMYFUNCTION("IFERROR(MAX(FILTER('PostestData (Submission)'!I:I,'PostestData (Submission)'!D:D=A10,'PostestData (Submission)'!A:A=444,'PostestData (Submission)'!H:H&gt;0)),0)"),"10")</f>
        <v>10</v>
      </c>
      <c r="W10" s="8">
        <f>COUNTIFS('PostestData (ViewVPL)'!C:C,"="&amp;A10,'PostestData (ViewVPL)'!B:B,"=444")</f>
        <v>2</v>
      </c>
      <c r="X10" s="8">
        <f>IFERROR(__xludf.DUMMYFUNCTION("IFERROR(MAX(FILTER('PostestData (Loggedin)'!C:C,'PostestData (Loggedin)'!B:B=A10,'PostestData (Loggedin)'!C:C&lt;Y10)),0)"),"1480114905")</f>
        <v>1480114905</v>
      </c>
      <c r="Y10" s="8">
        <f>IFERROR(__xludf.DUMMYFUNCTION("IFERROR(MIN(FILTER({'PostestData (Submission)'!E:E}, 'PostestData (Submission)'!D:D=A10, 'PostestData (Submission)'!A:A=442, 'PostestData (Submission)'!E:E&gt;0)),0)"),"1480119315")</f>
        <v>1480119315</v>
      </c>
      <c r="Z10" s="8">
        <f>IFERROR(__xludf.DUMMYFUNCTION("IFERROR(MIN(FILTER('PostestData (ViewVPL)'!D:D, 'PostestData (ViewVPL)'!C:C=A10, 'PostestData (ViewVPL)'!B:B=442,'PostestData (ViewVPL)'!D:D&gt;X10,'PostestData (ViewVPL)'!D:D&lt;Y10)),0)"),"1480118909")</f>
        <v>1480118909</v>
      </c>
      <c r="AA10" s="8">
        <f>IFERROR(__xludf.DUMMYFUNCTION("IFERROR(MAX(FILTER({'PostestData (Submission)'!E:E}, 'PostestData (Submission)'!D:D=A10, 'PostestData (Submission)'!A:A=442))-Z10, 0)"),"406")</f>
        <v>406</v>
      </c>
      <c r="AB10" s="8">
        <f>IFERROR(__xludf.DUMMYFUNCTION("IFERROR(FILTER({'PostestData (ExactPC)'!E:E}, 'PostestData (ExactPC)'!A:A=A10), 0)"),"3")</f>
        <v>3</v>
      </c>
      <c r="AC10" s="8">
        <f>COUNTIFS('PostestData (Submission)'!D:D,"="&amp;A10,'PostestData (Submission)'!A:A,"=442",'PostestData (Submission)'!E:E,"&gt;0")</f>
        <v>1</v>
      </c>
      <c r="AD10" s="8">
        <f>COUNTIFS('PostestData (Submission)'!D:D,"="&amp;A10,'PostestData (Submission)'!A:A,"=442",'PostestData (Submission)'!H:H,"&gt;0")</f>
        <v>1</v>
      </c>
      <c r="AE10" s="8">
        <f>IFERROR(__xludf.DUMMYFUNCTION("IFERROR(MAX(FILTER('PostestData (Submission)'!I:I,'PostestData (Submission)'!D:D=A10,'PostestData (Submission)'!A:A=442,'PostestData (Submission)'!H:H&gt;0)),0)"),"10")</f>
        <v>10</v>
      </c>
      <c r="AF10" s="8">
        <f>COUNTIFS('PostestData (ViewVPL)'!C:C,"="&amp;A10,'PostestData (ViewVPL)'!B:B,"=442")</f>
        <v>2</v>
      </c>
      <c r="AG10" s="8">
        <f>IFERROR(__xludf.DUMMYFUNCTION("IFERROR(MAX(FILTER('PostestData (Loggedin)'!C:C,'PostestData (Loggedin)'!B:B=A10,'PostestData (Loggedin)'!C:C&lt;AH10)),0)"),"0")</f>
        <v>0</v>
      </c>
      <c r="AH10" s="8">
        <f>IFERROR(__xludf.DUMMYFUNCTION("IFERROR(MIN(FILTER({'PostestData (Submission)'!E:E}, 'PostestData (Submission)'!D:D=A10, 'PostestData (Submission)'!A:A=445, 'PostestData (Submission)'!E:E&gt;0)),0)"),"0")</f>
        <v>0</v>
      </c>
      <c r="AI10" s="8">
        <f>IFERROR(__xludf.DUMMYFUNCTION("IFERROR(MIN(FILTER('PostestData (ViewVPL)'!D:D, 'PostestData (ViewVPL)'!C:C=A10, 'PostestData (ViewVPL)'!B:B=445,'PostestData (ViewVPL)'!D:D&gt;AG10,'PostestData (ViewVPL)'!D:D&lt;AH10)),0)"),"0")</f>
        <v>0</v>
      </c>
      <c r="AJ10" s="8">
        <f>IFERROR(__xludf.DUMMYFUNCTION("IFERROR(MAX(FILTER({'PostestData (Submission)'!E:E}, 'PostestData (Submission)'!D:D=A10, 'PostestData (Submission)'!A:A=445))-AI10, 0)"),"0")</f>
        <v>0</v>
      </c>
      <c r="AK10" s="8">
        <f>IFERROR(__xludf.DUMMYFUNCTION("IFERROR(FILTER({'PostestData (ExactPD)'!E:E}, 'PostestData (ExactPD)'!A:A=A10), 0)"),"0")</f>
        <v>0</v>
      </c>
      <c r="AL10" s="8">
        <f>COUNTIFS('PostestData (Submission)'!D:D,"="&amp;A10,'PostestData (Submission)'!A:A,"=445",'PostestData (Submission)'!E:E,"&gt;0")</f>
        <v>0</v>
      </c>
      <c r="AM10" s="8">
        <f>COUNTIFS('PostestData (Submission)'!D:D,"="&amp;A10,'PostestData (Submission)'!A:A,"=445",'PostestData (Submission)'!H:H,"&gt;0")</f>
        <v>0</v>
      </c>
      <c r="AN10" s="8">
        <f>IFERROR(__xludf.DUMMYFUNCTION("IFERROR(MAX(FILTER('PostestData (Submission)'!I:I,'PostestData (Submission)'!D:D=A10,'PostestData (Submission)'!A:A=445,'PostestData (Submission)'!H:H&gt;0)),0)"),"0")</f>
        <v>0</v>
      </c>
      <c r="AO10" s="8">
        <f>COUNTIFS('PostestData (ViewVPL)'!C:C,"="&amp;A10,'PostestData (ViewVPL)'!B:B,"=445")</f>
        <v>2</v>
      </c>
      <c r="AP10" s="8"/>
      <c r="AQ10" s="11"/>
      <c r="AR10" s="11"/>
      <c r="AS10" s="8"/>
      <c r="AT10" s="8"/>
      <c r="AU10" s="8"/>
      <c r="AV10" s="8"/>
      <c r="AW10" s="11"/>
      <c r="AX10" s="11"/>
      <c r="AY10" s="11"/>
    </row>
    <row r="11">
      <c r="A11" s="7">
        <v>10121.0</v>
      </c>
      <c r="B11" s="3" t="s">
        <v>45</v>
      </c>
      <c r="C11" s="3" t="s">
        <v>101</v>
      </c>
      <c r="D11" s="3" t="s">
        <v>47</v>
      </c>
      <c r="E11" s="3" t="s">
        <v>48</v>
      </c>
      <c r="F11" s="8">
        <f>IFERROR(__xludf.DUMMYFUNCTION("IFERROR(MAX(FILTER('PostestData (Loggedin)'!C:C,'PostestData (Loggedin)'!B:B=A11,'PostestData (Loggedin)'!C:C&lt;G11)),0)"),"1480115258")</f>
        <v>1480115258</v>
      </c>
      <c r="G11" s="8">
        <f>IFERROR(__xludf.DUMMYFUNCTION("IFERROR(MIN(FILTER({'PostestData (Submission)'!E:E}, 'PostestData (Submission)'!D:D=A11, 'PostestData (Submission)'!A:A=443, 'PostestData (Submission)'!E:E&gt;0)),0)"),"1480117078")</f>
        <v>1480117078</v>
      </c>
      <c r="H11" s="8">
        <f>IFERROR(__xludf.DUMMYFUNCTION("IFERROR(MIN(FILTER('PostestData (ViewVPL)'!D:D, 'PostestData (ViewVPL)'!C:C=A11, 'PostestData (ViewVPL)'!B:B=443,'PostestData (ViewVPL)'!D:D&gt;F11,'PostestData (ViewVPL)'!D:D&lt;G11)),0)"),"1480115554")</f>
        <v>1480115554</v>
      </c>
      <c r="I11" s="8">
        <f>IFERROR(__xludf.DUMMYFUNCTION("IFERROR(MAX(FILTER({'PostestData (Submission)'!E:E}, 'PostestData (Submission)'!D:D=A11, 'PostestData (Submission)'!A:A=443))-H11, 0)"),"2525")</f>
        <v>2525</v>
      </c>
      <c r="J11" s="8">
        <f>IFERROR(__xludf.DUMMYFUNCTION("IFERROR(FILTER({'PostestData (ExactPA)'!E:E}, 'PostestData (ExactPA)'!A:A=A11), 0)"),"2305")</f>
        <v>2305</v>
      </c>
      <c r="K11" s="8">
        <f>COUNTIFS('PostestData (Submission)'!D:D,"="&amp;A11,'PostestData (Submission)'!A:A,"=443",'PostestData (Submission)'!E:E,"&gt;0")</f>
        <v>14</v>
      </c>
      <c r="L11" s="8">
        <f>COUNTIFS('PostestData (Submission)'!D:D,"="&amp;A11,'PostestData (Submission)'!A:A,"=443",'PostestData (Submission)'!H:H,"&gt;0")</f>
        <v>3</v>
      </c>
      <c r="M11" s="8">
        <f>IFERROR(__xludf.DUMMYFUNCTION("IFERROR(MAX(FILTER('PostestData (Submission)'!I:I,'PostestData (Submission)'!D:D=A11,'PostestData (Submission)'!A:A=443,'PostestData (Submission)'!H:H&gt;0)),0)"),"10")</f>
        <v>10</v>
      </c>
      <c r="N11" s="8">
        <f>COUNTIFS('PostestData (ViewVPL)'!C:C,"="&amp;A11,'PostestData (ViewVPL)'!B:B,"=443")</f>
        <v>5</v>
      </c>
      <c r="O11" s="8">
        <f>IFERROR(__xludf.DUMMYFUNCTION("IFERROR(MAX(FILTER('PostestData (Loggedin)'!C:C,'PostestData (Loggedin)'!B:B=A11,'PostestData (Loggedin)'!C:C&lt;P11)),0)"),"1480115258")</f>
        <v>1480115258</v>
      </c>
      <c r="P11" s="8">
        <f>IFERROR(__xludf.DUMMYFUNCTION("IFERROR(MIN(FILTER({'PostestData (Submission)'!E:E}, 'PostestData (Submission)'!D:D=A11, 'PostestData (Submission)'!A:A=444, 'PostestData (Submission)'!E:E&gt;0)),0)"),"1480119428")</f>
        <v>1480119428</v>
      </c>
      <c r="Q11" s="8">
        <f>IFERROR(__xludf.DUMMYFUNCTION("IFERROR(MIN(FILTER('PostestData (ViewVPL)'!D:D, 'PostestData (ViewVPL)'!C:C=A11, 'PostestData (ViewVPL)'!B:B=444,'PostestData (ViewVPL)'!D:D&gt;O11,'PostestData (ViewVPL)'!D:D&lt;P11)),0)"),"1480118329")</f>
        <v>1480118329</v>
      </c>
      <c r="R11" s="8">
        <f>IFERROR(__xludf.DUMMYFUNCTION("IFERROR(MAX(FILTER({'PostestData (Submission)'!E:E}, 'PostestData (Submission)'!D:D=A11, 'PostestData (Submission)'!A:A=444))-Q11, 0)"),"2509")</f>
        <v>2509</v>
      </c>
      <c r="S11" s="8">
        <f>IFERROR(__xludf.DUMMYFUNCTION("IFERROR(FILTER({'PostestData (ExactPB)'!E:E}, 'PostestData (ExactPB)'!A:A=A11), 0)"),"2157")</f>
        <v>2157</v>
      </c>
      <c r="T11" s="8">
        <f>COUNTIFS('PostestData (Submission)'!D:D,"="&amp;A11,'PostestData (Submission)'!A:A,"=444",'PostestData (Submission)'!E:E,"&gt;0")</f>
        <v>11</v>
      </c>
      <c r="U11" s="8">
        <f>COUNTIFS('PostestData (Submission)'!D:D,"="&amp;A11,'PostestData (Submission)'!A:A,"=444",'PostestData (Submission)'!H:H,"&gt;0")</f>
        <v>0</v>
      </c>
      <c r="V11" s="8">
        <f>IFERROR(__xludf.DUMMYFUNCTION("IFERROR(MAX(FILTER('PostestData (Submission)'!I:I,'PostestData (Submission)'!D:D=A11,'PostestData (Submission)'!A:A=444,'PostestData (Submission)'!H:H&gt;0)),0)"),"0")</f>
        <v>0</v>
      </c>
      <c r="W11" s="8">
        <f>COUNTIFS('PostestData (ViewVPL)'!C:C,"="&amp;A11,'PostestData (ViewVPL)'!B:B,"=444")</f>
        <v>4</v>
      </c>
      <c r="X11" s="8">
        <f>IFERROR(__xludf.DUMMYFUNCTION("IFERROR(MAX(FILTER('PostestData (Loggedin)'!C:C,'PostestData (Loggedin)'!B:B=A11,'PostestData (Loggedin)'!C:C&lt;Y11)),0)"),"0")</f>
        <v>0</v>
      </c>
      <c r="Y11" s="8">
        <f>IFERROR(__xludf.DUMMYFUNCTION("IFERROR(MIN(FILTER({'PostestData (Submission)'!E:E}, 'PostestData (Submission)'!D:D=A11, 'PostestData (Submission)'!A:A=442, 'PostestData (Submission)'!E:E&gt;0)),0)"),"0")</f>
        <v>0</v>
      </c>
      <c r="Z11" s="8">
        <f>IFERROR(__xludf.DUMMYFUNCTION("IFERROR(MIN(FILTER('PostestData (ViewVPL)'!D:D, 'PostestData (ViewVPL)'!C:C=A11, 'PostestData (ViewVPL)'!B:B=442,'PostestData (ViewVPL)'!D:D&gt;X11,'PostestData (ViewVPL)'!D:D&lt;Y11)),0)"),"0")</f>
        <v>0</v>
      </c>
      <c r="AA11" s="8">
        <f>IFERROR(__xludf.DUMMYFUNCTION("IFERROR(MAX(FILTER({'PostestData (Submission)'!E:E}, 'PostestData (Submission)'!D:D=A11, 'PostestData (Submission)'!A:A=442))-Z11, 0)"),"0")</f>
        <v>0</v>
      </c>
      <c r="AB11" s="8">
        <f>IFERROR(__xludf.DUMMYFUNCTION("IFERROR(FILTER({'PostestData (ExactPC)'!E:E}, 'PostestData (ExactPC)'!A:A=A11), 0)"),"0")</f>
        <v>0</v>
      </c>
      <c r="AC11" s="8">
        <f>COUNTIFS('PostestData (Submission)'!D:D,"="&amp;A11,'PostestData (Submission)'!A:A,"=442",'PostestData (Submission)'!E:E,"&gt;0")</f>
        <v>0</v>
      </c>
      <c r="AD11" s="8">
        <f>COUNTIFS('PostestData (Submission)'!D:D,"="&amp;A11,'PostestData (Submission)'!A:A,"=442",'PostestData (Submission)'!H:H,"&gt;0")</f>
        <v>0</v>
      </c>
      <c r="AE11" s="8">
        <f>IFERROR(__xludf.DUMMYFUNCTION("IFERROR(MAX(FILTER('PostestData (Submission)'!I:I,'PostestData (Submission)'!D:D=A11,'PostestData (Submission)'!A:A=442,'PostestData (Submission)'!H:H&gt;0)),0)"),"0")</f>
        <v>0</v>
      </c>
      <c r="AF11" s="8">
        <f>COUNTIFS('PostestData (ViewVPL)'!C:C,"="&amp;A11,'PostestData (ViewVPL)'!B:B,"=442")</f>
        <v>0</v>
      </c>
      <c r="AG11" s="8">
        <f>IFERROR(__xludf.DUMMYFUNCTION("IFERROR(MAX(FILTER('PostestData (Loggedin)'!C:C,'PostestData (Loggedin)'!B:B=A11,'PostestData (Loggedin)'!C:C&lt;AH11)),0)"),"0")</f>
        <v>0</v>
      </c>
      <c r="AH11" s="8">
        <f>IFERROR(__xludf.DUMMYFUNCTION("IFERROR(MIN(FILTER({'PostestData (Submission)'!E:E}, 'PostestData (Submission)'!D:D=A11, 'PostestData (Submission)'!A:A=445, 'PostestData (Submission)'!E:E&gt;0)),0)"),"0")</f>
        <v>0</v>
      </c>
      <c r="AI11" s="8">
        <f>IFERROR(__xludf.DUMMYFUNCTION("IFERROR(MIN(FILTER('PostestData (ViewVPL)'!D:D, 'PostestData (ViewVPL)'!C:C=A11, 'PostestData (ViewVPL)'!B:B=445,'PostestData (ViewVPL)'!D:D&gt;AG11,'PostestData (ViewVPL)'!D:D&lt;AH11)),0)"),"0")</f>
        <v>0</v>
      </c>
      <c r="AJ11" s="8">
        <f>IFERROR(__xludf.DUMMYFUNCTION("IFERROR(MAX(FILTER({'PostestData (Submission)'!E:E}, 'PostestData (Submission)'!D:D=A11, 'PostestData (Submission)'!A:A=445))-AI11, 0)"),"0")</f>
        <v>0</v>
      </c>
      <c r="AK11" s="8">
        <f>IFERROR(__xludf.DUMMYFUNCTION("IFERROR(FILTER({'PostestData (ExactPD)'!E:E}, 'PostestData (ExactPD)'!A:A=A11), 0)"),"0")</f>
        <v>0</v>
      </c>
      <c r="AL11" s="8">
        <f>COUNTIFS('PostestData (Submission)'!D:D,"="&amp;A11,'PostestData (Submission)'!A:A,"=445",'PostestData (Submission)'!E:E,"&gt;0")</f>
        <v>0</v>
      </c>
      <c r="AM11" s="8">
        <f>COUNTIFS('PostestData (Submission)'!D:D,"="&amp;A11,'PostestData (Submission)'!A:A,"=445",'PostestData (Submission)'!H:H,"&gt;0")</f>
        <v>0</v>
      </c>
      <c r="AN11" s="8">
        <f>IFERROR(__xludf.DUMMYFUNCTION("IFERROR(MAX(FILTER('PostestData (Submission)'!I:I,'PostestData (Submission)'!D:D=A11,'PostestData (Submission)'!A:A=445,'PostestData (Submission)'!H:H&gt;0)),0)"),"0")</f>
        <v>0</v>
      </c>
      <c r="AO11" s="8">
        <f>COUNTIFS('PostestData (ViewVPL)'!C:C,"="&amp;A11,'PostestData (ViewVPL)'!B:B,"=445")</f>
        <v>0</v>
      </c>
      <c r="AP11" s="8"/>
      <c r="AQ11" s="11"/>
      <c r="AR11" s="11"/>
      <c r="AS11" s="8"/>
      <c r="AT11" s="8"/>
      <c r="AU11" s="8"/>
      <c r="AV11" s="8"/>
      <c r="AW11" s="11"/>
      <c r="AX11" s="11"/>
      <c r="AY11" s="11"/>
    </row>
    <row r="12">
      <c r="A12" s="7">
        <v>10133.0</v>
      </c>
      <c r="B12" s="3" t="s">
        <v>45</v>
      </c>
      <c r="C12" s="3" t="s">
        <v>101</v>
      </c>
      <c r="D12" s="3" t="s">
        <v>63</v>
      </c>
      <c r="E12" s="3" t="s">
        <v>48</v>
      </c>
      <c r="F12" s="8">
        <f>IFERROR(__xludf.DUMMYFUNCTION("IFERROR(MAX(FILTER('PostestData (Loggedin)'!C:C,'PostestData (Loggedin)'!B:B=A12,'PostestData (Loggedin)'!C:C&lt;G12)),0)"),"1480115220")</f>
        <v>1480115220</v>
      </c>
      <c r="G12" s="8">
        <f>IFERROR(__xludf.DUMMYFUNCTION("IFERROR(MIN(FILTER({'PostestData (Submission)'!E:E}, 'PostestData (Submission)'!D:D=A12, 'PostestData (Submission)'!A:A=443, 'PostestData (Submission)'!E:E&gt;0)),0)"),"1480117614")</f>
        <v>1480117614</v>
      </c>
      <c r="H12" s="8">
        <f>IFERROR(__xludf.DUMMYFUNCTION("IFERROR(MIN(FILTER('PostestData (ViewVPL)'!D:D, 'PostestData (ViewVPL)'!C:C=A12, 'PostestData (ViewVPL)'!B:B=443,'PostestData (ViewVPL)'!D:D&gt;F12,'PostestData (ViewVPL)'!D:D&lt;G12)),0)"),"1480115644")</f>
        <v>1480115644</v>
      </c>
      <c r="I12" s="8">
        <f>IFERROR(__xludf.DUMMYFUNCTION("IFERROR(MAX(FILTER({'PostestData (Submission)'!E:E}, 'PostestData (Submission)'!D:D=A12, 'PostestData (Submission)'!A:A=443))-H12, 0)"),"4676")</f>
        <v>4676</v>
      </c>
      <c r="J12" s="8">
        <f>IFERROR(__xludf.DUMMYFUNCTION("IFERROR(FILTER({'PostestData (ExactPA)'!E:E}, 'PostestData (ExactPA)'!A:A=A12), 0)"),"174")</f>
        <v>174</v>
      </c>
      <c r="K12" s="8">
        <f>COUNTIFS('PostestData (Submission)'!D:D,"="&amp;A12,'PostestData (Submission)'!A:A,"=443",'PostestData (Submission)'!E:E,"&gt;0")</f>
        <v>3</v>
      </c>
      <c r="L12" s="8">
        <f>COUNTIFS('PostestData (Submission)'!D:D,"="&amp;A12,'PostestData (Submission)'!A:A,"=443",'PostestData (Submission)'!H:H,"&gt;0")</f>
        <v>3</v>
      </c>
      <c r="M12" s="8">
        <f>IFERROR(__xludf.DUMMYFUNCTION("IFERROR(MAX(FILTER('PostestData (Submission)'!I:I,'PostestData (Submission)'!D:D=A12,'PostestData (Submission)'!A:A=443,'PostestData (Submission)'!H:H&gt;0)),0)"),"10")</f>
        <v>10</v>
      </c>
      <c r="N12" s="8">
        <f>COUNTIFS('PostestData (ViewVPL)'!C:C,"="&amp;A12,'PostestData (ViewVPL)'!B:B,"=443")</f>
        <v>4</v>
      </c>
      <c r="O12" s="8">
        <f>IFERROR(__xludf.DUMMYFUNCTION("IFERROR(MAX(FILTER('PostestData (Loggedin)'!C:C,'PostestData (Loggedin)'!B:B=A12,'PostestData (Loggedin)'!C:C&lt;P12)),0)"),"0")</f>
        <v>0</v>
      </c>
      <c r="P12" s="8">
        <f>IFERROR(__xludf.DUMMYFUNCTION("IFERROR(MIN(FILTER({'PostestData (Submission)'!E:E}, 'PostestData (Submission)'!D:D=A12, 'PostestData (Submission)'!A:A=444, 'PostestData (Submission)'!E:E&gt;0)),0)"),"0")</f>
        <v>0</v>
      </c>
      <c r="Q12" s="8">
        <f>IFERROR(__xludf.DUMMYFUNCTION("IFERROR(MIN(FILTER('PostestData (ViewVPL)'!D:D, 'PostestData (ViewVPL)'!C:C=A12, 'PostestData (ViewVPL)'!B:B=444,'PostestData (ViewVPL)'!D:D&gt;O12,'PostestData (ViewVPL)'!D:D&lt;P12)),0)"),"0")</f>
        <v>0</v>
      </c>
      <c r="R12" s="8">
        <f>IFERROR(__xludf.DUMMYFUNCTION("IFERROR(MAX(FILTER({'PostestData (Submission)'!E:E}, 'PostestData (Submission)'!D:D=A12, 'PostestData (Submission)'!A:A=444))-Q12, 0)"),"0")</f>
        <v>0</v>
      </c>
      <c r="S12" s="8">
        <f>IFERROR(__xludf.DUMMYFUNCTION("IFERROR(FILTER({'PostestData (ExactPB)'!E:E}, 'PostestData (ExactPB)'!A:A=A12), 0)"),"0")</f>
        <v>0</v>
      </c>
      <c r="T12" s="8">
        <f>COUNTIFS('PostestData (Submission)'!D:D,"="&amp;A12,'PostestData (Submission)'!A:A,"=444",'PostestData (Submission)'!E:E,"&gt;0")</f>
        <v>0</v>
      </c>
      <c r="U12" s="8">
        <f>COUNTIFS('PostestData (Submission)'!D:D,"="&amp;A12,'PostestData (Submission)'!A:A,"=444",'PostestData (Submission)'!H:H,"&gt;0")</f>
        <v>0</v>
      </c>
      <c r="V12" s="8">
        <f>IFERROR(__xludf.DUMMYFUNCTION("IFERROR(MAX(FILTER('PostestData (Submission)'!I:I,'PostestData (Submission)'!D:D=A12,'PostestData (Submission)'!A:A=444,'PostestData (Submission)'!H:H&gt;0)),0)"),"0")</f>
        <v>0</v>
      </c>
      <c r="W12" s="8">
        <f>COUNTIFS('PostestData (ViewVPL)'!C:C,"="&amp;A12,'PostestData (ViewVPL)'!B:B,"=444")</f>
        <v>3</v>
      </c>
      <c r="X12" s="8">
        <f>IFERROR(__xludf.DUMMYFUNCTION("IFERROR(MAX(FILTER('PostestData (Loggedin)'!C:C,'PostestData (Loggedin)'!B:B=A12,'PostestData (Loggedin)'!C:C&lt;Y12)),0)"),"0")</f>
        <v>0</v>
      </c>
      <c r="Y12" s="8">
        <f>IFERROR(__xludf.DUMMYFUNCTION("IFERROR(MIN(FILTER({'PostestData (Submission)'!E:E}, 'PostestData (Submission)'!D:D=A12, 'PostestData (Submission)'!A:A=442, 'PostestData (Submission)'!E:E&gt;0)),0)"),"0")</f>
        <v>0</v>
      </c>
      <c r="Z12" s="8">
        <f>IFERROR(__xludf.DUMMYFUNCTION("IFERROR(MIN(FILTER('PostestData (ViewVPL)'!D:D, 'PostestData (ViewVPL)'!C:C=A12, 'PostestData (ViewVPL)'!B:B=442,'PostestData (ViewVPL)'!D:D&gt;X12,'PostestData (ViewVPL)'!D:D&lt;Y12)),0)"),"0")</f>
        <v>0</v>
      </c>
      <c r="AA12" s="8">
        <f>IFERROR(__xludf.DUMMYFUNCTION("IFERROR(MAX(FILTER({'PostestData (Submission)'!E:E}, 'PostestData (Submission)'!D:D=A12, 'PostestData (Submission)'!A:A=442))-Z12, 0)"),"0")</f>
        <v>0</v>
      </c>
      <c r="AB12" s="8">
        <f>IFERROR(__xludf.DUMMYFUNCTION("IFERROR(FILTER({'PostestData (ExactPC)'!E:E}, 'PostestData (ExactPC)'!A:A=A12), 0)"),"0")</f>
        <v>0</v>
      </c>
      <c r="AC12" s="8">
        <f>COUNTIFS('PostestData (Submission)'!D:D,"="&amp;A12,'PostestData (Submission)'!A:A,"=442",'PostestData (Submission)'!E:E,"&gt;0")</f>
        <v>0</v>
      </c>
      <c r="AD12" s="8">
        <f>COUNTIFS('PostestData (Submission)'!D:D,"="&amp;A12,'PostestData (Submission)'!A:A,"=442",'PostestData (Submission)'!H:H,"&gt;0")</f>
        <v>0</v>
      </c>
      <c r="AE12" s="8">
        <f>IFERROR(__xludf.DUMMYFUNCTION("IFERROR(MAX(FILTER('PostestData (Submission)'!I:I,'PostestData (Submission)'!D:D=A12,'PostestData (Submission)'!A:A=442,'PostestData (Submission)'!H:H&gt;0)),0)"),"0")</f>
        <v>0</v>
      </c>
      <c r="AF12" s="8">
        <f>COUNTIFS('PostestData (ViewVPL)'!C:C,"="&amp;A12,'PostestData (ViewVPL)'!B:B,"=442")</f>
        <v>2</v>
      </c>
      <c r="AG12" s="8">
        <f>IFERROR(__xludf.DUMMYFUNCTION("IFERROR(MAX(FILTER('PostestData (Loggedin)'!C:C,'PostestData (Loggedin)'!B:B=A12,'PostestData (Loggedin)'!C:C&lt;AH12)),0)"),"0")</f>
        <v>0</v>
      </c>
      <c r="AH12" s="8">
        <f>IFERROR(__xludf.DUMMYFUNCTION("IFERROR(MIN(FILTER({'PostestData (Submission)'!E:E}, 'PostestData (Submission)'!D:D=A12, 'PostestData (Submission)'!A:A=445, 'PostestData (Submission)'!E:E&gt;0)),0)"),"0")</f>
        <v>0</v>
      </c>
      <c r="AI12" s="8">
        <f>IFERROR(__xludf.DUMMYFUNCTION("IFERROR(MIN(FILTER('PostestData (ViewVPL)'!D:D, 'PostestData (ViewVPL)'!C:C=A12, 'PostestData (ViewVPL)'!B:B=445,'PostestData (ViewVPL)'!D:D&gt;AG12,'PostestData (ViewVPL)'!D:D&lt;AH12)),0)"),"0")</f>
        <v>0</v>
      </c>
      <c r="AJ12" s="8">
        <f>IFERROR(__xludf.DUMMYFUNCTION("IFERROR(MAX(FILTER({'PostestData (Submission)'!E:E}, 'PostestData (Submission)'!D:D=A12, 'PostestData (Submission)'!A:A=445))-AI12, 0)"),"0")</f>
        <v>0</v>
      </c>
      <c r="AK12" s="8">
        <f>IFERROR(__xludf.DUMMYFUNCTION("IFERROR(FILTER({'PostestData (ExactPD)'!E:E}, 'PostestData (ExactPD)'!A:A=A12), 0)"),"0")</f>
        <v>0</v>
      </c>
      <c r="AL12" s="8">
        <f>COUNTIFS('PostestData (Submission)'!D:D,"="&amp;A12,'PostestData (Submission)'!A:A,"=445",'PostestData (Submission)'!E:E,"&gt;0")</f>
        <v>0</v>
      </c>
      <c r="AM12" s="8">
        <f>COUNTIFS('PostestData (Submission)'!D:D,"="&amp;A12,'PostestData (Submission)'!A:A,"=445",'PostestData (Submission)'!H:H,"&gt;0")</f>
        <v>0</v>
      </c>
      <c r="AN12" s="8">
        <f>IFERROR(__xludf.DUMMYFUNCTION("IFERROR(MAX(FILTER('PostestData (Submission)'!I:I,'PostestData (Submission)'!D:D=A12,'PostestData (Submission)'!A:A=445,'PostestData (Submission)'!H:H&gt;0)),0)"),"0")</f>
        <v>0</v>
      </c>
      <c r="AO12" s="8">
        <f>COUNTIFS('PostestData (ViewVPL)'!C:C,"="&amp;A12,'PostestData (ViewVPL)'!B:B,"=445")</f>
        <v>0</v>
      </c>
      <c r="AP12" s="8"/>
      <c r="AQ12" s="11"/>
      <c r="AR12" s="11"/>
      <c r="AS12" s="8"/>
      <c r="AT12" s="8"/>
      <c r="AU12" s="8"/>
      <c r="AV12" s="8"/>
      <c r="AW12" s="11"/>
      <c r="AX12" s="11"/>
      <c r="AY12" s="11"/>
    </row>
    <row r="13">
      <c r="A13" s="7">
        <v>10142.0</v>
      </c>
      <c r="B13" s="3" t="s">
        <v>45</v>
      </c>
      <c r="C13" s="3" t="s">
        <v>101</v>
      </c>
      <c r="D13" s="3" t="s">
        <v>63</v>
      </c>
      <c r="E13" s="3" t="s">
        <v>48</v>
      </c>
      <c r="F13" s="8">
        <f>IFERROR(__xludf.DUMMYFUNCTION("IFERROR(MAX(FILTER('PostestData (Loggedin)'!C:C,'PostestData (Loggedin)'!B:B=A13,'PostestData (Loggedin)'!C:C&lt;G13)),0)"),"0")</f>
        <v>0</v>
      </c>
      <c r="G13" s="8">
        <f>IFERROR(__xludf.DUMMYFUNCTION("IFERROR(MIN(FILTER({'PostestData (Submission)'!E:E}, 'PostestData (Submission)'!D:D=A13, 'PostestData (Submission)'!A:A=443, 'PostestData (Submission)'!E:E&gt;0)),0)"),"0")</f>
        <v>0</v>
      </c>
      <c r="H13" s="8">
        <f>IFERROR(__xludf.DUMMYFUNCTION("IFERROR(MIN(FILTER('PostestData (ViewVPL)'!D:D, 'PostestData (ViewVPL)'!C:C=A13, 'PostestData (ViewVPL)'!B:B=443,'PostestData (ViewVPL)'!D:D&gt;F13,'PostestData (ViewVPL)'!D:D&lt;G13)),0)"),"0")</f>
        <v>0</v>
      </c>
      <c r="I13" s="8">
        <f>IFERROR(__xludf.DUMMYFUNCTION("IFERROR(MAX(FILTER({'PostestData (Submission)'!E:E}, 'PostestData (Submission)'!D:D=A13, 'PostestData (Submission)'!A:A=443))-H13, 0)"),"0")</f>
        <v>0</v>
      </c>
      <c r="J13" s="8">
        <f>IFERROR(__xludf.DUMMYFUNCTION("IFERROR(FILTER({'PostestData (ExactPA)'!E:E}, 'PostestData (ExactPA)'!A:A=A13), 0)"),"0")</f>
        <v>0</v>
      </c>
      <c r="K13" s="8">
        <f>COUNTIFS('PostestData (Submission)'!D:D,"="&amp;A13,'PostestData (Submission)'!A:A,"=443",'PostestData (Submission)'!E:E,"&gt;0")</f>
        <v>0</v>
      </c>
      <c r="L13" s="8">
        <f>COUNTIFS('PostestData (Submission)'!D:D,"="&amp;A13,'PostestData (Submission)'!A:A,"=443",'PostestData (Submission)'!H:H,"&gt;0")</f>
        <v>0</v>
      </c>
      <c r="M13" s="8">
        <f>IFERROR(__xludf.DUMMYFUNCTION("IFERROR(MAX(FILTER('PostestData (Submission)'!I:I,'PostestData (Submission)'!D:D=A13,'PostestData (Submission)'!A:A=443,'PostestData (Submission)'!H:H&gt;0)),0)"),"0")</f>
        <v>0</v>
      </c>
      <c r="N13" s="8">
        <f>COUNTIFS('PostestData (ViewVPL)'!C:C,"="&amp;A13,'PostestData (ViewVPL)'!B:B,"=443")</f>
        <v>0</v>
      </c>
      <c r="O13" s="8">
        <f>IFERROR(__xludf.DUMMYFUNCTION("IFERROR(MAX(FILTER('PostestData (Loggedin)'!C:C,'PostestData (Loggedin)'!B:B=A13,'PostestData (Loggedin)'!C:C&lt;P13)),0)"),"0")</f>
        <v>0</v>
      </c>
      <c r="P13" s="8">
        <f>IFERROR(__xludf.DUMMYFUNCTION("IFERROR(MIN(FILTER({'PostestData (Submission)'!E:E}, 'PostestData (Submission)'!D:D=A13, 'PostestData (Submission)'!A:A=444, 'PostestData (Submission)'!E:E&gt;0)),0)"),"0")</f>
        <v>0</v>
      </c>
      <c r="Q13" s="8">
        <f>IFERROR(__xludf.DUMMYFUNCTION("IFERROR(MIN(FILTER('PostestData (ViewVPL)'!D:D, 'PostestData (ViewVPL)'!C:C=A13, 'PostestData (ViewVPL)'!B:B=444,'PostestData (ViewVPL)'!D:D&gt;O13,'PostestData (ViewVPL)'!D:D&lt;P13)),0)"),"0")</f>
        <v>0</v>
      </c>
      <c r="R13" s="8">
        <f>IFERROR(__xludf.DUMMYFUNCTION("IFERROR(MAX(FILTER({'PostestData (Submission)'!E:E}, 'PostestData (Submission)'!D:D=A13, 'PostestData (Submission)'!A:A=444))-Q13, 0)"),"0")</f>
        <v>0</v>
      </c>
      <c r="S13" s="8">
        <f>IFERROR(__xludf.DUMMYFUNCTION("IFERROR(FILTER({'PostestData (ExactPB)'!E:E}, 'PostestData (ExactPB)'!A:A=A13), 0)"),"0")</f>
        <v>0</v>
      </c>
      <c r="T13" s="8">
        <f>COUNTIFS('PostestData (Submission)'!D:D,"="&amp;A13,'PostestData (Submission)'!A:A,"=444",'PostestData (Submission)'!E:E,"&gt;0")</f>
        <v>0</v>
      </c>
      <c r="U13" s="8">
        <f>COUNTIFS('PostestData (Submission)'!D:D,"="&amp;A13,'PostestData (Submission)'!A:A,"=444",'PostestData (Submission)'!H:H,"&gt;0")</f>
        <v>0</v>
      </c>
      <c r="V13" s="8">
        <f>IFERROR(__xludf.DUMMYFUNCTION("IFERROR(MAX(FILTER('PostestData (Submission)'!I:I,'PostestData (Submission)'!D:D=A13,'PostestData (Submission)'!A:A=444,'PostestData (Submission)'!H:H&gt;0)),0)"),"0")</f>
        <v>0</v>
      </c>
      <c r="W13" s="8">
        <f>COUNTIFS('PostestData (ViewVPL)'!C:C,"="&amp;A13,'PostestData (ViewVPL)'!B:B,"=444")</f>
        <v>0</v>
      </c>
      <c r="X13" s="8">
        <f>IFERROR(__xludf.DUMMYFUNCTION("IFERROR(MAX(FILTER('PostestData (Loggedin)'!C:C,'PostestData (Loggedin)'!B:B=A13,'PostestData (Loggedin)'!C:C&lt;Y13)),0)"),"0")</f>
        <v>0</v>
      </c>
      <c r="Y13" s="8">
        <f>IFERROR(__xludf.DUMMYFUNCTION("IFERROR(MIN(FILTER({'PostestData (Submission)'!E:E}, 'PostestData (Submission)'!D:D=A13, 'PostestData (Submission)'!A:A=442, 'PostestData (Submission)'!E:E&gt;0)),0)"),"0")</f>
        <v>0</v>
      </c>
      <c r="Z13" s="8">
        <f>IFERROR(__xludf.DUMMYFUNCTION("IFERROR(MIN(FILTER('PostestData (ViewVPL)'!D:D, 'PostestData (ViewVPL)'!C:C=A13, 'PostestData (ViewVPL)'!B:B=442,'PostestData (ViewVPL)'!D:D&gt;X13,'PostestData (ViewVPL)'!D:D&lt;Y13)),0)"),"0")</f>
        <v>0</v>
      </c>
      <c r="AA13" s="8">
        <f>IFERROR(__xludf.DUMMYFUNCTION("IFERROR(MAX(FILTER({'PostestData (Submission)'!E:E}, 'PostestData (Submission)'!D:D=A13, 'PostestData (Submission)'!A:A=442))-Z13, 0)"),"0")</f>
        <v>0</v>
      </c>
      <c r="AB13" s="8">
        <f>IFERROR(__xludf.DUMMYFUNCTION("IFERROR(FILTER({'PostestData (ExactPC)'!E:E}, 'PostestData (ExactPC)'!A:A=A13), 0)"),"0")</f>
        <v>0</v>
      </c>
      <c r="AC13" s="8">
        <f>COUNTIFS('PostestData (Submission)'!D:D,"="&amp;A13,'PostestData (Submission)'!A:A,"=442",'PostestData (Submission)'!E:E,"&gt;0")</f>
        <v>0</v>
      </c>
      <c r="AD13" s="8">
        <f>COUNTIFS('PostestData (Submission)'!D:D,"="&amp;A13,'PostestData (Submission)'!A:A,"=442",'PostestData (Submission)'!H:H,"&gt;0")</f>
        <v>0</v>
      </c>
      <c r="AE13" s="8">
        <f>IFERROR(__xludf.DUMMYFUNCTION("IFERROR(MAX(FILTER('PostestData (Submission)'!I:I,'PostestData (Submission)'!D:D=A13,'PostestData (Submission)'!A:A=442,'PostestData (Submission)'!H:H&gt;0)),0)"),"0")</f>
        <v>0</v>
      </c>
      <c r="AF13" s="8">
        <f>COUNTIFS('PostestData (ViewVPL)'!C:C,"="&amp;A13,'PostestData (ViewVPL)'!B:B,"=442")</f>
        <v>0</v>
      </c>
      <c r="AG13" s="8">
        <f>IFERROR(__xludf.DUMMYFUNCTION("IFERROR(MAX(FILTER('PostestData (Loggedin)'!C:C,'PostestData (Loggedin)'!B:B=A13,'PostestData (Loggedin)'!C:C&lt;AH13)),0)"),"0")</f>
        <v>0</v>
      </c>
      <c r="AH13" s="8">
        <f>IFERROR(__xludf.DUMMYFUNCTION("IFERROR(MIN(FILTER({'PostestData (Submission)'!E:E}, 'PostestData (Submission)'!D:D=A13, 'PostestData (Submission)'!A:A=445, 'PostestData (Submission)'!E:E&gt;0)),0)"),"0")</f>
        <v>0</v>
      </c>
      <c r="AI13" s="8">
        <f>IFERROR(__xludf.DUMMYFUNCTION("IFERROR(MIN(FILTER('PostestData (ViewVPL)'!D:D, 'PostestData (ViewVPL)'!C:C=A13, 'PostestData (ViewVPL)'!B:B=445,'PostestData (ViewVPL)'!D:D&gt;AG13,'PostestData (ViewVPL)'!D:D&lt;AH13)),0)"),"0")</f>
        <v>0</v>
      </c>
      <c r="AJ13" s="8">
        <f>IFERROR(__xludf.DUMMYFUNCTION("IFERROR(MAX(FILTER({'PostestData (Submission)'!E:E}, 'PostestData (Submission)'!D:D=A13, 'PostestData (Submission)'!A:A=445))-AI13, 0)"),"0")</f>
        <v>0</v>
      </c>
      <c r="AK13" s="8">
        <f>IFERROR(__xludf.DUMMYFUNCTION("IFERROR(FILTER({'PostestData (ExactPD)'!E:E}, 'PostestData (ExactPD)'!A:A=A13), 0)"),"0")</f>
        <v>0</v>
      </c>
      <c r="AL13" s="8">
        <f>COUNTIFS('PostestData (Submission)'!D:D,"="&amp;A13,'PostestData (Submission)'!A:A,"=445",'PostestData (Submission)'!E:E,"&gt;0")</f>
        <v>0</v>
      </c>
      <c r="AM13" s="8">
        <f>COUNTIFS('PostestData (Submission)'!D:D,"="&amp;A13,'PostestData (Submission)'!A:A,"=445",'PostestData (Submission)'!H:H,"&gt;0")</f>
        <v>0</v>
      </c>
      <c r="AN13" s="8">
        <f>IFERROR(__xludf.DUMMYFUNCTION("IFERROR(MAX(FILTER('PostestData (Submission)'!I:I,'PostestData (Submission)'!D:D=A13,'PostestData (Submission)'!A:A=445,'PostestData (Submission)'!H:H&gt;0)),0)"),"0")</f>
        <v>0</v>
      </c>
      <c r="AO13" s="8">
        <f>COUNTIFS('PostestData (ViewVPL)'!C:C,"="&amp;A13,'PostestData (ViewVPL)'!B:B,"=445")</f>
        <v>0</v>
      </c>
      <c r="AP13" s="8"/>
      <c r="AQ13" s="11"/>
      <c r="AR13" s="11"/>
      <c r="AS13" s="8"/>
      <c r="AT13" s="8"/>
      <c r="AU13" s="8"/>
      <c r="AV13" s="8"/>
      <c r="AW13" s="11"/>
      <c r="AX13" s="11"/>
      <c r="AY13" s="11"/>
    </row>
    <row r="14">
      <c r="A14" s="7">
        <v>10127.0</v>
      </c>
      <c r="B14" s="3" t="s">
        <v>45</v>
      </c>
      <c r="C14" s="3" t="s">
        <v>101</v>
      </c>
      <c r="D14" s="3" t="s">
        <v>63</v>
      </c>
      <c r="E14" s="3" t="s">
        <v>48</v>
      </c>
      <c r="F14" s="8">
        <f>IFERROR(__xludf.DUMMYFUNCTION("IFERROR(MAX(FILTER('PostestData (Loggedin)'!C:C,'PostestData (Loggedin)'!B:B=A14,'PostestData (Loggedin)'!C:C&lt;G14)),0)"),"0")</f>
        <v>0</v>
      </c>
      <c r="G14" s="8">
        <f>IFERROR(__xludf.DUMMYFUNCTION("IFERROR(MIN(FILTER({'PostestData (Submission)'!E:E}, 'PostestData (Submission)'!D:D=A14, 'PostestData (Submission)'!A:A=443, 'PostestData (Submission)'!E:E&gt;0)),0)"),"1480115863")</f>
        <v>1480115863</v>
      </c>
      <c r="H14" s="8">
        <f>IFERROR(__xludf.DUMMYFUNCTION("IFERROR(MIN(FILTER('PostestData (ViewVPL)'!D:D, 'PostestData (ViewVPL)'!C:C=A14, 'PostestData (ViewVPL)'!B:B=443,'PostestData (ViewVPL)'!D:D&gt;F14,'PostestData (ViewVPL)'!D:D&lt;G14)),0)"),"1480115494")</f>
        <v>1480115494</v>
      </c>
      <c r="I14" s="8">
        <f>IFERROR(__xludf.DUMMYFUNCTION("IFERROR(MAX(FILTER({'PostestData (Submission)'!E:E}, 'PostestData (Submission)'!D:D=A14, 'PostestData (Submission)'!A:A=443))-H14, 0)"),"3321")</f>
        <v>3321</v>
      </c>
      <c r="J14" s="8">
        <f>IFERROR(__xludf.DUMMYFUNCTION("IFERROR(FILTER({'PostestData (ExactPA)'!E:E}, 'PostestData (ExactPA)'!A:A=A14), 0)"),"2956")</f>
        <v>2956</v>
      </c>
      <c r="K14" s="8">
        <f>COUNTIFS('PostestData (Submission)'!D:D,"="&amp;A14,'PostestData (Submission)'!A:A,"=443",'PostestData (Submission)'!E:E,"&gt;0")</f>
        <v>10</v>
      </c>
      <c r="L14" s="8">
        <f>COUNTIFS('PostestData (Submission)'!D:D,"="&amp;A14,'PostestData (Submission)'!A:A,"=443",'PostestData (Submission)'!H:H,"&gt;0")</f>
        <v>1</v>
      </c>
      <c r="M14" s="8">
        <f>IFERROR(__xludf.DUMMYFUNCTION("IFERROR(MAX(FILTER('PostestData (Submission)'!I:I,'PostestData (Submission)'!D:D=A14,'PostestData (Submission)'!A:A=443,'PostestData (Submission)'!H:H&gt;0)),0)"),"10")</f>
        <v>10</v>
      </c>
      <c r="N14" s="8">
        <f>COUNTIFS('PostestData (ViewVPL)'!C:C,"="&amp;A14,'PostestData (ViewVPL)'!B:B,"=443")</f>
        <v>3</v>
      </c>
      <c r="O14" s="8">
        <f>IFERROR(__xludf.DUMMYFUNCTION("IFERROR(MAX(FILTER('PostestData (Loggedin)'!C:C,'PostestData (Loggedin)'!B:B=A14,'PostestData (Loggedin)'!C:C&lt;P14)),0)"),"0")</f>
        <v>0</v>
      </c>
      <c r="P14" s="8">
        <f>IFERROR(__xludf.DUMMYFUNCTION("IFERROR(MIN(FILTER({'PostestData (Submission)'!E:E}, 'PostestData (Submission)'!D:D=A14, 'PostestData (Submission)'!A:A=444, 'PostestData (Submission)'!E:E&gt;0)),0)"),"1480119910")</f>
        <v>1480119910</v>
      </c>
      <c r="Q14" s="8">
        <f>IFERROR(__xludf.DUMMYFUNCTION("IFERROR(MIN(FILTER('PostestData (ViewVPL)'!D:D, 'PostestData (ViewVPL)'!C:C=A14, 'PostestData (ViewVPL)'!B:B=444,'PostestData (ViewVPL)'!D:D&gt;O14,'PostestData (ViewVPL)'!D:D&lt;P14)),0)"),"1480118863")</f>
        <v>1480118863</v>
      </c>
      <c r="R14" s="8">
        <f>IFERROR(__xludf.DUMMYFUNCTION("IFERROR(MAX(FILTER({'PostestData (Submission)'!E:E}, 'PostestData (Submission)'!D:D=A14, 'PostestData (Submission)'!A:A=444))-Q14, 0)"),"2043")</f>
        <v>2043</v>
      </c>
      <c r="S14" s="8">
        <f>IFERROR(__xludf.DUMMYFUNCTION("IFERROR(FILTER({'PostestData (ExactPB)'!E:E}, 'PostestData (ExactPB)'!A:A=A14), 0)"),"2078")</f>
        <v>2078</v>
      </c>
      <c r="T14" s="8">
        <f>COUNTIFS('PostestData (Submission)'!D:D,"="&amp;A14,'PostestData (Submission)'!A:A,"=444",'PostestData (Submission)'!E:E,"&gt;0")</f>
        <v>9</v>
      </c>
      <c r="U14" s="8">
        <f>COUNTIFS('PostestData (Submission)'!D:D,"="&amp;A14,'PostestData (Submission)'!A:A,"=444",'PostestData (Submission)'!H:H,"&gt;0")</f>
        <v>0</v>
      </c>
      <c r="V14" s="8">
        <f>IFERROR(__xludf.DUMMYFUNCTION("IFERROR(MAX(FILTER('PostestData (Submission)'!I:I,'PostestData (Submission)'!D:D=A14,'PostestData (Submission)'!A:A=444,'PostestData (Submission)'!H:H&gt;0)),0)"),"0")</f>
        <v>0</v>
      </c>
      <c r="W14" s="8">
        <f>COUNTIFS('PostestData (ViewVPL)'!C:C,"="&amp;A14,'PostestData (ViewVPL)'!B:B,"=444")</f>
        <v>3</v>
      </c>
      <c r="X14" s="8">
        <f>IFERROR(__xludf.DUMMYFUNCTION("IFERROR(MAX(FILTER('PostestData (Loggedin)'!C:C,'PostestData (Loggedin)'!B:B=A14,'PostestData (Loggedin)'!C:C&lt;Y14)),0)"),"0")</f>
        <v>0</v>
      </c>
      <c r="Y14" s="8">
        <f>IFERROR(__xludf.DUMMYFUNCTION("IFERROR(MIN(FILTER({'PostestData (Submission)'!E:E}, 'PostestData (Submission)'!D:D=A14, 'PostestData (Submission)'!A:A=442, 'PostestData (Submission)'!E:E&gt;0)),0)"),"0")</f>
        <v>0</v>
      </c>
      <c r="Z14" s="8">
        <f>IFERROR(__xludf.DUMMYFUNCTION("IFERROR(MIN(FILTER('PostestData (ViewVPL)'!D:D, 'PostestData (ViewVPL)'!C:C=A14, 'PostestData (ViewVPL)'!B:B=442,'PostestData (ViewVPL)'!D:D&gt;X14,'PostestData (ViewVPL)'!D:D&lt;Y14)),0)"),"0")</f>
        <v>0</v>
      </c>
      <c r="AA14" s="8">
        <f>IFERROR(__xludf.DUMMYFUNCTION("IFERROR(MAX(FILTER({'PostestData (Submission)'!E:E}, 'PostestData (Submission)'!D:D=A14, 'PostestData (Submission)'!A:A=442))-Z14, 0)"),"0")</f>
        <v>0</v>
      </c>
      <c r="AB14" s="8">
        <f>IFERROR(__xludf.DUMMYFUNCTION("IFERROR(FILTER({'PostestData (ExactPC)'!E:E}, 'PostestData (ExactPC)'!A:A=A14), 0)"),"0")</f>
        <v>0</v>
      </c>
      <c r="AC14" s="8">
        <f>COUNTIFS('PostestData (Submission)'!D:D,"="&amp;A14,'PostestData (Submission)'!A:A,"=442",'PostestData (Submission)'!E:E,"&gt;0")</f>
        <v>0</v>
      </c>
      <c r="AD14" s="8">
        <f>COUNTIFS('PostestData (Submission)'!D:D,"="&amp;A14,'PostestData (Submission)'!A:A,"=442",'PostestData (Submission)'!H:H,"&gt;0")</f>
        <v>0</v>
      </c>
      <c r="AE14" s="8">
        <f>IFERROR(__xludf.DUMMYFUNCTION("IFERROR(MAX(FILTER('PostestData (Submission)'!I:I,'PostestData (Submission)'!D:D=A14,'PostestData (Submission)'!A:A=442,'PostestData (Submission)'!H:H&gt;0)),0)"),"0")</f>
        <v>0</v>
      </c>
      <c r="AF14" s="8">
        <f>COUNTIFS('PostestData (ViewVPL)'!C:C,"="&amp;A14,'PostestData (ViewVPL)'!B:B,"=442")</f>
        <v>0</v>
      </c>
      <c r="AG14" s="8">
        <f>IFERROR(__xludf.DUMMYFUNCTION("IFERROR(MAX(FILTER('PostestData (Loggedin)'!C:C,'PostestData (Loggedin)'!B:B=A14,'PostestData (Loggedin)'!C:C&lt;AH14)),0)"),"0")</f>
        <v>0</v>
      </c>
      <c r="AH14" s="8">
        <f>IFERROR(__xludf.DUMMYFUNCTION("IFERROR(MIN(FILTER({'PostestData (Submission)'!E:E}, 'PostestData (Submission)'!D:D=A14, 'PostestData (Submission)'!A:A=445, 'PostestData (Submission)'!E:E&gt;0)),0)"),"0")</f>
        <v>0</v>
      </c>
      <c r="AI14" s="8">
        <f>IFERROR(__xludf.DUMMYFUNCTION("IFERROR(MIN(FILTER('PostestData (ViewVPL)'!D:D, 'PostestData (ViewVPL)'!C:C=A14, 'PostestData (ViewVPL)'!B:B=445,'PostestData (ViewVPL)'!D:D&gt;AG14,'PostestData (ViewVPL)'!D:D&lt;AH14)),0)"),"0")</f>
        <v>0</v>
      </c>
      <c r="AJ14" s="8">
        <f>IFERROR(__xludf.DUMMYFUNCTION("IFERROR(MAX(FILTER({'PostestData (Submission)'!E:E}, 'PostestData (Submission)'!D:D=A14, 'PostestData (Submission)'!A:A=445))-AI14, 0)"),"0")</f>
        <v>0</v>
      </c>
      <c r="AK14" s="8">
        <f>IFERROR(__xludf.DUMMYFUNCTION("IFERROR(FILTER({'PostestData (ExactPD)'!E:E}, 'PostestData (ExactPD)'!A:A=A14), 0)"),"0")</f>
        <v>0</v>
      </c>
      <c r="AL14" s="8">
        <f>COUNTIFS('PostestData (Submission)'!D:D,"="&amp;A14,'PostestData (Submission)'!A:A,"=445",'PostestData (Submission)'!E:E,"&gt;0")</f>
        <v>0</v>
      </c>
      <c r="AM14" s="8">
        <f>COUNTIFS('PostestData (Submission)'!D:D,"="&amp;A14,'PostestData (Submission)'!A:A,"=445",'PostestData (Submission)'!H:H,"&gt;0")</f>
        <v>0</v>
      </c>
      <c r="AN14" s="8">
        <f>IFERROR(__xludf.DUMMYFUNCTION("IFERROR(MAX(FILTER('PostestData (Submission)'!I:I,'PostestData (Submission)'!D:D=A14,'PostestData (Submission)'!A:A=445,'PostestData (Submission)'!H:H&gt;0)),0)"),"0")</f>
        <v>0</v>
      </c>
      <c r="AO14" s="8">
        <f>COUNTIFS('PostestData (ViewVPL)'!C:C,"="&amp;A14,'PostestData (ViewVPL)'!B:B,"=445")</f>
        <v>0</v>
      </c>
      <c r="AP14" s="8"/>
      <c r="AQ14" s="11"/>
      <c r="AR14" s="11"/>
      <c r="AS14" s="8"/>
      <c r="AT14" s="8"/>
      <c r="AU14" s="8"/>
      <c r="AV14" s="8"/>
      <c r="AW14" s="11"/>
      <c r="AX14" s="11"/>
      <c r="AY14" s="11"/>
    </row>
    <row r="15">
      <c r="A15" s="7">
        <v>10128.0</v>
      </c>
      <c r="B15" s="3" t="s">
        <v>45</v>
      </c>
      <c r="C15" s="3" t="s">
        <v>102</v>
      </c>
      <c r="D15" s="3" t="s">
        <v>63</v>
      </c>
      <c r="E15" s="3" t="s">
        <v>48</v>
      </c>
      <c r="F15" s="8">
        <f>IFERROR(__xludf.DUMMYFUNCTION("IFERROR(MAX(FILTER('PostestData (Loggedin)'!C:C,'PostestData (Loggedin)'!B:B=A15,'PostestData (Loggedin)'!C:C&lt;G15)),0)"),"0")</f>
        <v>0</v>
      </c>
      <c r="G15" s="8">
        <f>IFERROR(__xludf.DUMMYFUNCTION("IFERROR(MIN(FILTER({'PostestData (Submission)'!E:E}, 'PostestData (Submission)'!D:D=A15, 'PostestData (Submission)'!A:A=443, 'PostestData (Submission)'!E:E&gt;0)),0)"),"1480116929")</f>
        <v>1480116929</v>
      </c>
      <c r="H15" s="8">
        <f>IFERROR(__xludf.DUMMYFUNCTION("IFERROR(MIN(FILTER('PostestData (ViewVPL)'!D:D, 'PostestData (ViewVPL)'!C:C=A15, 'PostestData (ViewVPL)'!B:B=443,'PostestData (ViewVPL)'!D:D&gt;F15,'PostestData (ViewVPL)'!D:D&lt;G15)),0)"),"1480115102")</f>
        <v>1480115102</v>
      </c>
      <c r="I15" s="8">
        <f>IFERROR(__xludf.DUMMYFUNCTION("IFERROR(MAX(FILTER({'PostestData (Submission)'!E:E}, 'PostestData (Submission)'!D:D=A15, 'PostestData (Submission)'!A:A=443))-H15, 0)"),"1827")</f>
        <v>1827</v>
      </c>
      <c r="J15" s="8">
        <f>IFERROR(__xludf.DUMMYFUNCTION("IFERROR(FILTER({'PostestData (ExactPA)'!E:E}, 'PostestData (ExactPA)'!A:A=A15), 0)"),"1717")</f>
        <v>1717</v>
      </c>
      <c r="K15" s="8">
        <f>COUNTIFS('PostestData (Submission)'!D:D,"="&amp;A15,'PostestData (Submission)'!A:A,"=443",'PostestData (Submission)'!E:E,"&gt;0")</f>
        <v>1</v>
      </c>
      <c r="L15" s="8">
        <f>COUNTIFS('PostestData (Submission)'!D:D,"="&amp;A15,'PostestData (Submission)'!A:A,"=443",'PostestData (Submission)'!H:H,"&gt;0")</f>
        <v>1</v>
      </c>
      <c r="M15" s="8">
        <f>IFERROR(__xludf.DUMMYFUNCTION("IFERROR(MAX(FILTER('PostestData (Submission)'!I:I,'PostestData (Submission)'!D:D=A15,'PostestData (Submission)'!A:A=443,'PostestData (Submission)'!H:H&gt;0)),0)"),"8")</f>
        <v>8</v>
      </c>
      <c r="N15" s="8">
        <f>COUNTIFS('PostestData (ViewVPL)'!C:C,"="&amp;A15,'PostestData (ViewVPL)'!B:B,"=443")</f>
        <v>2</v>
      </c>
      <c r="O15" s="8">
        <f>IFERROR(__xludf.DUMMYFUNCTION("IFERROR(MAX(FILTER('PostestData (Loggedin)'!C:C,'PostestData (Loggedin)'!B:B=A15,'PostestData (Loggedin)'!C:C&lt;P15)),0)"),"0")</f>
        <v>0</v>
      </c>
      <c r="P15" s="8">
        <f>IFERROR(__xludf.DUMMYFUNCTION("IFERROR(MIN(FILTER({'PostestData (Submission)'!E:E}, 'PostestData (Submission)'!D:D=A15, 'PostestData (Submission)'!A:A=444, 'PostestData (Submission)'!E:E&gt;0)),0)"),"1480117994")</f>
        <v>1480117994</v>
      </c>
      <c r="Q15" s="8">
        <f>IFERROR(__xludf.DUMMYFUNCTION("IFERROR(MIN(FILTER('PostestData (ViewVPL)'!D:D, 'PostestData (ViewVPL)'!C:C=A15, 'PostestData (ViewVPL)'!B:B=444,'PostestData (ViewVPL)'!D:D&gt;O15,'PostestData (ViewVPL)'!D:D&lt;P15)),0)"),"1480116980")</f>
        <v>1480116980</v>
      </c>
      <c r="R15" s="8">
        <f>IFERROR(__xludf.DUMMYFUNCTION("IFERROR(MAX(FILTER({'PostestData (Submission)'!E:E}, 'PostestData (Submission)'!D:D=A15, 'PostestData (Submission)'!A:A=444))-Q15, 0)"),"1244")</f>
        <v>1244</v>
      </c>
      <c r="S15" s="8">
        <f>IFERROR(__xludf.DUMMYFUNCTION("IFERROR(FILTER({'PostestData (ExactPB)'!E:E}, 'PostestData (ExactPB)'!A:A=A15), 0)"),"231")</f>
        <v>231</v>
      </c>
      <c r="T15" s="8">
        <f>COUNTIFS('PostestData (Submission)'!D:D,"="&amp;A15,'PostestData (Submission)'!A:A,"=444",'PostestData (Submission)'!E:E,"&gt;0")</f>
        <v>2</v>
      </c>
      <c r="U15" s="8">
        <f>COUNTIFS('PostestData (Submission)'!D:D,"="&amp;A15,'PostestData (Submission)'!A:A,"=444",'PostestData (Submission)'!H:H,"&gt;0")</f>
        <v>2</v>
      </c>
      <c r="V15" s="8">
        <f>IFERROR(__xludf.DUMMYFUNCTION("IFERROR(MAX(FILTER('PostestData (Submission)'!I:I,'PostestData (Submission)'!D:D=A15,'PostestData (Submission)'!A:A=444,'PostestData (Submission)'!H:H&gt;0)),0)"),"8")</f>
        <v>8</v>
      </c>
      <c r="W15" s="8">
        <f>COUNTIFS('PostestData (ViewVPL)'!C:C,"="&amp;A15,'PostestData (ViewVPL)'!B:B,"=444")</f>
        <v>5</v>
      </c>
      <c r="X15" s="8">
        <f>IFERROR(__xludf.DUMMYFUNCTION("IFERROR(MAX(FILTER('PostestData (Loggedin)'!C:C,'PostestData (Loggedin)'!B:B=A15,'PostestData (Loggedin)'!C:C&lt;Y15)),0)"),"0")</f>
        <v>0</v>
      </c>
      <c r="Y15" s="8">
        <f>IFERROR(__xludf.DUMMYFUNCTION("IFERROR(MIN(FILTER({'PostestData (Submission)'!E:E}, 'PostestData (Submission)'!D:D=A15, 'PostestData (Submission)'!A:A=442, 'PostestData (Submission)'!E:E&gt;0)),0)"),"1480120399")</f>
        <v>1480120399</v>
      </c>
      <c r="Z15" s="8">
        <f>IFERROR(__xludf.DUMMYFUNCTION("IFERROR(MIN(FILTER('PostestData (ViewVPL)'!D:D, 'PostestData (ViewVPL)'!C:C=A15, 'PostestData (ViewVPL)'!B:B=442,'PostestData (ViewVPL)'!D:D&gt;X15,'PostestData (ViewVPL)'!D:D&lt;Y15)),0)"),"1480118240")</f>
        <v>1480118240</v>
      </c>
      <c r="AA15" s="8">
        <f>IFERROR(__xludf.DUMMYFUNCTION("IFERROR(MAX(FILTER({'PostestData (Submission)'!E:E}, 'PostestData (Submission)'!D:D=A15, 'PostestData (Submission)'!A:A=442))-Z15, 0)"),"2159")</f>
        <v>2159</v>
      </c>
      <c r="AB15" s="8">
        <f>IFERROR(__xludf.DUMMYFUNCTION("IFERROR(FILTER({'PostestData (ExactPC)'!E:E}, 'PostestData (ExactPC)'!A:A=A15), 0)"),"3")</f>
        <v>3</v>
      </c>
      <c r="AC15" s="8">
        <f>COUNTIFS('PostestData (Submission)'!D:D,"="&amp;A15,'PostestData (Submission)'!A:A,"=442",'PostestData (Submission)'!E:E,"&gt;0")</f>
        <v>1</v>
      </c>
      <c r="AD15" s="8">
        <f>COUNTIFS('PostestData (Submission)'!D:D,"="&amp;A15,'PostestData (Submission)'!A:A,"=442",'PostestData (Submission)'!H:H,"&gt;0")</f>
        <v>1</v>
      </c>
      <c r="AE15" s="8">
        <f>IFERROR(__xludf.DUMMYFUNCTION("IFERROR(MAX(FILTER('PostestData (Submission)'!I:I,'PostestData (Submission)'!D:D=A15,'PostestData (Submission)'!A:A=442,'PostestData (Submission)'!H:H&gt;0)),0)"),"10")</f>
        <v>10</v>
      </c>
      <c r="AF15" s="8">
        <f>COUNTIFS('PostestData (ViewVPL)'!C:C,"="&amp;A15,'PostestData (ViewVPL)'!B:B,"=442")</f>
        <v>1</v>
      </c>
      <c r="AG15" s="8">
        <f>IFERROR(__xludf.DUMMYFUNCTION("IFERROR(MAX(FILTER('PostestData (Loggedin)'!C:C,'PostestData (Loggedin)'!B:B=A15,'PostestData (Loggedin)'!C:C&lt;AH15)),0)"),"0")</f>
        <v>0</v>
      </c>
      <c r="AH15" s="8">
        <f>IFERROR(__xludf.DUMMYFUNCTION("IFERROR(MIN(FILTER({'PostestData (Submission)'!E:E}, 'PostestData (Submission)'!D:D=A15, 'PostestData (Submission)'!A:A=445, 'PostestData (Submission)'!E:E&gt;0)),0)"),"0")</f>
        <v>0</v>
      </c>
      <c r="AI15" s="8">
        <f>IFERROR(__xludf.DUMMYFUNCTION("IFERROR(MIN(FILTER('PostestData (ViewVPL)'!D:D, 'PostestData (ViewVPL)'!C:C=A15, 'PostestData (ViewVPL)'!B:B=445,'PostestData (ViewVPL)'!D:D&gt;AG15,'PostestData (ViewVPL)'!D:D&lt;AH15)),0)"),"0")</f>
        <v>0</v>
      </c>
      <c r="AJ15" s="8">
        <f>IFERROR(__xludf.DUMMYFUNCTION("IFERROR(MAX(FILTER({'PostestData (Submission)'!E:E}, 'PostestData (Submission)'!D:D=A15, 'PostestData (Submission)'!A:A=445))-AI15, 0)"),"0")</f>
        <v>0</v>
      </c>
      <c r="AK15" s="8">
        <f>IFERROR(__xludf.DUMMYFUNCTION("IFERROR(FILTER({'PostestData (ExactPD)'!E:E}, 'PostestData (ExactPD)'!A:A=A15), 0)"),"0")</f>
        <v>0</v>
      </c>
      <c r="AL15" s="8">
        <f>COUNTIFS('PostestData (Submission)'!D:D,"="&amp;A15,'PostestData (Submission)'!A:A,"=445",'PostestData (Submission)'!E:E,"&gt;0")</f>
        <v>0</v>
      </c>
      <c r="AM15" s="8">
        <f>COUNTIFS('PostestData (Submission)'!D:D,"="&amp;A15,'PostestData (Submission)'!A:A,"=445",'PostestData (Submission)'!H:H,"&gt;0")</f>
        <v>0</v>
      </c>
      <c r="AN15" s="8">
        <f>IFERROR(__xludf.DUMMYFUNCTION("IFERROR(MAX(FILTER('PostestData (Submission)'!I:I,'PostestData (Submission)'!D:D=A15,'PostestData (Submission)'!A:A=445,'PostestData (Submission)'!H:H&gt;0)),0)"),"0")</f>
        <v>0</v>
      </c>
      <c r="AO15" s="8">
        <f>COUNTIFS('PostestData (ViewVPL)'!C:C,"="&amp;A15,'PostestData (ViewVPL)'!B:B,"=445")</f>
        <v>1</v>
      </c>
      <c r="AP15" s="8"/>
      <c r="AQ15" s="11"/>
      <c r="AR15" s="11"/>
      <c r="AS15" s="8"/>
      <c r="AT15" s="8"/>
      <c r="AU15" s="8"/>
      <c r="AV15" s="8"/>
      <c r="AW15" s="11"/>
      <c r="AX15" s="11"/>
      <c r="AY15" s="11"/>
    </row>
    <row r="16">
      <c r="A16" s="7">
        <v>10152.0</v>
      </c>
      <c r="B16" s="3" t="s">
        <v>45</v>
      </c>
      <c r="C16" s="3" t="s">
        <v>102</v>
      </c>
      <c r="D16" s="3" t="s">
        <v>47</v>
      </c>
      <c r="E16" s="3" t="s">
        <v>48</v>
      </c>
      <c r="F16" s="8">
        <f>IFERROR(__xludf.DUMMYFUNCTION("IFERROR(MAX(FILTER('PostestData (Loggedin)'!C:C,'PostestData (Loggedin)'!B:B=A16,'PostestData (Loggedin)'!C:C&lt;G16)),0)"),"0")</f>
        <v>0</v>
      </c>
      <c r="G16" s="8">
        <f>IFERROR(__xludf.DUMMYFUNCTION("IFERROR(MIN(FILTER({'PostestData (Submission)'!E:E}, 'PostestData (Submission)'!D:D=A16, 'PostestData (Submission)'!A:A=443, 'PostestData (Submission)'!E:E&gt;0)),0)"),"1480116712")</f>
        <v>1480116712</v>
      </c>
      <c r="H16" s="8">
        <f>IFERROR(__xludf.DUMMYFUNCTION("IFERROR(MIN(FILTER('PostestData (ViewVPL)'!D:D, 'PostestData (ViewVPL)'!C:C=A16, 'PostestData (ViewVPL)'!B:B=443,'PostestData (ViewVPL)'!D:D&gt;F16,'PostestData (ViewVPL)'!D:D&lt;G16)),0)"),"1480115342")</f>
        <v>1480115342</v>
      </c>
      <c r="I16" s="8">
        <f>IFERROR(__xludf.DUMMYFUNCTION("IFERROR(MAX(FILTER({'PostestData (Submission)'!E:E}, 'PostestData (Submission)'!D:D=A16, 'PostestData (Submission)'!A:A=443))-H16, 0)"),"1370")</f>
        <v>1370</v>
      </c>
      <c r="J16" s="8">
        <f>IFERROR(__xludf.DUMMYFUNCTION("IFERROR(FILTER({'PostestData (ExactPA)'!E:E}, 'PostestData (ExactPA)'!A:A=A16), 0)"),"1150")</f>
        <v>1150</v>
      </c>
      <c r="K16" s="8">
        <f>COUNTIFS('PostestData (Submission)'!D:D,"="&amp;A16,'PostestData (Submission)'!A:A,"=443",'PostestData (Submission)'!E:E,"&gt;0")</f>
        <v>1</v>
      </c>
      <c r="L16" s="8">
        <f>COUNTIFS('PostestData (Submission)'!D:D,"="&amp;A16,'PostestData (Submission)'!A:A,"=443",'PostestData (Submission)'!H:H,"&gt;0")</f>
        <v>1</v>
      </c>
      <c r="M16" s="8">
        <f>IFERROR(__xludf.DUMMYFUNCTION("IFERROR(MAX(FILTER('PostestData (Submission)'!I:I,'PostestData (Submission)'!D:D=A16,'PostestData (Submission)'!A:A=443,'PostestData (Submission)'!H:H&gt;0)),0)"),"10")</f>
        <v>10</v>
      </c>
      <c r="N16" s="8">
        <f>COUNTIFS('PostestData (ViewVPL)'!C:C,"="&amp;A16,'PostestData (ViewVPL)'!B:B,"=443")</f>
        <v>2</v>
      </c>
      <c r="O16" s="8">
        <f>IFERROR(__xludf.DUMMYFUNCTION("IFERROR(MAX(FILTER('PostestData (Loggedin)'!C:C,'PostestData (Loggedin)'!B:B=A16,'PostestData (Loggedin)'!C:C&lt;P16)),0)"),"0")</f>
        <v>0</v>
      </c>
      <c r="P16" s="8">
        <f>IFERROR(__xludf.DUMMYFUNCTION("IFERROR(MIN(FILTER({'PostestData (Submission)'!E:E}, 'PostestData (Submission)'!D:D=A16, 'PostestData (Submission)'!A:A=444, 'PostestData (Submission)'!E:E&gt;0)),0)"),"1480117859")</f>
        <v>1480117859</v>
      </c>
      <c r="Q16" s="8">
        <f>IFERROR(__xludf.DUMMYFUNCTION("IFERROR(MIN(FILTER('PostestData (ViewVPL)'!D:D, 'PostestData (ViewVPL)'!C:C=A16, 'PostestData (ViewVPL)'!B:B=444,'PostestData (ViewVPL)'!D:D&gt;O16,'PostestData (ViewVPL)'!D:D&lt;P16)),0)"),"1480116760")</f>
        <v>1480116760</v>
      </c>
      <c r="R16" s="8">
        <f>IFERROR(__xludf.DUMMYFUNCTION("IFERROR(MAX(FILTER({'PostestData (Submission)'!E:E}, 'PostestData (Submission)'!D:D=A16, 'PostestData (Submission)'!A:A=444))-Q16, 0)"),"3752")</f>
        <v>3752</v>
      </c>
      <c r="S16" s="8">
        <f>IFERROR(__xludf.DUMMYFUNCTION("IFERROR(FILTER({'PostestData (ExactPB)'!E:E}, 'PostestData (ExactPB)'!A:A=A16), 0)"),"1081")</f>
        <v>1081</v>
      </c>
      <c r="T16" s="8">
        <f>COUNTIFS('PostestData (Submission)'!D:D,"="&amp;A16,'PostestData (Submission)'!A:A,"=444",'PostestData (Submission)'!E:E,"&gt;0")</f>
        <v>3</v>
      </c>
      <c r="U16" s="8">
        <f>COUNTIFS('PostestData (Submission)'!D:D,"="&amp;A16,'PostestData (Submission)'!A:A,"=444",'PostestData (Submission)'!H:H,"&gt;0")</f>
        <v>2</v>
      </c>
      <c r="V16" s="8">
        <f>IFERROR(__xludf.DUMMYFUNCTION("IFERROR(MAX(FILTER('PostestData (Submission)'!I:I,'PostestData (Submission)'!D:D=A16,'PostestData (Submission)'!A:A=444,'PostestData (Submission)'!H:H&gt;0)),0)"),"10")</f>
        <v>10</v>
      </c>
      <c r="W16" s="8">
        <f>COUNTIFS('PostestData (ViewVPL)'!C:C,"="&amp;A16,'PostestData (ViewVPL)'!B:B,"=444")</f>
        <v>8</v>
      </c>
      <c r="X16" s="8">
        <f>IFERROR(__xludf.DUMMYFUNCTION("IFERROR(MAX(FILTER('PostestData (Loggedin)'!C:C,'PostestData (Loggedin)'!B:B=A16,'PostestData (Loggedin)'!C:C&lt;Y16)),0)"),"0")</f>
        <v>0</v>
      </c>
      <c r="Y16" s="8">
        <f>IFERROR(__xludf.DUMMYFUNCTION("IFERROR(MIN(FILTER({'PostestData (Submission)'!E:E}, 'PostestData (Submission)'!D:D=A16, 'PostestData (Submission)'!A:A=442, 'PostestData (Submission)'!E:E&gt;0)),0)"),"0")</f>
        <v>0</v>
      </c>
      <c r="Z16" s="8">
        <f>IFERROR(__xludf.DUMMYFUNCTION("IFERROR(MIN(FILTER('PostestData (ViewVPL)'!D:D, 'PostestData (ViewVPL)'!C:C=A16, 'PostestData (ViewVPL)'!B:B=442,'PostestData (ViewVPL)'!D:D&gt;X16,'PostestData (ViewVPL)'!D:D&lt;Y16)),0)"),"0")</f>
        <v>0</v>
      </c>
      <c r="AA16" s="8">
        <f>IFERROR(__xludf.DUMMYFUNCTION("IFERROR(MAX(FILTER({'PostestData (Submission)'!E:E}, 'PostestData (Submission)'!D:D=A16, 'PostestData (Submission)'!A:A=442))-Z16, 0)"),"0")</f>
        <v>0</v>
      </c>
      <c r="AB16" s="8">
        <f>IFERROR(__xludf.DUMMYFUNCTION("IFERROR(FILTER({'PostestData (ExactPC)'!E:E}, 'PostestData (ExactPC)'!A:A=A16), 0)"),"0")</f>
        <v>0</v>
      </c>
      <c r="AC16" s="8">
        <f>COUNTIFS('PostestData (Submission)'!D:D,"="&amp;A16,'PostestData (Submission)'!A:A,"=442",'PostestData (Submission)'!E:E,"&gt;0")</f>
        <v>0</v>
      </c>
      <c r="AD16" s="8">
        <f>COUNTIFS('PostestData (Submission)'!D:D,"="&amp;A16,'PostestData (Submission)'!A:A,"=442",'PostestData (Submission)'!H:H,"&gt;0")</f>
        <v>0</v>
      </c>
      <c r="AE16" s="8">
        <f>IFERROR(__xludf.DUMMYFUNCTION("IFERROR(MAX(FILTER('PostestData (Submission)'!I:I,'PostestData (Submission)'!D:D=A16,'PostestData (Submission)'!A:A=442,'PostestData (Submission)'!H:H&gt;0)),0)"),"0")</f>
        <v>0</v>
      </c>
      <c r="AF16" s="8">
        <f>COUNTIFS('PostestData (ViewVPL)'!C:C,"="&amp;A16,'PostestData (ViewVPL)'!B:B,"=442")</f>
        <v>3</v>
      </c>
      <c r="AG16" s="8">
        <f>IFERROR(__xludf.DUMMYFUNCTION("IFERROR(MAX(FILTER('PostestData (Loggedin)'!C:C,'PostestData (Loggedin)'!B:B=A16,'PostestData (Loggedin)'!C:C&lt;AH16)),0)"),"0")</f>
        <v>0</v>
      </c>
      <c r="AH16" s="8">
        <f>IFERROR(__xludf.DUMMYFUNCTION("IFERROR(MIN(FILTER({'PostestData (Submission)'!E:E}, 'PostestData (Submission)'!D:D=A16, 'PostestData (Submission)'!A:A=445, 'PostestData (Submission)'!E:E&gt;0)),0)"),"0")</f>
        <v>0</v>
      </c>
      <c r="AI16" s="8">
        <f>IFERROR(__xludf.DUMMYFUNCTION("IFERROR(MIN(FILTER('PostestData (ViewVPL)'!D:D, 'PostestData (ViewVPL)'!C:C=A16, 'PostestData (ViewVPL)'!B:B=445,'PostestData (ViewVPL)'!D:D&gt;AG16,'PostestData (ViewVPL)'!D:D&lt;AH16)),0)"),"0")</f>
        <v>0</v>
      </c>
      <c r="AJ16" s="8">
        <f>IFERROR(__xludf.DUMMYFUNCTION("IFERROR(MAX(FILTER({'PostestData (Submission)'!E:E}, 'PostestData (Submission)'!D:D=A16, 'PostestData (Submission)'!A:A=445))-AI16, 0)"),"0")</f>
        <v>0</v>
      </c>
      <c r="AK16" s="8">
        <f>IFERROR(__xludf.DUMMYFUNCTION("IFERROR(FILTER({'PostestData (ExactPD)'!E:E}, 'PostestData (ExactPD)'!A:A=A16), 0)"),"0")</f>
        <v>0</v>
      </c>
      <c r="AL16" s="8">
        <f>COUNTIFS('PostestData (Submission)'!D:D,"="&amp;A16,'PostestData (Submission)'!A:A,"=445",'PostestData (Submission)'!E:E,"&gt;0")</f>
        <v>0</v>
      </c>
      <c r="AM16" s="8">
        <f>COUNTIFS('PostestData (Submission)'!D:D,"="&amp;A16,'PostestData (Submission)'!A:A,"=445",'PostestData (Submission)'!H:H,"&gt;0")</f>
        <v>0</v>
      </c>
      <c r="AN16" s="8">
        <f>IFERROR(__xludf.DUMMYFUNCTION("IFERROR(MAX(FILTER('PostestData (Submission)'!I:I,'PostestData (Submission)'!D:D=A16,'PostestData (Submission)'!A:A=445,'PostestData (Submission)'!H:H&gt;0)),0)"),"0")</f>
        <v>0</v>
      </c>
      <c r="AO16" s="8">
        <f>COUNTIFS('PostestData (ViewVPL)'!C:C,"="&amp;A16,'PostestData (ViewVPL)'!B:B,"=445")</f>
        <v>1</v>
      </c>
      <c r="AP16" s="8"/>
      <c r="AQ16" s="11"/>
      <c r="AR16" s="11"/>
      <c r="AS16" s="8"/>
      <c r="AT16" s="8"/>
      <c r="AU16" s="8"/>
      <c r="AV16" s="8"/>
      <c r="AW16" s="11"/>
      <c r="AX16" s="11"/>
      <c r="AY16" s="11"/>
    </row>
    <row r="17">
      <c r="A17" s="7">
        <v>10123.0</v>
      </c>
      <c r="B17" s="3" t="s">
        <v>45</v>
      </c>
      <c r="C17" s="3" t="s">
        <v>102</v>
      </c>
      <c r="D17" s="3" t="s">
        <v>63</v>
      </c>
      <c r="E17" s="3" t="s">
        <v>48</v>
      </c>
      <c r="F17" s="8">
        <f>IFERROR(__xludf.DUMMYFUNCTION("IFERROR(MAX(FILTER('PostestData (Loggedin)'!C:C,'PostestData (Loggedin)'!B:B=A17,'PostestData (Loggedin)'!C:C&lt;G17)),0)"),"0")</f>
        <v>0</v>
      </c>
      <c r="G17" s="8">
        <f>IFERROR(__xludf.DUMMYFUNCTION("IFERROR(MIN(FILTER({'PostestData (Submission)'!E:E}, 'PostestData (Submission)'!D:D=A17, 'PostestData (Submission)'!A:A=443, 'PostestData (Submission)'!E:E&gt;0)),0)"),"0")</f>
        <v>0</v>
      </c>
      <c r="H17" s="8">
        <f>IFERROR(__xludf.DUMMYFUNCTION("IFERROR(MIN(FILTER('PostestData (ViewVPL)'!D:D, 'PostestData (ViewVPL)'!C:C=A17, 'PostestData (ViewVPL)'!B:B=443,'PostestData (ViewVPL)'!D:D&gt;F17,'PostestData (ViewVPL)'!D:D&lt;G17)),0)"),"0")</f>
        <v>0</v>
      </c>
      <c r="I17" s="8">
        <f>IFERROR(__xludf.DUMMYFUNCTION("IFERROR(MAX(FILTER({'PostestData (Submission)'!E:E}, 'PostestData (Submission)'!D:D=A17, 'PostestData (Submission)'!A:A=443))-H17, 0)"),"0")</f>
        <v>0</v>
      </c>
      <c r="J17" s="8">
        <f>IFERROR(__xludf.DUMMYFUNCTION("IFERROR(FILTER({'PostestData (ExactPA)'!E:E}, 'PostestData (ExactPA)'!A:A=A17), 0)"),"0")</f>
        <v>0</v>
      </c>
      <c r="K17" s="8">
        <f>COUNTIFS('PostestData (Submission)'!D:D,"="&amp;A17,'PostestData (Submission)'!A:A,"=443",'PostestData (Submission)'!E:E,"&gt;0")</f>
        <v>0</v>
      </c>
      <c r="L17" s="8">
        <f>COUNTIFS('PostestData (Submission)'!D:D,"="&amp;A17,'PostestData (Submission)'!A:A,"=443",'PostestData (Submission)'!H:H,"&gt;0")</f>
        <v>0</v>
      </c>
      <c r="M17" s="8">
        <f>IFERROR(__xludf.DUMMYFUNCTION("IFERROR(MAX(FILTER('PostestData (Submission)'!I:I,'PostestData (Submission)'!D:D=A17,'PostestData (Submission)'!A:A=443,'PostestData (Submission)'!H:H&gt;0)),0)"),"0")</f>
        <v>0</v>
      </c>
      <c r="N17" s="8">
        <f>COUNTIFS('PostestData (ViewVPL)'!C:C,"="&amp;A17,'PostestData (ViewVPL)'!B:B,"=443")</f>
        <v>0</v>
      </c>
      <c r="O17" s="8">
        <f>IFERROR(__xludf.DUMMYFUNCTION("IFERROR(MAX(FILTER('PostestData (Loggedin)'!C:C,'PostestData (Loggedin)'!B:B=A17,'PostestData (Loggedin)'!C:C&lt;P17)),0)"),"0")</f>
        <v>0</v>
      </c>
      <c r="P17" s="8">
        <f>IFERROR(__xludf.DUMMYFUNCTION("IFERROR(MIN(FILTER({'PostestData (Submission)'!E:E}, 'PostestData (Submission)'!D:D=A17, 'PostestData (Submission)'!A:A=444, 'PostestData (Submission)'!E:E&gt;0)),0)"),"0")</f>
        <v>0</v>
      </c>
      <c r="Q17" s="8">
        <f>IFERROR(__xludf.DUMMYFUNCTION("IFERROR(MIN(FILTER('PostestData (ViewVPL)'!D:D, 'PostestData (ViewVPL)'!C:C=A17, 'PostestData (ViewVPL)'!B:B=444,'PostestData (ViewVPL)'!D:D&gt;O17,'PostestData (ViewVPL)'!D:D&lt;P17)),0)"),"0")</f>
        <v>0</v>
      </c>
      <c r="R17" s="8">
        <f>IFERROR(__xludf.DUMMYFUNCTION("IFERROR(MAX(FILTER({'PostestData (Submission)'!E:E}, 'PostestData (Submission)'!D:D=A17, 'PostestData (Submission)'!A:A=444))-Q17, 0)"),"0")</f>
        <v>0</v>
      </c>
      <c r="S17" s="8">
        <f>IFERROR(__xludf.DUMMYFUNCTION("IFERROR(FILTER({'PostestData (ExactPB)'!E:E}, 'PostestData (ExactPB)'!A:A=A17), 0)"),"0")</f>
        <v>0</v>
      </c>
      <c r="T17" s="8">
        <f>COUNTIFS('PostestData (Submission)'!D:D,"="&amp;A17,'PostestData (Submission)'!A:A,"=444",'PostestData (Submission)'!E:E,"&gt;0")</f>
        <v>0</v>
      </c>
      <c r="U17" s="8">
        <f>COUNTIFS('PostestData (Submission)'!D:D,"="&amp;A17,'PostestData (Submission)'!A:A,"=444",'PostestData (Submission)'!H:H,"&gt;0")</f>
        <v>0</v>
      </c>
      <c r="V17" s="8">
        <f>IFERROR(__xludf.DUMMYFUNCTION("IFERROR(MAX(FILTER('PostestData (Submission)'!I:I,'PostestData (Submission)'!D:D=A17,'PostestData (Submission)'!A:A=444,'PostestData (Submission)'!H:H&gt;0)),0)"),"0")</f>
        <v>0</v>
      </c>
      <c r="W17" s="8">
        <f>COUNTIFS('PostestData (ViewVPL)'!C:C,"="&amp;A17,'PostestData (ViewVPL)'!B:B,"=444")</f>
        <v>0</v>
      </c>
      <c r="X17" s="8">
        <f>IFERROR(__xludf.DUMMYFUNCTION("IFERROR(MAX(FILTER('PostestData (Loggedin)'!C:C,'PostestData (Loggedin)'!B:B=A17,'PostestData (Loggedin)'!C:C&lt;Y17)),0)"),"0")</f>
        <v>0</v>
      </c>
      <c r="Y17" s="8">
        <f>IFERROR(__xludf.DUMMYFUNCTION("IFERROR(MIN(FILTER({'PostestData (Submission)'!E:E}, 'PostestData (Submission)'!D:D=A17, 'PostestData (Submission)'!A:A=442, 'PostestData (Submission)'!E:E&gt;0)),0)"),"0")</f>
        <v>0</v>
      </c>
      <c r="Z17" s="8">
        <f>IFERROR(__xludf.DUMMYFUNCTION("IFERROR(MIN(FILTER('PostestData (ViewVPL)'!D:D, 'PostestData (ViewVPL)'!C:C=A17, 'PostestData (ViewVPL)'!B:B=442,'PostestData (ViewVPL)'!D:D&gt;X17,'PostestData (ViewVPL)'!D:D&lt;Y17)),0)"),"0")</f>
        <v>0</v>
      </c>
      <c r="AA17" s="8">
        <f>IFERROR(__xludf.DUMMYFUNCTION("IFERROR(MAX(FILTER({'PostestData (Submission)'!E:E}, 'PostestData (Submission)'!D:D=A17, 'PostestData (Submission)'!A:A=442))-Z17, 0)"),"0")</f>
        <v>0</v>
      </c>
      <c r="AB17" s="8">
        <f>IFERROR(__xludf.DUMMYFUNCTION("IFERROR(FILTER({'PostestData (ExactPC)'!E:E}, 'PostestData (ExactPC)'!A:A=A17), 0)"),"0")</f>
        <v>0</v>
      </c>
      <c r="AC17" s="8">
        <f>COUNTIFS('PostestData (Submission)'!D:D,"="&amp;A17,'PostestData (Submission)'!A:A,"=442",'PostestData (Submission)'!E:E,"&gt;0")</f>
        <v>0</v>
      </c>
      <c r="AD17" s="8">
        <f>COUNTIFS('PostestData (Submission)'!D:D,"="&amp;A17,'PostestData (Submission)'!A:A,"=442",'PostestData (Submission)'!H:H,"&gt;0")</f>
        <v>0</v>
      </c>
      <c r="AE17" s="8">
        <f>IFERROR(__xludf.DUMMYFUNCTION("IFERROR(MAX(FILTER('PostestData (Submission)'!I:I,'PostestData (Submission)'!D:D=A17,'PostestData (Submission)'!A:A=442,'PostestData (Submission)'!H:H&gt;0)),0)"),"0")</f>
        <v>0</v>
      </c>
      <c r="AF17" s="8">
        <f>COUNTIFS('PostestData (ViewVPL)'!C:C,"="&amp;A17,'PostestData (ViewVPL)'!B:B,"=442")</f>
        <v>0</v>
      </c>
      <c r="AG17" s="8">
        <f>IFERROR(__xludf.DUMMYFUNCTION("IFERROR(MAX(FILTER('PostestData (Loggedin)'!C:C,'PostestData (Loggedin)'!B:B=A17,'PostestData (Loggedin)'!C:C&lt;AH17)),0)"),"0")</f>
        <v>0</v>
      </c>
      <c r="AH17" s="8">
        <f>IFERROR(__xludf.DUMMYFUNCTION("IFERROR(MIN(FILTER({'PostestData (Submission)'!E:E}, 'PostestData (Submission)'!D:D=A17, 'PostestData (Submission)'!A:A=445, 'PostestData (Submission)'!E:E&gt;0)),0)"),"0")</f>
        <v>0</v>
      </c>
      <c r="AI17" s="8">
        <f>IFERROR(__xludf.DUMMYFUNCTION("IFERROR(MIN(FILTER('PostestData (ViewVPL)'!D:D, 'PostestData (ViewVPL)'!C:C=A17, 'PostestData (ViewVPL)'!B:B=445,'PostestData (ViewVPL)'!D:D&gt;AG17,'PostestData (ViewVPL)'!D:D&lt;AH17)),0)"),"0")</f>
        <v>0</v>
      </c>
      <c r="AJ17" s="8">
        <f>IFERROR(__xludf.DUMMYFUNCTION("IFERROR(MAX(FILTER({'PostestData (Submission)'!E:E}, 'PostestData (Submission)'!D:D=A17, 'PostestData (Submission)'!A:A=445))-AI17, 0)"),"0")</f>
        <v>0</v>
      </c>
      <c r="AK17" s="8">
        <f>IFERROR(__xludf.DUMMYFUNCTION("IFERROR(FILTER({'PostestData (ExactPD)'!E:E}, 'PostestData (ExactPD)'!A:A=A17), 0)"),"0")</f>
        <v>0</v>
      </c>
      <c r="AL17" s="8">
        <f>COUNTIFS('PostestData (Submission)'!D:D,"="&amp;A17,'PostestData (Submission)'!A:A,"=445",'PostestData (Submission)'!E:E,"&gt;0")</f>
        <v>0</v>
      </c>
      <c r="AM17" s="8">
        <f>COUNTIFS('PostestData (Submission)'!D:D,"="&amp;A17,'PostestData (Submission)'!A:A,"=445",'PostestData (Submission)'!H:H,"&gt;0")</f>
        <v>0</v>
      </c>
      <c r="AN17" s="8">
        <f>IFERROR(__xludf.DUMMYFUNCTION("IFERROR(MAX(FILTER('PostestData (Submission)'!I:I,'PostestData (Submission)'!D:D=A17,'PostestData (Submission)'!A:A=445,'PostestData (Submission)'!H:H&gt;0)),0)"),"0")</f>
        <v>0</v>
      </c>
      <c r="AO17" s="8">
        <f>COUNTIFS('PostestData (ViewVPL)'!C:C,"="&amp;A17,'PostestData (ViewVPL)'!B:B,"=445")</f>
        <v>0</v>
      </c>
      <c r="AP17" s="8"/>
      <c r="AQ17" s="11"/>
      <c r="AR17" s="11"/>
      <c r="AS17" s="8"/>
      <c r="AT17" s="8"/>
      <c r="AU17" s="8"/>
      <c r="AV17" s="8"/>
      <c r="AW17" s="11"/>
      <c r="AX17" s="11"/>
      <c r="AY17" s="11"/>
    </row>
    <row r="18">
      <c r="A18" s="7">
        <v>10137.0</v>
      </c>
      <c r="B18" s="3" t="s">
        <v>45</v>
      </c>
      <c r="C18" s="3" t="s">
        <v>102</v>
      </c>
      <c r="D18" s="3" t="s">
        <v>63</v>
      </c>
      <c r="E18" s="3" t="s">
        <v>48</v>
      </c>
      <c r="F18" s="8">
        <f>IFERROR(__xludf.DUMMYFUNCTION("IFERROR(MAX(FILTER('PostestData (Loggedin)'!C:C,'PostestData (Loggedin)'!B:B=A18,'PostestData (Loggedin)'!C:C&lt;G18)),0)"),"0")</f>
        <v>0</v>
      </c>
      <c r="G18" s="8">
        <f>IFERROR(__xludf.DUMMYFUNCTION("IFERROR(MIN(FILTER({'PostestData (Submission)'!E:E}, 'PostestData (Submission)'!D:D=A18, 'PostestData (Submission)'!A:A=443, 'PostestData (Submission)'!E:E&gt;0)),0)"),"1480116776")</f>
        <v>1480116776</v>
      </c>
      <c r="H18" s="8">
        <f>IFERROR(__xludf.DUMMYFUNCTION("IFERROR(MIN(FILTER('PostestData (ViewVPL)'!D:D, 'PostestData (ViewVPL)'!C:C=A18, 'PostestData (ViewVPL)'!B:B=443,'PostestData (ViewVPL)'!D:D&gt;F18,'PostestData (ViewVPL)'!D:D&lt;G18)),0)"),"1480115152")</f>
        <v>1480115152</v>
      </c>
      <c r="I18" s="8">
        <f>IFERROR(__xludf.DUMMYFUNCTION("IFERROR(MAX(FILTER({'PostestData (Submission)'!E:E}, 'PostestData (Submission)'!D:D=A18, 'PostestData (Submission)'!A:A=443))-H18, 0)"),"2499")</f>
        <v>2499</v>
      </c>
      <c r="J18" s="8">
        <f>IFERROR(__xludf.DUMMYFUNCTION("IFERROR(FILTER({'PostestData (ExactPA)'!E:E}, 'PostestData (ExactPA)'!A:A=A18), 0)"),"2327")</f>
        <v>2327</v>
      </c>
      <c r="K18" s="8">
        <f>COUNTIFS('PostestData (Submission)'!D:D,"="&amp;A18,'PostestData (Submission)'!A:A,"=443",'PostestData (Submission)'!E:E,"&gt;0")</f>
        <v>10</v>
      </c>
      <c r="L18" s="8">
        <f>COUNTIFS('PostestData (Submission)'!D:D,"="&amp;A18,'PostestData (Submission)'!A:A,"=443",'PostestData (Submission)'!H:H,"&gt;0")</f>
        <v>1</v>
      </c>
      <c r="M18" s="8">
        <f>IFERROR(__xludf.DUMMYFUNCTION("IFERROR(MAX(FILTER('PostestData (Submission)'!I:I,'PostestData (Submission)'!D:D=A18,'PostestData (Submission)'!A:A=443,'PostestData (Submission)'!H:H&gt;0)),0)"),"10")</f>
        <v>10</v>
      </c>
      <c r="N18" s="8">
        <f>COUNTIFS('PostestData (ViewVPL)'!C:C,"="&amp;A18,'PostestData (ViewVPL)'!B:B,"=443")</f>
        <v>3</v>
      </c>
      <c r="O18" s="8">
        <f>IFERROR(__xludf.DUMMYFUNCTION("IFERROR(MAX(FILTER('PostestData (Loggedin)'!C:C,'PostestData (Loggedin)'!B:B=A18,'PostestData (Loggedin)'!C:C&lt;P18)),0)"),"0")</f>
        <v>0</v>
      </c>
      <c r="P18" s="8">
        <f>IFERROR(__xludf.DUMMYFUNCTION("IFERROR(MIN(FILTER({'PostestData (Submission)'!E:E}, 'PostestData (Submission)'!D:D=A18, 'PostestData (Submission)'!A:A=444, 'PostestData (Submission)'!E:E&gt;0)),0)"),"1480118475")</f>
        <v>1480118475</v>
      </c>
      <c r="Q18" s="8">
        <f>IFERROR(__xludf.DUMMYFUNCTION("IFERROR(MIN(FILTER('PostestData (ViewVPL)'!D:D, 'PostestData (ViewVPL)'!C:C=A18, 'PostestData (ViewVPL)'!B:B=444,'PostestData (ViewVPL)'!D:D&gt;O18,'PostestData (ViewVPL)'!D:D&lt;P18)),0)"),"1480117685")</f>
        <v>1480117685</v>
      </c>
      <c r="R18" s="8">
        <f>IFERROR(__xludf.DUMMYFUNCTION("IFERROR(MAX(FILTER({'PostestData (Submission)'!E:E}, 'PostestData (Submission)'!D:D=A18, 'PostestData (Submission)'!A:A=444))-Q18, 0)"),"1360")</f>
        <v>1360</v>
      </c>
      <c r="S18" s="8">
        <f>IFERROR(__xludf.DUMMYFUNCTION("IFERROR(FILTER({'PostestData (ExactPB)'!E:E}, 'PostestData (ExactPB)'!A:A=A18), 0)"),"1294")</f>
        <v>1294</v>
      </c>
      <c r="T18" s="8">
        <f>COUNTIFS('PostestData (Submission)'!D:D,"="&amp;A18,'PostestData (Submission)'!A:A,"=444",'PostestData (Submission)'!E:E,"&gt;0")</f>
        <v>6</v>
      </c>
      <c r="U18" s="8">
        <f>COUNTIFS('PostestData (Submission)'!D:D,"="&amp;A18,'PostestData (Submission)'!A:A,"=444",'PostestData (Submission)'!H:H,"&gt;0")</f>
        <v>2</v>
      </c>
      <c r="V18" s="8">
        <f>IFERROR(__xludf.DUMMYFUNCTION("IFERROR(MAX(FILTER('PostestData (Submission)'!I:I,'PostestData (Submission)'!D:D=A18,'PostestData (Submission)'!A:A=444,'PostestData (Submission)'!H:H&gt;0)),0)"),"10")</f>
        <v>10</v>
      </c>
      <c r="W18" s="8">
        <f>COUNTIFS('PostestData (ViewVPL)'!C:C,"="&amp;A18,'PostestData (ViewVPL)'!B:B,"=444")</f>
        <v>1</v>
      </c>
      <c r="X18" s="8">
        <f>IFERROR(__xludf.DUMMYFUNCTION("IFERROR(MAX(FILTER('PostestData (Loggedin)'!C:C,'PostestData (Loggedin)'!B:B=A18,'PostestData (Loggedin)'!C:C&lt;Y18)),0)"),"1480360978")</f>
        <v>1480360978</v>
      </c>
      <c r="Y18" s="8">
        <f>IFERROR(__xludf.DUMMYFUNCTION("IFERROR(MIN(FILTER({'PostestData (Submission)'!E:E}, 'PostestData (Submission)'!D:D=A18, 'PostestData (Submission)'!A:A=442, 'PostestData (Submission)'!E:E&gt;0)),0)"),"1480361273")</f>
        <v>1480361273</v>
      </c>
      <c r="Z18" s="8">
        <f>IFERROR(__xludf.DUMMYFUNCTION("IFERROR(MIN(FILTER('PostestData (ViewVPL)'!D:D, 'PostestData (ViewVPL)'!C:C=A18, 'PostestData (ViewVPL)'!B:B=442,'PostestData (ViewVPL)'!D:D&gt;X18,'PostestData (ViewVPL)'!D:D&lt;Y18)),0)"),"1480361245")</f>
        <v>1480361245</v>
      </c>
      <c r="AA18" s="8">
        <f>IFERROR(__xludf.DUMMYFUNCTION("IFERROR(MAX(FILTER({'PostestData (Submission)'!E:E}, 'PostestData (Submission)'!D:D=A18, 'PostestData (Submission)'!A:A=442))-Z18, 0)"),"92")</f>
        <v>92</v>
      </c>
      <c r="AB18" s="8">
        <f>IFERROR(__xludf.DUMMYFUNCTION("IFERROR(FILTER({'PostestData (ExactPC)'!E:E}, 'PostestData (ExactPC)'!A:A=A18), 0)"),"63")</f>
        <v>63</v>
      </c>
      <c r="AC18" s="8">
        <f>COUNTIFS('PostestData (Submission)'!D:D,"="&amp;A18,'PostestData (Submission)'!A:A,"=442",'PostestData (Submission)'!E:E,"&gt;0")</f>
        <v>2</v>
      </c>
      <c r="AD18" s="8">
        <f>COUNTIFS('PostestData (Submission)'!D:D,"="&amp;A18,'PostestData (Submission)'!A:A,"=442",'PostestData (Submission)'!H:H,"&gt;0")</f>
        <v>1</v>
      </c>
      <c r="AE18" s="8">
        <f>IFERROR(__xludf.DUMMYFUNCTION("IFERROR(MAX(FILTER('PostestData (Submission)'!I:I,'PostestData (Submission)'!D:D=A18,'PostestData (Submission)'!A:A=442,'PostestData (Submission)'!H:H&gt;0)),0)"),"10")</f>
        <v>10</v>
      </c>
      <c r="AF18" s="8">
        <f>COUNTIFS('PostestData (ViewVPL)'!C:C,"="&amp;A18,'PostestData (ViewVPL)'!B:B,"=442")</f>
        <v>1</v>
      </c>
      <c r="AG18" s="8">
        <f>IFERROR(__xludf.DUMMYFUNCTION("IFERROR(MAX(FILTER('PostestData (Loggedin)'!C:C,'PostestData (Loggedin)'!B:B=A18,'PostestData (Loggedin)'!C:C&lt;AH18)),0)"),"1480360978")</f>
        <v>1480360978</v>
      </c>
      <c r="AH18" s="8">
        <f>IFERROR(__xludf.DUMMYFUNCTION("IFERROR(MIN(FILTER({'PostestData (Submission)'!E:E}, 'PostestData (Submission)'!D:D=A18, 'PostestData (Submission)'!A:A=445, 'PostestData (Submission)'!E:E&gt;0)),0)"),"1480361421")</f>
        <v>1480361421</v>
      </c>
      <c r="AI18" s="8">
        <f>IFERROR(__xludf.DUMMYFUNCTION("IFERROR(MIN(FILTER('PostestData (ViewVPL)'!D:D, 'PostestData (ViewVPL)'!C:C=A18, 'PostestData (ViewVPL)'!B:B=445,'PostestData (ViewVPL)'!D:D&gt;AG18,'PostestData (ViewVPL)'!D:D&lt;AH18)),0)"),"1480361361")</f>
        <v>1480361361</v>
      </c>
      <c r="AJ18" s="8">
        <f>IFERROR(__xludf.DUMMYFUNCTION("IFERROR(MAX(FILTER({'PostestData (Submission)'!E:E}, 'PostestData (Submission)'!D:D=A18, 'PostestData (Submission)'!A:A=445))-AI18, 0)"),"60")</f>
        <v>60</v>
      </c>
      <c r="AK18" s="8">
        <f>IFERROR(__xludf.DUMMYFUNCTION("IFERROR(FILTER({'PostestData (ExactPD)'!E:E}, 'PostestData (ExactPD)'!A:A=A18), 0)"),"33")</f>
        <v>33</v>
      </c>
      <c r="AL18" s="8">
        <f>COUNTIFS('PostestData (Submission)'!D:D,"="&amp;A18,'PostestData (Submission)'!A:A,"=445",'PostestData (Submission)'!E:E,"&gt;0")</f>
        <v>1</v>
      </c>
      <c r="AM18" s="8">
        <f>COUNTIFS('PostestData (Submission)'!D:D,"="&amp;A18,'PostestData (Submission)'!A:A,"=445",'PostestData (Submission)'!H:H,"&gt;0")</f>
        <v>0</v>
      </c>
      <c r="AN18" s="8">
        <f>IFERROR(__xludf.DUMMYFUNCTION("IFERROR(MAX(FILTER('PostestData (Submission)'!I:I,'PostestData (Submission)'!D:D=A18,'PostestData (Submission)'!A:A=445,'PostestData (Submission)'!H:H&gt;0)),0)"),"0")</f>
        <v>0</v>
      </c>
      <c r="AO18" s="8">
        <f>COUNTIFS('PostestData (ViewVPL)'!C:C,"="&amp;A18,'PostestData (ViewVPL)'!B:B,"=445")</f>
        <v>1</v>
      </c>
      <c r="AP18" s="8"/>
      <c r="AQ18" s="11"/>
      <c r="AR18" s="11"/>
      <c r="AS18" s="8"/>
      <c r="AT18" s="8"/>
      <c r="AU18" s="8"/>
      <c r="AV18" s="8"/>
      <c r="AW18" s="11"/>
      <c r="AX18" s="11"/>
      <c r="AY18" s="11"/>
    </row>
    <row r="19">
      <c r="A19" s="7">
        <v>10126.0</v>
      </c>
      <c r="B19" s="3" t="s">
        <v>45</v>
      </c>
      <c r="C19" s="3" t="s">
        <v>103</v>
      </c>
      <c r="D19" s="3" t="s">
        <v>63</v>
      </c>
      <c r="E19" s="3" t="s">
        <v>100</v>
      </c>
      <c r="F19" s="8">
        <f>IFERROR(__xludf.DUMMYFUNCTION("IFERROR(MAX(FILTER('PostestData (Loggedin)'!C:C,'PostestData (Loggedin)'!B:B=A19,'PostestData (Loggedin)'!C:C&lt;G19)),0)"),"1480157909")</f>
        <v>1480157909</v>
      </c>
      <c r="G19" s="8">
        <f>IFERROR(__xludf.DUMMYFUNCTION("IFERROR(MIN(FILTER({'PostestData (Submission)'!E:E}, 'PostestData (Submission)'!D:D=A19, 'PostestData (Submission)'!A:A=443, 'PostestData (Submission)'!E:E&gt;0)),0)"),"1480161952")</f>
        <v>1480161952</v>
      </c>
      <c r="H19" s="8">
        <f>IFERROR(__xludf.DUMMYFUNCTION("IFERROR(MIN(FILTER('PostestData (ViewVPL)'!D:D, 'PostestData (ViewVPL)'!C:C=A19, 'PostestData (ViewVPL)'!B:B=443,'PostestData (ViewVPL)'!D:D&gt;F19,'PostestData (ViewVPL)'!D:D&lt;G19)),0)"),"1480158060")</f>
        <v>1480158060</v>
      </c>
      <c r="I19" s="8">
        <f>IFERROR(__xludf.DUMMYFUNCTION("IFERROR(MAX(FILTER({'PostestData (Submission)'!E:E}, 'PostestData (Submission)'!D:D=A19, 'PostestData (Submission)'!A:A=443))-H19, 0)"),"5503")</f>
        <v>5503</v>
      </c>
      <c r="J19" s="8">
        <f>IFERROR(__xludf.DUMMYFUNCTION("IFERROR(FILTER({'PostestData (ExactPA)'!E:E}, 'PostestData (ExactPA)'!A:A=A19), 0)"),"33")</f>
        <v>33</v>
      </c>
      <c r="K19" s="8">
        <f>COUNTIFS('PostestData (Submission)'!D:D,"="&amp;A19,'PostestData (Submission)'!A:A,"=443",'PostestData (Submission)'!E:E,"&gt;0")</f>
        <v>3</v>
      </c>
      <c r="L19" s="8">
        <f>COUNTIFS('PostestData (Submission)'!D:D,"="&amp;A19,'PostestData (Submission)'!A:A,"=443",'PostestData (Submission)'!H:H,"&gt;0")</f>
        <v>2</v>
      </c>
      <c r="M19" s="8">
        <f>IFERROR(__xludf.DUMMYFUNCTION("IFERROR(MAX(FILTER('PostestData (Submission)'!I:I,'PostestData (Submission)'!D:D=A19,'PostestData (Submission)'!A:A=443,'PostestData (Submission)'!H:H&gt;0)),0)"),"10")</f>
        <v>10</v>
      </c>
      <c r="N19" s="8">
        <f>COUNTIFS('PostestData (ViewVPL)'!C:C,"="&amp;A19,'PostestData (ViewVPL)'!B:B,"=443")</f>
        <v>4</v>
      </c>
      <c r="O19" s="8">
        <f>IFERROR(__xludf.DUMMYFUNCTION("IFERROR(MAX(FILTER('PostestData (Loggedin)'!C:C,'PostestData (Loggedin)'!B:B=A19,'PostestData (Loggedin)'!C:C&lt;P19)),0)"),"1480157909")</f>
        <v>1480157909</v>
      </c>
      <c r="P19" s="8">
        <f>IFERROR(__xludf.DUMMYFUNCTION("IFERROR(MIN(FILTER({'PostestData (Submission)'!E:E}, 'PostestData (Submission)'!D:D=A19, 'PostestData (Submission)'!A:A=444, 'PostestData (Submission)'!E:E&gt;0)),0)"),"1480163543")</f>
        <v>1480163543</v>
      </c>
      <c r="Q19" s="8">
        <f>IFERROR(__xludf.DUMMYFUNCTION("IFERROR(MIN(FILTER('PostestData (ViewVPL)'!D:D, 'PostestData (ViewVPL)'!C:C=A19, 'PostestData (ViewVPL)'!B:B=444,'PostestData (ViewVPL)'!D:D&gt;O19,'PostestData (ViewVPL)'!D:D&lt;P19)),0)"),"1480161050")</f>
        <v>1480161050</v>
      </c>
      <c r="R19" s="8">
        <f>IFERROR(__xludf.DUMMYFUNCTION("IFERROR(MAX(FILTER({'PostestData (Submission)'!E:E}, 'PostestData (Submission)'!D:D=A19, 'PostestData (Submission)'!A:A=444))-Q19, 0)"),"2645")</f>
        <v>2645</v>
      </c>
      <c r="S19" s="8">
        <f>IFERROR(__xludf.DUMMYFUNCTION("IFERROR(FILTER({'PostestData (ExactPB)'!E:E}, 'PostestData (ExactPB)'!A:A=A19), 0)"),"836")</f>
        <v>836</v>
      </c>
      <c r="T19" s="8">
        <f>COUNTIFS('PostestData (Submission)'!D:D,"="&amp;A19,'PostestData (Submission)'!A:A,"=444",'PostestData (Submission)'!E:E,"&gt;0")</f>
        <v>2</v>
      </c>
      <c r="U19" s="8">
        <f>COUNTIFS('PostestData (Submission)'!D:D,"="&amp;A19,'PostestData (Submission)'!A:A,"=444",'PostestData (Submission)'!H:H,"&gt;0")</f>
        <v>2</v>
      </c>
      <c r="V19" s="8">
        <f>IFERROR(__xludf.DUMMYFUNCTION("IFERROR(MAX(FILTER('PostestData (Submission)'!I:I,'PostestData (Submission)'!D:D=A19,'PostestData (Submission)'!A:A=444,'PostestData (Submission)'!H:H&gt;0)),0)"),"10")</f>
        <v>10</v>
      </c>
      <c r="W19" s="8">
        <f>COUNTIFS('PostestData (ViewVPL)'!C:C,"="&amp;A19,'PostestData (ViewVPL)'!B:B,"=444")</f>
        <v>6</v>
      </c>
      <c r="X19" s="8">
        <f>IFERROR(__xludf.DUMMYFUNCTION("IFERROR(MAX(FILTER('PostestData (Loggedin)'!C:C,'PostestData (Loggedin)'!B:B=A19,'PostestData (Loggedin)'!C:C&lt;Y19)),0)"),"1480157909")</f>
        <v>1480157909</v>
      </c>
      <c r="Y19" s="8">
        <f>IFERROR(__xludf.DUMMYFUNCTION("IFERROR(MIN(FILTER({'PostestData (Submission)'!E:E}, 'PostestData (Submission)'!D:D=A19, 'PostestData (Submission)'!A:A=442, 'PostestData (Submission)'!E:E&gt;0)),0)"),"1480164620")</f>
        <v>1480164620</v>
      </c>
      <c r="Z19" s="8">
        <f>IFERROR(__xludf.DUMMYFUNCTION("IFERROR(MIN(FILTER('PostestData (ViewVPL)'!D:D, 'PostestData (ViewVPL)'!C:C=A19, 'PostestData (ViewVPL)'!B:B=442,'PostestData (ViewVPL)'!D:D&gt;X19,'PostestData (ViewVPL)'!D:D&lt;Y19)),0)"),"1480161052")</f>
        <v>1480161052</v>
      </c>
      <c r="AA19" s="8">
        <f>IFERROR(__xludf.DUMMYFUNCTION("IFERROR(MAX(FILTER({'PostestData (Submission)'!E:E}, 'PostestData (Submission)'!D:D=A19, 'PostestData (Submission)'!A:A=442))-Z19, 0)"),"43116")</f>
        <v>43116</v>
      </c>
      <c r="AB19" s="8">
        <f>IFERROR(__xludf.DUMMYFUNCTION("IFERROR(FILTER({'PostestData (ExactPC)'!E:E}, 'PostestData (ExactPC)'!A:A=A19), 0)"),"48")</f>
        <v>48</v>
      </c>
      <c r="AC19" s="8">
        <f>COUNTIFS('PostestData (Submission)'!D:D,"="&amp;A19,'PostestData (Submission)'!A:A,"=442",'PostestData (Submission)'!E:E,"&gt;0")</f>
        <v>4</v>
      </c>
      <c r="AD19" s="8">
        <f>COUNTIFS('PostestData (Submission)'!D:D,"="&amp;A19,'PostestData (Submission)'!A:A,"=442",'PostestData (Submission)'!H:H,"&gt;0")</f>
        <v>2</v>
      </c>
      <c r="AE19" s="8">
        <f>IFERROR(__xludf.DUMMYFUNCTION("IFERROR(MAX(FILTER('PostestData (Submission)'!I:I,'PostestData (Submission)'!D:D=A19,'PostestData (Submission)'!A:A=442,'PostestData (Submission)'!H:H&gt;0)),0)"),"0")</f>
        <v>0</v>
      </c>
      <c r="AF19" s="8">
        <f>COUNTIFS('PostestData (ViewVPL)'!C:C,"="&amp;A19,'PostestData (ViewVPL)'!B:B,"=442")</f>
        <v>6</v>
      </c>
      <c r="AG19" s="8">
        <f>IFERROR(__xludf.DUMMYFUNCTION("IFERROR(MAX(FILTER('PostestData (Loggedin)'!C:C,'PostestData (Loggedin)'!B:B=A19,'PostestData (Loggedin)'!C:C&lt;AH19)),0)"),"0")</f>
        <v>0</v>
      </c>
      <c r="AH19" s="8">
        <f>IFERROR(__xludf.DUMMYFUNCTION("IFERROR(MIN(FILTER({'PostestData (Submission)'!E:E}, 'PostestData (Submission)'!D:D=A19, 'PostestData (Submission)'!A:A=445, 'PostestData (Submission)'!E:E&gt;0)),0)"),"0")</f>
        <v>0</v>
      </c>
      <c r="AI19" s="8">
        <f>IFERROR(__xludf.DUMMYFUNCTION("IFERROR(MIN(FILTER('PostestData (ViewVPL)'!D:D, 'PostestData (ViewVPL)'!C:C=A19, 'PostestData (ViewVPL)'!B:B=445,'PostestData (ViewVPL)'!D:D&gt;AG19,'PostestData (ViewVPL)'!D:D&lt;AH19)),0)"),"0")</f>
        <v>0</v>
      </c>
      <c r="AJ19" s="8">
        <f>IFERROR(__xludf.DUMMYFUNCTION("IFERROR(MAX(FILTER({'PostestData (Submission)'!E:E}, 'PostestData (Submission)'!D:D=A19, 'PostestData (Submission)'!A:A=445))-AI19, 0)"),"0")</f>
        <v>0</v>
      </c>
      <c r="AK19" s="8">
        <f>IFERROR(__xludf.DUMMYFUNCTION("IFERROR(FILTER({'PostestData (ExactPD)'!E:E}, 'PostestData (ExactPD)'!A:A=A19), 0)"),"0")</f>
        <v>0</v>
      </c>
      <c r="AL19" s="8">
        <f>COUNTIFS('PostestData (Submission)'!D:D,"="&amp;A19,'PostestData (Submission)'!A:A,"=445",'PostestData (Submission)'!E:E,"&gt;0")</f>
        <v>0</v>
      </c>
      <c r="AM19" s="8">
        <f>COUNTIFS('PostestData (Submission)'!D:D,"="&amp;A19,'PostestData (Submission)'!A:A,"=445",'PostestData (Submission)'!H:H,"&gt;0")</f>
        <v>0</v>
      </c>
      <c r="AN19" s="8">
        <f>IFERROR(__xludf.DUMMYFUNCTION("IFERROR(MAX(FILTER('PostestData (Submission)'!I:I,'PostestData (Submission)'!D:D=A19,'PostestData (Submission)'!A:A=445,'PostestData (Submission)'!H:H&gt;0)),0)"),"0")</f>
        <v>0</v>
      </c>
      <c r="AO19" s="8">
        <f>COUNTIFS('PostestData (ViewVPL)'!C:C,"="&amp;A19,'PostestData (ViewVPL)'!B:B,"=445")</f>
        <v>1</v>
      </c>
      <c r="AP19" s="8"/>
      <c r="AQ19" s="11"/>
      <c r="AR19" s="11"/>
      <c r="AS19" s="8"/>
      <c r="AT19" s="8"/>
      <c r="AU19" s="8"/>
      <c r="AV19" s="8"/>
      <c r="AW19" s="11"/>
      <c r="AX19" s="11"/>
      <c r="AY19" s="11"/>
    </row>
    <row r="20">
      <c r="A20" s="7">
        <v>10138.0</v>
      </c>
      <c r="B20" s="3" t="s">
        <v>45</v>
      </c>
      <c r="C20" s="3" t="s">
        <v>103</v>
      </c>
      <c r="D20" s="3" t="s">
        <v>63</v>
      </c>
      <c r="E20" s="3" t="s">
        <v>100</v>
      </c>
      <c r="F20" s="8">
        <f>IFERROR(__xludf.DUMMYFUNCTION("IFERROR(MAX(FILTER('PostestData (Loggedin)'!C:C,'PostestData (Loggedin)'!B:B=A20,'PostestData (Loggedin)'!C:C&lt;G20)),0)"),"1480114822")</f>
        <v>1480114822</v>
      </c>
      <c r="G20" s="8">
        <f>IFERROR(__xludf.DUMMYFUNCTION("IFERROR(MIN(FILTER({'PostestData (Submission)'!E:E}, 'PostestData (Submission)'!D:D=A20, 'PostestData (Submission)'!A:A=443, 'PostestData (Submission)'!E:E&gt;0)),0)"),"1480115816")</f>
        <v>1480115816</v>
      </c>
      <c r="H20" s="8">
        <f>IFERROR(__xludf.DUMMYFUNCTION("IFERROR(MIN(FILTER('PostestData (ViewVPL)'!D:D, 'PostestData (ViewVPL)'!C:C=A20, 'PostestData (ViewVPL)'!B:B=443,'PostestData (ViewVPL)'!D:D&gt;F20,'PostestData (ViewVPL)'!D:D&lt;G20)),0)"),"1480115258")</f>
        <v>1480115258</v>
      </c>
      <c r="I20" s="8">
        <f>IFERROR(__xludf.DUMMYFUNCTION("IFERROR(MAX(FILTER({'PostestData (Submission)'!E:E}, 'PostestData (Submission)'!D:D=A20, 'PostestData (Submission)'!A:A=443))-H20, 0)"),"558")</f>
        <v>558</v>
      </c>
      <c r="J20" s="8">
        <f>IFERROR(__xludf.DUMMYFUNCTION("IFERROR(FILTER({'PostestData (ExactPA)'!E:E}, 'PostestData (ExactPA)'!A:A=A20), 0)"),"405")</f>
        <v>405</v>
      </c>
      <c r="K20" s="8">
        <f>COUNTIFS('PostestData (Submission)'!D:D,"="&amp;A20,'PostestData (Submission)'!A:A,"=443",'PostestData (Submission)'!E:E,"&gt;0")</f>
        <v>1</v>
      </c>
      <c r="L20" s="8">
        <f>COUNTIFS('PostestData (Submission)'!D:D,"="&amp;A20,'PostestData (Submission)'!A:A,"=443",'PostestData (Submission)'!H:H,"&gt;0")</f>
        <v>1</v>
      </c>
      <c r="M20" s="8">
        <f>IFERROR(__xludf.DUMMYFUNCTION("IFERROR(MAX(FILTER('PostestData (Submission)'!I:I,'PostestData (Submission)'!D:D=A20,'PostestData (Submission)'!A:A=443,'PostestData (Submission)'!H:H&gt;0)),0)"),"10")</f>
        <v>10</v>
      </c>
      <c r="N20" s="8">
        <f>COUNTIFS('PostestData (ViewVPL)'!C:C,"="&amp;A20,'PostestData (ViewVPL)'!B:B,"=443")</f>
        <v>3</v>
      </c>
      <c r="O20" s="8">
        <f>IFERROR(__xludf.DUMMYFUNCTION("IFERROR(MAX(FILTER('PostestData (Loggedin)'!C:C,'PostestData (Loggedin)'!B:B=A20,'PostestData (Loggedin)'!C:C&lt;P20)),0)"),"1480114822")</f>
        <v>1480114822</v>
      </c>
      <c r="P20" s="8">
        <f>IFERROR(__xludf.DUMMYFUNCTION("IFERROR(MIN(FILTER({'PostestData (Submission)'!E:E}, 'PostestData (Submission)'!D:D=A20, 'PostestData (Submission)'!A:A=444, 'PostestData (Submission)'!E:E&gt;0)),0)"),"1480116751")</f>
        <v>1480116751</v>
      </c>
      <c r="Q20" s="8">
        <f>IFERROR(__xludf.DUMMYFUNCTION("IFERROR(MIN(FILTER('PostestData (ViewVPL)'!D:D, 'PostestData (ViewVPL)'!C:C=A20, 'PostestData (ViewVPL)'!B:B=444,'PostestData (ViewVPL)'!D:D&gt;O20,'PostestData (ViewVPL)'!D:D&lt;P20)),0)"),"1480115953")</f>
        <v>1480115953</v>
      </c>
      <c r="R20" s="8">
        <f>IFERROR(__xludf.DUMMYFUNCTION("IFERROR(MAX(FILTER({'PostestData (Submission)'!E:E}, 'PostestData (Submission)'!D:D=A20, 'PostestData (Submission)'!A:A=444))-Q20, 0)"),"1125")</f>
        <v>1125</v>
      </c>
      <c r="S20" s="8">
        <f>IFERROR(__xludf.DUMMYFUNCTION("IFERROR(FILTER({'PostestData (ExactPB)'!E:E}, 'PostestData (ExactPB)'!A:A=A20), 0)"),"1009")</f>
        <v>1009</v>
      </c>
      <c r="T20" s="8">
        <f>COUNTIFS('PostestData (Submission)'!D:D,"="&amp;A20,'PostestData (Submission)'!A:A,"=444",'PostestData (Submission)'!E:E,"&gt;0")</f>
        <v>5</v>
      </c>
      <c r="U20" s="8">
        <f>COUNTIFS('PostestData (Submission)'!D:D,"="&amp;A20,'PostestData (Submission)'!A:A,"=444",'PostestData (Submission)'!H:H,"&gt;0")</f>
        <v>4</v>
      </c>
      <c r="V20" s="8">
        <f>IFERROR(__xludf.DUMMYFUNCTION("IFERROR(MAX(FILTER('PostestData (Submission)'!I:I,'PostestData (Submission)'!D:D=A20,'PostestData (Submission)'!A:A=444,'PostestData (Submission)'!H:H&gt;0)),0)"),"10")</f>
        <v>10</v>
      </c>
      <c r="W20" s="8">
        <f>COUNTIFS('PostestData (ViewVPL)'!C:C,"="&amp;A20,'PostestData (ViewVPL)'!B:B,"=444")</f>
        <v>3</v>
      </c>
      <c r="X20" s="8">
        <f>IFERROR(__xludf.DUMMYFUNCTION("IFERROR(MAX(FILTER('PostestData (Loggedin)'!C:C,'PostestData (Loggedin)'!B:B=A20,'PostestData (Loggedin)'!C:C&lt;Y20)),0)"),"1480114822")</f>
        <v>1480114822</v>
      </c>
      <c r="Y20" s="8">
        <f>IFERROR(__xludf.DUMMYFUNCTION("IFERROR(MIN(FILTER({'PostestData (Submission)'!E:E}, 'PostestData (Submission)'!D:D=A20, 'PostestData (Submission)'!A:A=442, 'PostestData (Submission)'!E:E&gt;0)),0)"),"1480119393")</f>
        <v>1480119393</v>
      </c>
      <c r="Z20" s="8">
        <f>IFERROR(__xludf.DUMMYFUNCTION("IFERROR(MIN(FILTER('PostestData (ViewVPL)'!D:D, 'PostestData (ViewVPL)'!C:C=A20, 'PostestData (ViewVPL)'!B:B=442,'PostestData (ViewVPL)'!D:D&gt;X20,'PostestData (ViewVPL)'!D:D&lt;Y20)),0)"),"1480117125")</f>
        <v>1480117125</v>
      </c>
      <c r="AA20" s="8">
        <f>IFERROR(__xludf.DUMMYFUNCTION("IFERROR(MAX(FILTER({'PostestData (Submission)'!E:E}, 'PostestData (Submission)'!D:D=A20, 'PostestData (Submission)'!A:A=442))-Z20, 0)"),"2268")</f>
        <v>2268</v>
      </c>
      <c r="AB20" s="8">
        <f>IFERROR(__xludf.DUMMYFUNCTION("IFERROR(FILTER({'PostestData (ExactPC)'!E:E}, 'PostestData (ExactPC)'!A:A=A20), 0)"),"1642")</f>
        <v>1642</v>
      </c>
      <c r="AC20" s="8">
        <f>COUNTIFS('PostestData (Submission)'!D:D,"="&amp;A20,'PostestData (Submission)'!A:A,"=442",'PostestData (Submission)'!E:E,"&gt;0")</f>
        <v>1</v>
      </c>
      <c r="AD20" s="8">
        <f>COUNTIFS('PostestData (Submission)'!D:D,"="&amp;A20,'PostestData (Submission)'!A:A,"=442",'PostestData (Submission)'!H:H,"&gt;0")</f>
        <v>1</v>
      </c>
      <c r="AE20" s="8">
        <f>IFERROR(__xludf.DUMMYFUNCTION("IFERROR(MAX(FILTER('PostestData (Submission)'!I:I,'PostestData (Submission)'!D:D=A20,'PostestData (Submission)'!A:A=442,'PostestData (Submission)'!H:H&gt;0)),0)"),"10")</f>
        <v>10</v>
      </c>
      <c r="AF20" s="8">
        <f>COUNTIFS('PostestData (ViewVPL)'!C:C,"="&amp;A20,'PostestData (ViewVPL)'!B:B,"=442")</f>
        <v>3</v>
      </c>
      <c r="AG20" s="8">
        <f>IFERROR(__xludf.DUMMYFUNCTION("IFERROR(MAX(FILTER('PostestData (Loggedin)'!C:C,'PostestData (Loggedin)'!B:B=A20,'PostestData (Loggedin)'!C:C&lt;AH20)),0)"),"0")</f>
        <v>0</v>
      </c>
      <c r="AH20" s="8">
        <f>IFERROR(__xludf.DUMMYFUNCTION("IFERROR(MIN(FILTER({'PostestData (Submission)'!E:E}, 'PostestData (Submission)'!D:D=A20, 'PostestData (Submission)'!A:A=445, 'PostestData (Submission)'!E:E&gt;0)),0)"),"0")</f>
        <v>0</v>
      </c>
      <c r="AI20" s="8">
        <f>IFERROR(__xludf.DUMMYFUNCTION("IFERROR(MIN(FILTER('PostestData (ViewVPL)'!D:D, 'PostestData (ViewVPL)'!C:C=A20, 'PostestData (ViewVPL)'!B:B=445,'PostestData (ViewVPL)'!D:D&gt;AG20,'PostestData (ViewVPL)'!D:D&lt;AH20)),0)"),"0")</f>
        <v>0</v>
      </c>
      <c r="AJ20" s="8">
        <f>IFERROR(__xludf.DUMMYFUNCTION("IFERROR(MAX(FILTER({'PostestData (Submission)'!E:E}, 'PostestData (Submission)'!D:D=A20, 'PostestData (Submission)'!A:A=445))-AI20, 0)"),"0")</f>
        <v>0</v>
      </c>
      <c r="AK20" s="8">
        <f>IFERROR(__xludf.DUMMYFUNCTION("IFERROR(FILTER({'PostestData (ExactPD)'!E:E}, 'PostestData (ExactPD)'!A:A=A20), 0)"),"0")</f>
        <v>0</v>
      </c>
      <c r="AL20" s="8">
        <f>COUNTIFS('PostestData (Submission)'!D:D,"="&amp;A20,'PostestData (Submission)'!A:A,"=445",'PostestData (Submission)'!E:E,"&gt;0")</f>
        <v>0</v>
      </c>
      <c r="AM20" s="8">
        <f>COUNTIFS('PostestData (Submission)'!D:D,"="&amp;A20,'PostestData (Submission)'!A:A,"=445",'PostestData (Submission)'!H:H,"&gt;0")</f>
        <v>0</v>
      </c>
      <c r="AN20" s="8">
        <f>IFERROR(__xludf.DUMMYFUNCTION("IFERROR(MAX(FILTER('PostestData (Submission)'!I:I,'PostestData (Submission)'!D:D=A20,'PostestData (Submission)'!A:A=445,'PostestData (Submission)'!H:H&gt;0)),0)"),"0")</f>
        <v>0</v>
      </c>
      <c r="AO20" s="8">
        <f>COUNTIFS('PostestData (ViewVPL)'!C:C,"="&amp;A20,'PostestData (ViewVPL)'!B:B,"=445")</f>
        <v>4</v>
      </c>
      <c r="AP20" s="8"/>
      <c r="AQ20" s="11"/>
      <c r="AR20" s="11"/>
      <c r="AS20" s="8"/>
      <c r="AT20" s="8"/>
      <c r="AU20" s="8"/>
      <c r="AV20" s="8"/>
      <c r="AW20" s="11"/>
      <c r="AX20" s="11"/>
      <c r="AY20" s="11"/>
    </row>
    <row r="21">
      <c r="A21" s="7">
        <v>10151.0</v>
      </c>
      <c r="B21" s="3" t="s">
        <v>45</v>
      </c>
      <c r="C21" s="3" t="s">
        <v>103</v>
      </c>
      <c r="D21" s="3" t="s">
        <v>63</v>
      </c>
      <c r="E21" s="3" t="s">
        <v>100</v>
      </c>
      <c r="F21" s="8">
        <f>IFERROR(__xludf.DUMMYFUNCTION("IFERROR(MAX(FILTER('PostestData (Loggedin)'!C:C,'PostestData (Loggedin)'!B:B=A21,'PostestData (Loggedin)'!C:C&lt;G21)),0)"),"0")</f>
        <v>0</v>
      </c>
      <c r="G21" s="8">
        <f>IFERROR(__xludf.DUMMYFUNCTION("IFERROR(MIN(FILTER({'PostestData (Submission)'!E:E}, 'PostestData (Submission)'!D:D=A21, 'PostestData (Submission)'!A:A=443, 'PostestData (Submission)'!E:E&gt;0)),0)"),"0")</f>
        <v>0</v>
      </c>
      <c r="H21" s="8">
        <f>IFERROR(__xludf.DUMMYFUNCTION("IFERROR(MIN(FILTER('PostestData (ViewVPL)'!D:D, 'PostestData (ViewVPL)'!C:C=A21, 'PostestData (ViewVPL)'!B:B=443,'PostestData (ViewVPL)'!D:D&gt;F21,'PostestData (ViewVPL)'!D:D&lt;G21)),0)"),"0")</f>
        <v>0</v>
      </c>
      <c r="I21" s="8">
        <f>IFERROR(__xludf.DUMMYFUNCTION("IFERROR(MAX(FILTER({'PostestData (Submission)'!E:E}, 'PostestData (Submission)'!D:D=A21, 'PostestData (Submission)'!A:A=443))-H21, 0)"),"0")</f>
        <v>0</v>
      </c>
      <c r="J21" s="8">
        <f>IFERROR(__xludf.DUMMYFUNCTION("IFERROR(FILTER({'PostestData (ExactPA)'!E:E}, 'PostestData (ExactPA)'!A:A=A21), 0)"),"0")</f>
        <v>0</v>
      </c>
      <c r="K21" s="8">
        <f>COUNTIFS('PostestData (Submission)'!D:D,"="&amp;A21,'PostestData (Submission)'!A:A,"=443",'PostestData (Submission)'!E:E,"&gt;0")</f>
        <v>0</v>
      </c>
      <c r="L21" s="8">
        <f>COUNTIFS('PostestData (Submission)'!D:D,"="&amp;A21,'PostestData (Submission)'!A:A,"=443",'PostestData (Submission)'!H:H,"&gt;0")</f>
        <v>0</v>
      </c>
      <c r="M21" s="8">
        <f>IFERROR(__xludf.DUMMYFUNCTION("IFERROR(MAX(FILTER('PostestData (Submission)'!I:I,'PostestData (Submission)'!D:D=A21,'PostestData (Submission)'!A:A=443,'PostestData (Submission)'!H:H&gt;0)),0)"),"0")</f>
        <v>0</v>
      </c>
      <c r="N21" s="8">
        <f>COUNTIFS('PostestData (ViewVPL)'!C:C,"="&amp;A21,'PostestData (ViewVPL)'!B:B,"=443")</f>
        <v>0</v>
      </c>
      <c r="O21" s="8">
        <f>IFERROR(__xludf.DUMMYFUNCTION("IFERROR(MAX(FILTER('PostestData (Loggedin)'!C:C,'PostestData (Loggedin)'!B:B=A21,'PostestData (Loggedin)'!C:C&lt;P21)),0)"),"0")</f>
        <v>0</v>
      </c>
      <c r="P21" s="8">
        <f>IFERROR(__xludf.DUMMYFUNCTION("IFERROR(MIN(FILTER({'PostestData (Submission)'!E:E}, 'PostestData (Submission)'!D:D=A21, 'PostestData (Submission)'!A:A=444, 'PostestData (Submission)'!E:E&gt;0)),0)"),"0")</f>
        <v>0</v>
      </c>
      <c r="Q21" s="8">
        <f>IFERROR(__xludf.DUMMYFUNCTION("IFERROR(MIN(FILTER('PostestData (ViewVPL)'!D:D, 'PostestData (ViewVPL)'!C:C=A21, 'PostestData (ViewVPL)'!B:B=444,'PostestData (ViewVPL)'!D:D&gt;O21,'PostestData (ViewVPL)'!D:D&lt;P21)),0)"),"0")</f>
        <v>0</v>
      </c>
      <c r="R21" s="8">
        <f>IFERROR(__xludf.DUMMYFUNCTION("IFERROR(MAX(FILTER({'PostestData (Submission)'!E:E}, 'PostestData (Submission)'!D:D=A21, 'PostestData (Submission)'!A:A=444))-Q21, 0)"),"0")</f>
        <v>0</v>
      </c>
      <c r="S21" s="8">
        <f>IFERROR(__xludf.DUMMYFUNCTION("IFERROR(FILTER({'PostestData (ExactPB)'!E:E}, 'PostestData (ExactPB)'!A:A=A21), 0)"),"0")</f>
        <v>0</v>
      </c>
      <c r="T21" s="8">
        <f>COUNTIFS('PostestData (Submission)'!D:D,"="&amp;A21,'PostestData (Submission)'!A:A,"=444",'PostestData (Submission)'!E:E,"&gt;0")</f>
        <v>0</v>
      </c>
      <c r="U21" s="8">
        <f>COUNTIFS('PostestData (Submission)'!D:D,"="&amp;A21,'PostestData (Submission)'!A:A,"=444",'PostestData (Submission)'!H:H,"&gt;0")</f>
        <v>0</v>
      </c>
      <c r="V21" s="8">
        <f>IFERROR(__xludf.DUMMYFUNCTION("IFERROR(MAX(FILTER('PostestData (Submission)'!I:I,'PostestData (Submission)'!D:D=A21,'PostestData (Submission)'!A:A=444,'PostestData (Submission)'!H:H&gt;0)),0)"),"0")</f>
        <v>0</v>
      </c>
      <c r="W21" s="8">
        <f>COUNTIFS('PostestData (ViewVPL)'!C:C,"="&amp;A21,'PostestData (ViewVPL)'!B:B,"=444")</f>
        <v>0</v>
      </c>
      <c r="X21" s="8">
        <f>IFERROR(__xludf.DUMMYFUNCTION("IFERROR(MAX(FILTER('PostestData (Loggedin)'!C:C,'PostestData (Loggedin)'!B:B=A21,'PostestData (Loggedin)'!C:C&lt;Y21)),0)"),"0")</f>
        <v>0</v>
      </c>
      <c r="Y21" s="8">
        <f>IFERROR(__xludf.DUMMYFUNCTION("IFERROR(MIN(FILTER({'PostestData (Submission)'!E:E}, 'PostestData (Submission)'!D:D=A21, 'PostestData (Submission)'!A:A=442, 'PostestData (Submission)'!E:E&gt;0)),0)"),"0")</f>
        <v>0</v>
      </c>
      <c r="Z21" s="8">
        <f>IFERROR(__xludf.DUMMYFUNCTION("IFERROR(MIN(FILTER('PostestData (ViewVPL)'!D:D, 'PostestData (ViewVPL)'!C:C=A21, 'PostestData (ViewVPL)'!B:B=442,'PostestData (ViewVPL)'!D:D&gt;X21,'PostestData (ViewVPL)'!D:D&lt;Y21)),0)"),"0")</f>
        <v>0</v>
      </c>
      <c r="AA21" s="8">
        <f>IFERROR(__xludf.DUMMYFUNCTION("IFERROR(MAX(FILTER({'PostestData (Submission)'!E:E}, 'PostestData (Submission)'!D:D=A21, 'PostestData (Submission)'!A:A=442))-Z21, 0)"),"0")</f>
        <v>0</v>
      </c>
      <c r="AB21" s="8">
        <f>IFERROR(__xludf.DUMMYFUNCTION("IFERROR(FILTER({'PostestData (ExactPC)'!E:E}, 'PostestData (ExactPC)'!A:A=A21), 0)"),"0")</f>
        <v>0</v>
      </c>
      <c r="AC21" s="8">
        <f>COUNTIFS('PostestData (Submission)'!D:D,"="&amp;A21,'PostestData (Submission)'!A:A,"=442",'PostestData (Submission)'!E:E,"&gt;0")</f>
        <v>0</v>
      </c>
      <c r="AD21" s="8">
        <f>COUNTIFS('PostestData (Submission)'!D:D,"="&amp;A21,'PostestData (Submission)'!A:A,"=442",'PostestData (Submission)'!H:H,"&gt;0")</f>
        <v>0</v>
      </c>
      <c r="AE21" s="8">
        <f>IFERROR(__xludf.DUMMYFUNCTION("IFERROR(MAX(FILTER('PostestData (Submission)'!I:I,'PostestData (Submission)'!D:D=A21,'PostestData (Submission)'!A:A=442,'PostestData (Submission)'!H:H&gt;0)),0)"),"0")</f>
        <v>0</v>
      </c>
      <c r="AF21" s="8">
        <f>COUNTIFS('PostestData (ViewVPL)'!C:C,"="&amp;A21,'PostestData (ViewVPL)'!B:B,"=442")</f>
        <v>0</v>
      </c>
      <c r="AG21" s="8">
        <f>IFERROR(__xludf.DUMMYFUNCTION("IFERROR(MAX(FILTER('PostestData (Loggedin)'!C:C,'PostestData (Loggedin)'!B:B=A21,'PostestData (Loggedin)'!C:C&lt;AH21)),0)"),"0")</f>
        <v>0</v>
      </c>
      <c r="AH21" s="8">
        <f>IFERROR(__xludf.DUMMYFUNCTION("IFERROR(MIN(FILTER({'PostestData (Submission)'!E:E}, 'PostestData (Submission)'!D:D=A21, 'PostestData (Submission)'!A:A=445, 'PostestData (Submission)'!E:E&gt;0)),0)"),"0")</f>
        <v>0</v>
      </c>
      <c r="AI21" s="8">
        <f>IFERROR(__xludf.DUMMYFUNCTION("IFERROR(MIN(FILTER('PostestData (ViewVPL)'!D:D, 'PostestData (ViewVPL)'!C:C=A21, 'PostestData (ViewVPL)'!B:B=445,'PostestData (ViewVPL)'!D:D&gt;AG21,'PostestData (ViewVPL)'!D:D&lt;AH21)),0)"),"0")</f>
        <v>0</v>
      </c>
      <c r="AJ21" s="8">
        <f>IFERROR(__xludf.DUMMYFUNCTION("IFERROR(MAX(FILTER({'PostestData (Submission)'!E:E}, 'PostestData (Submission)'!D:D=A21, 'PostestData (Submission)'!A:A=445))-AI21, 0)"),"0")</f>
        <v>0</v>
      </c>
      <c r="AK21" s="8">
        <f>IFERROR(__xludf.DUMMYFUNCTION("IFERROR(FILTER({'PostestData (ExactPD)'!E:E}, 'PostestData (ExactPD)'!A:A=A21), 0)"),"0")</f>
        <v>0</v>
      </c>
      <c r="AL21" s="8">
        <f>COUNTIFS('PostestData (Submission)'!D:D,"="&amp;A21,'PostestData (Submission)'!A:A,"=445",'PostestData (Submission)'!E:E,"&gt;0")</f>
        <v>0</v>
      </c>
      <c r="AM21" s="8">
        <f>COUNTIFS('PostestData (Submission)'!D:D,"="&amp;A21,'PostestData (Submission)'!A:A,"=445",'PostestData (Submission)'!H:H,"&gt;0")</f>
        <v>0</v>
      </c>
      <c r="AN21" s="8">
        <f>IFERROR(__xludf.DUMMYFUNCTION("IFERROR(MAX(FILTER('PostestData (Submission)'!I:I,'PostestData (Submission)'!D:D=A21,'PostestData (Submission)'!A:A=445,'PostestData (Submission)'!H:H&gt;0)),0)"),"0")</f>
        <v>0</v>
      </c>
      <c r="AO21" s="8">
        <f>COUNTIFS('PostestData (ViewVPL)'!C:C,"="&amp;A21,'PostestData (ViewVPL)'!B:B,"=445")</f>
        <v>0</v>
      </c>
      <c r="AP21" s="8"/>
      <c r="AQ21" s="11"/>
      <c r="AR21" s="11"/>
      <c r="AS21" s="8"/>
      <c r="AT21" s="8"/>
      <c r="AU21" s="8"/>
      <c r="AV21" s="8"/>
      <c r="AW21" s="11"/>
      <c r="AX21" s="11"/>
      <c r="AY21" s="11"/>
    </row>
    <row r="22">
      <c r="A22" s="7">
        <v>10120.0</v>
      </c>
      <c r="B22" s="3" t="s">
        <v>45</v>
      </c>
      <c r="C22" s="3" t="s">
        <v>103</v>
      </c>
      <c r="D22" s="3" t="s">
        <v>47</v>
      </c>
      <c r="E22" s="3" t="s">
        <v>100</v>
      </c>
      <c r="F22" s="8">
        <f>IFERROR(__xludf.DUMMYFUNCTION("IFERROR(MAX(FILTER('PostestData (Loggedin)'!C:C,'PostestData (Loggedin)'!B:B=A22,'PostestData (Loggedin)'!C:C&lt;G22)),0)"),"1480114853")</f>
        <v>1480114853</v>
      </c>
      <c r="G22" s="8">
        <f>IFERROR(__xludf.DUMMYFUNCTION("IFERROR(MIN(FILTER({'PostestData (Submission)'!E:E}, 'PostestData (Submission)'!D:D=A22, 'PostestData (Submission)'!A:A=443, 'PostestData (Submission)'!E:E&gt;0)),0)"),"1480115912")</f>
        <v>1480115912</v>
      </c>
      <c r="H22" s="8">
        <f>IFERROR(__xludf.DUMMYFUNCTION("IFERROR(MIN(FILTER('PostestData (ViewVPL)'!D:D, 'PostestData (ViewVPL)'!C:C=A22, 'PostestData (ViewVPL)'!B:B=443,'PostestData (ViewVPL)'!D:D&gt;F22,'PostestData (ViewVPL)'!D:D&lt;G22)),0)"),"1480115258")</f>
        <v>1480115258</v>
      </c>
      <c r="I22" s="8">
        <f>IFERROR(__xludf.DUMMYFUNCTION("IFERROR(MAX(FILTER({'PostestData (Submission)'!E:E}, 'PostestData (Submission)'!D:D=A22, 'PostestData (Submission)'!A:A=443))-H22, 0)"),"1965")</f>
        <v>1965</v>
      </c>
      <c r="J22" s="8">
        <f>IFERROR(__xludf.DUMMYFUNCTION("IFERROR(FILTER({'PostestData (ExactPA)'!E:E}, 'PostestData (ExactPA)'!A:A=A22), 0)"),"6")</f>
        <v>6</v>
      </c>
      <c r="K22" s="8">
        <f>COUNTIFS('PostestData (Submission)'!D:D,"="&amp;A22,'PostestData (Submission)'!A:A,"=443",'PostestData (Submission)'!E:E,"&gt;0")</f>
        <v>4</v>
      </c>
      <c r="L22" s="8">
        <f>COUNTIFS('PostestData (Submission)'!D:D,"="&amp;A22,'PostestData (Submission)'!A:A,"=443",'PostestData (Submission)'!H:H,"&gt;0")</f>
        <v>4</v>
      </c>
      <c r="M22" s="8">
        <f>IFERROR(__xludf.DUMMYFUNCTION("IFERROR(MAX(FILTER('PostestData (Submission)'!I:I,'PostestData (Submission)'!D:D=A22,'PostestData (Submission)'!A:A=443,'PostestData (Submission)'!H:H&gt;0)),0)"),"10")</f>
        <v>10</v>
      </c>
      <c r="N22" s="8">
        <f>COUNTIFS('PostestData (ViewVPL)'!C:C,"="&amp;A22,'PostestData (ViewVPL)'!B:B,"=443")</f>
        <v>7</v>
      </c>
      <c r="O22" s="8">
        <f>IFERROR(__xludf.DUMMYFUNCTION("IFERROR(MAX(FILTER('PostestData (Loggedin)'!C:C,'PostestData (Loggedin)'!B:B=A22,'PostestData (Loggedin)'!C:C&lt;P22)),0)"),"1480114853")</f>
        <v>1480114853</v>
      </c>
      <c r="P22" s="8">
        <f>IFERROR(__xludf.DUMMYFUNCTION("IFERROR(MIN(FILTER({'PostestData (Submission)'!E:E}, 'PostestData (Submission)'!D:D=A22, 'PostestData (Submission)'!A:A=444, 'PostestData (Submission)'!E:E&gt;0)),0)"),"1480118414")</f>
        <v>1480118414</v>
      </c>
      <c r="Q22" s="8">
        <f>IFERROR(__xludf.DUMMYFUNCTION("IFERROR(MIN(FILTER('PostestData (ViewVPL)'!D:D, 'PostestData (ViewVPL)'!C:C=A22, 'PostestData (ViewVPL)'!B:B=444,'PostestData (ViewVPL)'!D:D&gt;O22,'PostestData (ViewVPL)'!D:D&lt;P22)),0)"),"1480115291")</f>
        <v>1480115291</v>
      </c>
      <c r="R22" s="8">
        <f>IFERROR(__xludf.DUMMYFUNCTION("IFERROR(MAX(FILTER({'PostestData (Submission)'!E:E}, 'PostestData (Submission)'!D:D=A22, 'PostestData (Submission)'!A:A=444))-Q22, 0)"),"583868")</f>
        <v>583868</v>
      </c>
      <c r="S22" s="8">
        <f>IFERROR(__xludf.DUMMYFUNCTION("IFERROR(FILTER({'PostestData (ExactPB)'!E:E}, 'PostestData (ExactPB)'!A:A=A22), 0)"),"0")</f>
        <v>0</v>
      </c>
      <c r="T22" s="8">
        <f>COUNTIFS('PostestData (Submission)'!D:D,"="&amp;A22,'PostestData (Submission)'!A:A,"=444",'PostestData (Submission)'!E:E,"&gt;0")</f>
        <v>2</v>
      </c>
      <c r="U22" s="8">
        <f>COUNTIFS('PostestData (Submission)'!D:D,"="&amp;A22,'PostestData (Submission)'!A:A,"=444",'PostestData (Submission)'!H:H,"&gt;0")</f>
        <v>2</v>
      </c>
      <c r="V22" s="8">
        <f>IFERROR(__xludf.DUMMYFUNCTION("IFERROR(MAX(FILTER('PostestData (Submission)'!I:I,'PostestData (Submission)'!D:D=A22,'PostestData (Submission)'!A:A=444,'PostestData (Submission)'!H:H&gt;0)),0)"),"10")</f>
        <v>10</v>
      </c>
      <c r="W22" s="8">
        <f>COUNTIFS('PostestData (ViewVPL)'!C:C,"="&amp;A22,'PostestData (ViewVPL)'!B:B,"=444")</f>
        <v>7</v>
      </c>
      <c r="X22" s="8">
        <f>IFERROR(__xludf.DUMMYFUNCTION("IFERROR(MAX(FILTER('PostestData (Loggedin)'!C:C,'PostestData (Loggedin)'!B:B=A22,'PostestData (Loggedin)'!C:C&lt;Y22)),0)"),"1480114853")</f>
        <v>1480114853</v>
      </c>
      <c r="Y22" s="8">
        <f>IFERROR(__xludf.DUMMYFUNCTION("IFERROR(MIN(FILTER({'PostestData (Submission)'!E:E}, 'PostestData (Submission)'!D:D=A22, 'PostestData (Submission)'!A:A=442, 'PostestData (Submission)'!E:E&gt;0)),0)"),"1480120848")</f>
        <v>1480120848</v>
      </c>
      <c r="Z22" s="8">
        <f>IFERROR(__xludf.DUMMYFUNCTION("IFERROR(MIN(FILTER('PostestData (ViewVPL)'!D:D, 'PostestData (ViewVPL)'!C:C=A22, 'PostestData (ViewVPL)'!B:B=442,'PostestData (ViewVPL)'!D:D&gt;X22,'PostestData (ViewVPL)'!D:D&lt;Y22)),0)"),"1480118428")</f>
        <v>1480118428</v>
      </c>
      <c r="AA22" s="8">
        <f>IFERROR(__xludf.DUMMYFUNCTION("IFERROR(MAX(FILTER({'PostestData (Submission)'!E:E}, 'PostestData (Submission)'!D:D=A22, 'PostestData (Submission)'!A:A=442))-Z22, 0)"),"582861")</f>
        <v>582861</v>
      </c>
      <c r="AB22" s="8">
        <f>IFERROR(__xludf.DUMMYFUNCTION("IFERROR(FILTER({'PostestData (ExactPC)'!E:E}, 'PostestData (ExactPC)'!A:A=A22), 0)"),"1784")</f>
        <v>1784</v>
      </c>
      <c r="AC22" s="8">
        <f>COUNTIFS('PostestData (Submission)'!D:D,"="&amp;A22,'PostestData (Submission)'!A:A,"=442",'PostestData (Submission)'!E:E,"&gt;0")</f>
        <v>2</v>
      </c>
      <c r="AD22" s="8">
        <f>COUNTIFS('PostestData (Submission)'!D:D,"="&amp;A22,'PostestData (Submission)'!A:A,"=442",'PostestData (Submission)'!H:H,"&gt;0")</f>
        <v>2</v>
      </c>
      <c r="AE22" s="8">
        <f>IFERROR(__xludf.DUMMYFUNCTION("IFERROR(MAX(FILTER('PostestData (Submission)'!I:I,'PostestData (Submission)'!D:D=A22,'PostestData (Submission)'!A:A=442,'PostestData (Submission)'!H:H&gt;0)),0)"),"10")</f>
        <v>10</v>
      </c>
      <c r="AF22" s="8">
        <f>COUNTIFS('PostestData (ViewVPL)'!C:C,"="&amp;A22,'PostestData (ViewVPL)'!B:B,"=442")</f>
        <v>6</v>
      </c>
      <c r="AG22" s="8">
        <f>IFERROR(__xludf.DUMMYFUNCTION("IFERROR(MAX(FILTER('PostestData (Loggedin)'!C:C,'PostestData (Loggedin)'!B:B=A22,'PostestData (Loggedin)'!C:C&lt;AH22)),0)"),"0")</f>
        <v>0</v>
      </c>
      <c r="AH22" s="8">
        <f>IFERROR(__xludf.DUMMYFUNCTION("IFERROR(MIN(FILTER({'PostestData (Submission)'!E:E}, 'PostestData (Submission)'!D:D=A22, 'PostestData (Submission)'!A:A=445, 'PostestData (Submission)'!E:E&gt;0)),0)"),"0")</f>
        <v>0</v>
      </c>
      <c r="AI22" s="8">
        <f>IFERROR(__xludf.DUMMYFUNCTION("IFERROR(MIN(FILTER('PostestData (ViewVPL)'!D:D, 'PostestData (ViewVPL)'!C:C=A22, 'PostestData (ViewVPL)'!B:B=445,'PostestData (ViewVPL)'!D:D&gt;AG22,'PostestData (ViewVPL)'!D:D&lt;AH22)),0)"),"0")</f>
        <v>0</v>
      </c>
      <c r="AJ22" s="8">
        <f>IFERROR(__xludf.DUMMYFUNCTION("IFERROR(MAX(FILTER({'PostestData (Submission)'!E:E}, 'PostestData (Submission)'!D:D=A22, 'PostestData (Submission)'!A:A=445))-AI22, 0)"),"0")</f>
        <v>0</v>
      </c>
      <c r="AK22" s="8">
        <f>IFERROR(__xludf.DUMMYFUNCTION("IFERROR(FILTER({'PostestData (ExactPD)'!E:E}, 'PostestData (ExactPD)'!A:A=A22), 0)"),"0")</f>
        <v>0</v>
      </c>
      <c r="AL22" s="8">
        <f>COUNTIFS('PostestData (Submission)'!D:D,"="&amp;A22,'PostestData (Submission)'!A:A,"=445",'PostestData (Submission)'!E:E,"&gt;0")</f>
        <v>0</v>
      </c>
      <c r="AM22" s="8">
        <f>COUNTIFS('PostestData (Submission)'!D:D,"="&amp;A22,'PostestData (Submission)'!A:A,"=445",'PostestData (Submission)'!H:H,"&gt;0")</f>
        <v>0</v>
      </c>
      <c r="AN22" s="8">
        <f>IFERROR(__xludf.DUMMYFUNCTION("IFERROR(MAX(FILTER('PostestData (Submission)'!I:I,'PostestData (Submission)'!D:D=A22,'PostestData (Submission)'!A:A=445,'PostestData (Submission)'!H:H&gt;0)),0)"),"0")</f>
        <v>0</v>
      </c>
      <c r="AO22" s="8">
        <f>COUNTIFS('PostestData (ViewVPL)'!C:C,"="&amp;A22,'PostestData (ViewVPL)'!B:B,"=445")</f>
        <v>3</v>
      </c>
      <c r="AP22" s="8"/>
      <c r="AQ22" s="11"/>
      <c r="AR22" s="11"/>
      <c r="AS22" s="8"/>
      <c r="AT22" s="8"/>
      <c r="AU22" s="8"/>
      <c r="AV22" s="8"/>
      <c r="AW22" s="11"/>
      <c r="AX22" s="11"/>
      <c r="AY22" s="11"/>
    </row>
    <row r="23">
      <c r="A23" s="7">
        <v>10146.0</v>
      </c>
      <c r="B23" s="3" t="s">
        <v>104</v>
      </c>
      <c r="C23" s="3" t="s">
        <v>105</v>
      </c>
      <c r="D23" s="3" t="s">
        <v>63</v>
      </c>
      <c r="E23" s="3"/>
      <c r="F23" s="8">
        <f>IFERROR(__xludf.DUMMYFUNCTION("IFERROR(MAX(FILTER('PostestData (Loggedin)'!C:C,'PostestData (Loggedin)'!B:B=A23,'PostestData (Loggedin)'!C:C&lt;G23)),0)"),"0")</f>
        <v>0</v>
      </c>
      <c r="G23" s="8">
        <f>IFERROR(__xludf.DUMMYFUNCTION("IFERROR(MIN(FILTER({'PostestData (Submission)'!E:E}, 'PostestData (Submission)'!D:D=A23, 'PostestData (Submission)'!A:A=443, 'PostestData (Submission)'!E:E&gt;0)),0)"),"1480116262")</f>
        <v>1480116262</v>
      </c>
      <c r="H23" s="8">
        <f>IFERROR(__xludf.DUMMYFUNCTION("IFERROR(MIN(FILTER('PostestData (ViewVPL)'!D:D, 'PostestData (ViewVPL)'!C:C=A23, 'PostestData (ViewVPL)'!B:B=443,'PostestData (ViewVPL)'!D:D&gt;F23,'PostestData (ViewVPL)'!D:D&lt;G23)),0)"),"1480115168")</f>
        <v>1480115168</v>
      </c>
      <c r="I23" s="8">
        <f>IFERROR(__xludf.DUMMYFUNCTION("IFERROR(MAX(FILTER({'PostestData (Submission)'!E:E}, 'PostestData (Submission)'!D:D=A23, 'PostestData (Submission)'!A:A=443))-H23, 0)"),"1454")</f>
        <v>1454</v>
      </c>
      <c r="J23" s="8">
        <f>IFERROR(__xludf.DUMMYFUNCTION("IFERROR(FILTER({'PostestData (ExactPA)'!E:E}, 'PostestData (ExactPA)'!A:A=A23), 0)"),"279")</f>
        <v>279</v>
      </c>
      <c r="K23" s="8">
        <f>COUNTIFS('PostestData (Submission)'!D:D,"="&amp;A23,'PostestData (Submission)'!A:A,"=443",'PostestData (Submission)'!E:E,"&gt;0")</f>
        <v>3</v>
      </c>
      <c r="L23" s="8">
        <f>COUNTIFS('PostestData (Submission)'!D:D,"="&amp;A23,'PostestData (Submission)'!A:A,"=443",'PostestData (Submission)'!H:H,"&gt;0")</f>
        <v>1</v>
      </c>
      <c r="M23" s="8">
        <f>IFERROR(__xludf.DUMMYFUNCTION("IFERROR(MAX(FILTER('PostestData (Submission)'!I:I,'PostestData (Submission)'!D:D=A23,'PostestData (Submission)'!A:A=443,'PostestData (Submission)'!H:H&gt;0)),0)"),"10")</f>
        <v>10</v>
      </c>
      <c r="N23" s="8">
        <f>COUNTIFS('PostestData (ViewVPL)'!C:C,"="&amp;A23,'PostestData (ViewVPL)'!B:B,"=443")</f>
        <v>4</v>
      </c>
      <c r="O23" s="8">
        <f>IFERROR(__xludf.DUMMYFUNCTION("IFERROR(MAX(FILTER('PostestData (Loggedin)'!C:C,'PostestData (Loggedin)'!B:B=A23,'PostestData (Loggedin)'!C:C&lt;P23)),0)"),"0")</f>
        <v>0</v>
      </c>
      <c r="P23" s="8">
        <f>IFERROR(__xludf.DUMMYFUNCTION("IFERROR(MIN(FILTER({'PostestData (Submission)'!E:E}, 'PostestData (Submission)'!D:D=A23, 'PostestData (Submission)'!A:A=444, 'PostestData (Submission)'!E:E&gt;0)),0)"),"1480117105")</f>
        <v>1480117105</v>
      </c>
      <c r="Q23" s="8">
        <f>IFERROR(__xludf.DUMMYFUNCTION("IFERROR(MIN(FILTER('PostestData (ViewVPL)'!D:D, 'PostestData (ViewVPL)'!C:C=A23, 'PostestData (ViewVPL)'!B:B=444,'PostestData (ViewVPL)'!D:D&gt;O23,'PostestData (ViewVPL)'!D:D&lt;P23)),0)"),"1480116645")</f>
        <v>1480116645</v>
      </c>
      <c r="R23" s="8">
        <f>IFERROR(__xludf.DUMMYFUNCTION("IFERROR(MAX(FILTER({'PostestData (Submission)'!E:E}, 'PostestData (Submission)'!D:D=A23, 'PostestData (Submission)'!A:A=444))-Q23, 0)"),"460")</f>
        <v>460</v>
      </c>
      <c r="S23" s="8">
        <f>IFERROR(__xludf.DUMMYFUNCTION("IFERROR(FILTER({'PostestData (ExactPB)'!E:E}, 'PostestData (ExactPB)'!A:A=A23), 0)"),"437")</f>
        <v>437</v>
      </c>
      <c r="T23" s="8">
        <f>COUNTIFS('PostestData (Submission)'!D:D,"="&amp;A23,'PostestData (Submission)'!A:A,"=444",'PostestData (Submission)'!E:E,"&gt;0")</f>
        <v>1</v>
      </c>
      <c r="U23" s="8">
        <f>COUNTIFS('PostestData (Submission)'!D:D,"="&amp;A23,'PostestData (Submission)'!A:A,"=444",'PostestData (Submission)'!H:H,"&gt;0")</f>
        <v>1</v>
      </c>
      <c r="V23" s="8">
        <f>IFERROR(__xludf.DUMMYFUNCTION("IFERROR(MAX(FILTER('PostestData (Submission)'!I:I,'PostestData (Submission)'!D:D=A23,'PostestData (Submission)'!A:A=444,'PostestData (Submission)'!H:H&gt;0)),0)"),"10")</f>
        <v>10</v>
      </c>
      <c r="W23" s="8">
        <f>COUNTIFS('PostestData (ViewVPL)'!C:C,"="&amp;A23,'PostestData (ViewVPL)'!B:B,"=444")</f>
        <v>2</v>
      </c>
      <c r="X23" s="8">
        <f>IFERROR(__xludf.DUMMYFUNCTION("IFERROR(MAX(FILTER('PostestData (Loggedin)'!C:C,'PostestData (Loggedin)'!B:B=A23,'PostestData (Loggedin)'!C:C&lt;Y23)),0)"),"0")</f>
        <v>0</v>
      </c>
      <c r="Y23" s="8">
        <f>IFERROR(__xludf.DUMMYFUNCTION("IFERROR(MIN(FILTER({'PostestData (Submission)'!E:E}, 'PostestData (Submission)'!D:D=A23, 'PostestData (Submission)'!A:A=442, 'PostestData (Submission)'!E:E&gt;0)),0)"),"1480118468")</f>
        <v>1480118468</v>
      </c>
      <c r="Z23" s="8">
        <f>IFERROR(__xludf.DUMMYFUNCTION("IFERROR(MIN(FILTER('PostestData (ViewVPL)'!D:D, 'PostestData (ViewVPL)'!C:C=A23, 'PostestData (ViewVPL)'!B:B=442,'PostestData (ViewVPL)'!D:D&gt;X23,'PostestData (ViewVPL)'!D:D&lt;Y23)),0)"),"1480117166")</f>
        <v>1480117166</v>
      </c>
      <c r="AA23" s="8">
        <f>IFERROR(__xludf.DUMMYFUNCTION("IFERROR(MAX(FILTER({'PostestData (Submission)'!E:E}, 'PostestData (Submission)'!D:D=A23, 'PostestData (Submission)'!A:A=442))-Z23, 0)"),"1876")</f>
        <v>1876</v>
      </c>
      <c r="AB23" s="8">
        <f>IFERROR(__xludf.DUMMYFUNCTION("IFERROR(FILTER({'PostestData (ExactPC)'!E:E}, 'PostestData (ExactPC)'!A:A=A23), 0)"),"1861")</f>
        <v>1861</v>
      </c>
      <c r="AC23" s="8">
        <f>COUNTIFS('PostestData (Submission)'!D:D,"="&amp;A23,'PostestData (Submission)'!A:A,"=442",'PostestData (Submission)'!E:E,"&gt;0")</f>
        <v>4</v>
      </c>
      <c r="AD23" s="8">
        <f>COUNTIFS('PostestData (Submission)'!D:D,"="&amp;A23,'PostestData (Submission)'!A:A,"=442",'PostestData (Submission)'!H:H,"&gt;0")</f>
        <v>2</v>
      </c>
      <c r="AE23" s="8">
        <f>IFERROR(__xludf.DUMMYFUNCTION("IFERROR(MAX(FILTER('PostestData (Submission)'!I:I,'PostestData (Submission)'!D:D=A23,'PostestData (Submission)'!A:A=442,'PostestData (Submission)'!H:H&gt;0)),0)"),"10")</f>
        <v>10</v>
      </c>
      <c r="AF23" s="8">
        <f>COUNTIFS('PostestData (ViewVPL)'!C:C,"="&amp;A23,'PostestData (ViewVPL)'!B:B,"=442")</f>
        <v>1</v>
      </c>
      <c r="AG23" s="8">
        <f>IFERROR(__xludf.DUMMYFUNCTION("IFERROR(MAX(FILTER('PostestData (Loggedin)'!C:C,'PostestData (Loggedin)'!B:B=A23,'PostestData (Loggedin)'!C:C&lt;AH23)),0)"),"0")</f>
        <v>0</v>
      </c>
      <c r="AH23" s="8">
        <f>IFERROR(__xludf.DUMMYFUNCTION("IFERROR(MIN(FILTER({'PostestData (Submission)'!E:E}, 'PostestData (Submission)'!D:D=A23, 'PostestData (Submission)'!A:A=445, 'PostestData (Submission)'!E:E&gt;0)),0)"),"1480120470")</f>
        <v>1480120470</v>
      </c>
      <c r="AI23" s="8">
        <f>IFERROR(__xludf.DUMMYFUNCTION("IFERROR(MIN(FILTER('PostestData (ViewVPL)'!D:D, 'PostestData (ViewVPL)'!C:C=A23, 'PostestData (ViewVPL)'!B:B=445,'PostestData (ViewVPL)'!D:D&gt;AG23,'PostestData (ViewVPL)'!D:D&lt;AH23)),0)"),"1480119159")</f>
        <v>1480119159</v>
      </c>
      <c r="AJ23" s="8">
        <f>IFERROR(__xludf.DUMMYFUNCTION("IFERROR(MAX(FILTER({'PostestData (Submission)'!E:E}, 'PostestData (Submission)'!D:D=A23, 'PostestData (Submission)'!A:A=445))-AI23, 0)"),"1324")</f>
        <v>1324</v>
      </c>
      <c r="AK23" s="8">
        <f>IFERROR(__xludf.DUMMYFUNCTION("IFERROR(FILTER({'PostestData (ExactPD)'!E:E}, 'PostestData (ExactPD)'!A:A=A23), 0)"),"1297")</f>
        <v>1297</v>
      </c>
      <c r="AL23" s="8">
        <f>COUNTIFS('PostestData (Submission)'!D:D,"="&amp;A23,'PostestData (Submission)'!A:A,"=445",'PostestData (Submission)'!E:E,"&gt;0")</f>
        <v>2</v>
      </c>
      <c r="AM23" s="8">
        <f>COUNTIFS('PostestData (Submission)'!D:D,"="&amp;A23,'PostestData (Submission)'!A:A,"=445",'PostestData (Submission)'!H:H,"&gt;0")</f>
        <v>2</v>
      </c>
      <c r="AN23" s="8">
        <f>IFERROR(__xludf.DUMMYFUNCTION("IFERROR(MAX(FILTER('PostestData (Submission)'!I:I,'PostestData (Submission)'!D:D=A23,'PostestData (Submission)'!A:A=445,'PostestData (Submission)'!H:H&gt;0)),0)"),"10")</f>
        <v>10</v>
      </c>
      <c r="AO23" s="8">
        <f>COUNTIFS('PostestData (ViewVPL)'!C:C,"="&amp;A23,'PostestData (ViewVPL)'!B:B,"=445")</f>
        <v>2</v>
      </c>
      <c r="AP23" s="8"/>
      <c r="AQ23" s="11"/>
      <c r="AR23" s="11"/>
      <c r="AS23" s="8"/>
      <c r="AT23" s="8"/>
      <c r="AU23" s="8"/>
      <c r="AV23" s="8"/>
      <c r="AW23" s="11"/>
      <c r="AX23" s="11"/>
      <c r="AY23" s="11"/>
    </row>
    <row r="24">
      <c r="A24" s="7">
        <v>10149.0</v>
      </c>
      <c r="B24" s="3" t="s">
        <v>104</v>
      </c>
      <c r="C24" s="3" t="s">
        <v>105</v>
      </c>
      <c r="D24" s="3" t="s">
        <v>63</v>
      </c>
      <c r="E24" s="3"/>
      <c r="F24" s="8">
        <f>IFERROR(__xludf.DUMMYFUNCTION("IFERROR(MAX(FILTER('PostestData (Loggedin)'!C:C,'PostestData (Loggedin)'!B:B=A24,'PostestData (Loggedin)'!C:C&lt;G24)),0)"),"0")</f>
        <v>0</v>
      </c>
      <c r="G24" s="8">
        <f>IFERROR(__xludf.DUMMYFUNCTION("IFERROR(MIN(FILTER({'PostestData (Submission)'!E:E}, 'PostestData (Submission)'!D:D=A24, 'PostestData (Submission)'!A:A=443, 'PostestData (Submission)'!E:E&gt;0)),0)"),"1480117500")</f>
        <v>1480117500</v>
      </c>
      <c r="H24" s="8">
        <f>IFERROR(__xludf.DUMMYFUNCTION("IFERROR(MIN(FILTER('PostestData (ViewVPL)'!D:D, 'PostestData (ViewVPL)'!C:C=A24, 'PostestData (ViewVPL)'!B:B=443,'PostestData (ViewVPL)'!D:D&gt;F24,'PostestData (ViewVPL)'!D:D&lt;G24)),0)"),"1480116034")</f>
        <v>1480116034</v>
      </c>
      <c r="I24" s="8">
        <f>IFERROR(__xludf.DUMMYFUNCTION("IFERROR(MAX(FILTER({'PostestData (Submission)'!E:E}, 'PostestData (Submission)'!D:D=A24, 'PostestData (Submission)'!A:A=443))-H24, 0)"),"1466")</f>
        <v>1466</v>
      </c>
      <c r="J24" s="8">
        <f>IFERROR(__xludf.DUMMYFUNCTION("IFERROR(FILTER({'PostestData (ExactPA)'!E:E}, 'PostestData (ExactPA)'!A:A=A24), 0)"),"0")</f>
        <v>0</v>
      </c>
      <c r="K24" s="8">
        <f>COUNTIFS('PostestData (Submission)'!D:D,"="&amp;A24,'PostestData (Submission)'!A:A,"=443",'PostestData (Submission)'!E:E,"&gt;0")</f>
        <v>1</v>
      </c>
      <c r="L24" s="8">
        <f>COUNTIFS('PostestData (Submission)'!D:D,"="&amp;A24,'PostestData (Submission)'!A:A,"=443",'PostestData (Submission)'!H:H,"&gt;0")</f>
        <v>1</v>
      </c>
      <c r="M24" s="8">
        <f>IFERROR(__xludf.DUMMYFUNCTION("IFERROR(MAX(FILTER('PostestData (Submission)'!I:I,'PostestData (Submission)'!D:D=A24,'PostestData (Submission)'!A:A=443,'PostestData (Submission)'!H:H&gt;0)),0)"),"10")</f>
        <v>10</v>
      </c>
      <c r="N24" s="8">
        <f>COUNTIFS('PostestData (ViewVPL)'!C:C,"="&amp;A24,'PostestData (ViewVPL)'!B:B,"=443")</f>
        <v>2</v>
      </c>
      <c r="O24" s="8">
        <f>IFERROR(__xludf.DUMMYFUNCTION("IFERROR(MAX(FILTER('PostestData (Loggedin)'!C:C,'PostestData (Loggedin)'!B:B=A24,'PostestData (Loggedin)'!C:C&lt;P24)),0)"),"0")</f>
        <v>0</v>
      </c>
      <c r="P24" s="8">
        <f>IFERROR(__xludf.DUMMYFUNCTION("IFERROR(MIN(FILTER({'PostestData (Submission)'!E:E}, 'PostestData (Submission)'!D:D=A24, 'PostestData (Submission)'!A:A=444, 'PostestData (Submission)'!E:E&gt;0)),0)"),"1480118474")</f>
        <v>1480118474</v>
      </c>
      <c r="Q24" s="8">
        <f>IFERROR(__xludf.DUMMYFUNCTION("IFERROR(MIN(FILTER('PostestData (ViewVPL)'!D:D, 'PostestData (ViewVPL)'!C:C=A24, 'PostestData (ViewVPL)'!B:B=444,'PostestData (ViewVPL)'!D:D&gt;O24,'PostestData (ViewVPL)'!D:D&lt;P24)),0)"),"1480117517")</f>
        <v>1480117517</v>
      </c>
      <c r="R24" s="8">
        <f>IFERROR(__xludf.DUMMYFUNCTION("IFERROR(MAX(FILTER({'PostestData (Submission)'!E:E}, 'PostestData (Submission)'!D:D=A24, 'PostestData (Submission)'!A:A=444))-Q24, 0)"),"957")</f>
        <v>957</v>
      </c>
      <c r="S24" s="8">
        <f>IFERROR(__xludf.DUMMYFUNCTION("IFERROR(FILTER({'PostestData (ExactPB)'!E:E}, 'PostestData (ExactPB)'!A:A=A24), 0)"),"0")</f>
        <v>0</v>
      </c>
      <c r="T24" s="8">
        <f>COUNTIFS('PostestData (Submission)'!D:D,"="&amp;A24,'PostestData (Submission)'!A:A,"=444",'PostestData (Submission)'!E:E,"&gt;0")</f>
        <v>1</v>
      </c>
      <c r="U24" s="8">
        <f>COUNTIFS('PostestData (Submission)'!D:D,"="&amp;A24,'PostestData (Submission)'!A:A,"=444",'PostestData (Submission)'!H:H,"&gt;0")</f>
        <v>1</v>
      </c>
      <c r="V24" s="8">
        <f>IFERROR(__xludf.DUMMYFUNCTION("IFERROR(MAX(FILTER('PostestData (Submission)'!I:I,'PostestData (Submission)'!D:D=A24,'PostestData (Submission)'!A:A=444,'PostestData (Submission)'!H:H&gt;0)),0)"),"10")</f>
        <v>10</v>
      </c>
      <c r="W24" s="8">
        <f>COUNTIFS('PostestData (ViewVPL)'!C:C,"="&amp;A24,'PostestData (ViewVPL)'!B:B,"=444")</f>
        <v>2</v>
      </c>
      <c r="X24" s="8">
        <f>IFERROR(__xludf.DUMMYFUNCTION("IFERROR(MAX(FILTER('PostestData (Loggedin)'!C:C,'PostestData (Loggedin)'!B:B=A24,'PostestData (Loggedin)'!C:C&lt;Y24)),0)"),"0")</f>
        <v>0</v>
      </c>
      <c r="Y24" s="8">
        <f>IFERROR(__xludf.DUMMYFUNCTION("IFERROR(MIN(FILTER({'PostestData (Submission)'!E:E}, 'PostestData (Submission)'!D:D=A24, 'PostestData (Submission)'!A:A=442, 'PostestData (Submission)'!E:E&gt;0)),0)"),"1480119285")</f>
        <v>1480119285</v>
      </c>
      <c r="Z24" s="8">
        <f>IFERROR(__xludf.DUMMYFUNCTION("IFERROR(MIN(FILTER('PostestData (ViewVPL)'!D:D, 'PostestData (ViewVPL)'!C:C=A24, 'PostestData (ViewVPL)'!B:B=442,'PostestData (ViewVPL)'!D:D&gt;X24,'PostestData (ViewVPL)'!D:D&lt;Y24)),0)"),"1480118494")</f>
        <v>1480118494</v>
      </c>
      <c r="AA24" s="8">
        <f>IFERROR(__xludf.DUMMYFUNCTION("IFERROR(MAX(FILTER({'PostestData (Submission)'!E:E}, 'PostestData (Submission)'!D:D=A24, 'PostestData (Submission)'!A:A=442))-Z24, 0)"),"906")</f>
        <v>906</v>
      </c>
      <c r="AB24" s="8">
        <f>IFERROR(__xludf.DUMMYFUNCTION("IFERROR(FILTER({'PostestData (ExactPC)'!E:E}, 'PostestData (ExactPC)'!A:A=A24), 0)"),"0")</f>
        <v>0</v>
      </c>
      <c r="AC24" s="8">
        <f>COUNTIFS('PostestData (Submission)'!D:D,"="&amp;A24,'PostestData (Submission)'!A:A,"=442",'PostestData (Submission)'!E:E,"&gt;0")</f>
        <v>2</v>
      </c>
      <c r="AD24" s="8">
        <f>COUNTIFS('PostestData (Submission)'!D:D,"="&amp;A24,'PostestData (Submission)'!A:A,"=442",'PostestData (Submission)'!H:H,"&gt;0")</f>
        <v>2</v>
      </c>
      <c r="AE24" s="8">
        <f>IFERROR(__xludf.DUMMYFUNCTION("IFERROR(MAX(FILTER('PostestData (Submission)'!I:I,'PostestData (Submission)'!D:D=A24,'PostestData (Submission)'!A:A=442,'PostestData (Submission)'!H:H&gt;0)),0)"),"10")</f>
        <v>10</v>
      </c>
      <c r="AF24" s="8">
        <f>COUNTIFS('PostestData (ViewVPL)'!C:C,"="&amp;A24,'PostestData (ViewVPL)'!B:B,"=442")</f>
        <v>3</v>
      </c>
      <c r="AG24" s="8">
        <f>IFERROR(__xludf.DUMMYFUNCTION("IFERROR(MAX(FILTER('PostestData (Loggedin)'!C:C,'PostestData (Loggedin)'!B:B=A24,'PostestData (Loggedin)'!C:C&lt;AH24)),0)"),"0")</f>
        <v>0</v>
      </c>
      <c r="AH24" s="8">
        <f>IFERROR(__xludf.DUMMYFUNCTION("IFERROR(MIN(FILTER({'PostestData (Submission)'!E:E}, 'PostestData (Submission)'!D:D=A24, 'PostestData (Submission)'!A:A=445, 'PostestData (Submission)'!E:E&gt;0)),0)"),"1480120335")</f>
        <v>1480120335</v>
      </c>
      <c r="AI24" s="8">
        <f>IFERROR(__xludf.DUMMYFUNCTION("IFERROR(MIN(FILTER('PostestData (ViewVPL)'!D:D, 'PostestData (ViewVPL)'!C:C=A24, 'PostestData (ViewVPL)'!B:B=445,'PostestData (ViewVPL)'!D:D&gt;AG24,'PostestData (ViewVPL)'!D:D&lt;AH24)),0)"),"1480118991")</f>
        <v>1480118991</v>
      </c>
      <c r="AJ24" s="8">
        <f>IFERROR(__xludf.DUMMYFUNCTION("IFERROR(MAX(FILTER({'PostestData (Submission)'!E:E}, 'PostestData (Submission)'!D:D=A24, 'PostestData (Submission)'!A:A=445))-AI24, 0)"),"1344")</f>
        <v>1344</v>
      </c>
      <c r="AK24" s="8">
        <f>IFERROR(__xludf.DUMMYFUNCTION("IFERROR(FILTER({'PostestData (ExactPD)'!E:E}, 'PostestData (ExactPD)'!A:A=A24), 0)"),"0")</f>
        <v>0</v>
      </c>
      <c r="AL24" s="8">
        <f>COUNTIFS('PostestData (Submission)'!D:D,"="&amp;A24,'PostestData (Submission)'!A:A,"=445",'PostestData (Submission)'!E:E,"&gt;0")</f>
        <v>1</v>
      </c>
      <c r="AM24" s="8">
        <f>COUNTIFS('PostestData (Submission)'!D:D,"="&amp;A24,'PostestData (Submission)'!A:A,"=445",'PostestData (Submission)'!H:H,"&gt;0")</f>
        <v>1</v>
      </c>
      <c r="AN24" s="8">
        <f>IFERROR(__xludf.DUMMYFUNCTION("IFERROR(MAX(FILTER('PostestData (Submission)'!I:I,'PostestData (Submission)'!D:D=A24,'PostestData (Submission)'!A:A=445,'PostestData (Submission)'!H:H&gt;0)),0)"),"0")</f>
        <v>0</v>
      </c>
      <c r="AO24" s="8">
        <f>COUNTIFS('PostestData (ViewVPL)'!C:C,"="&amp;A24,'PostestData (ViewVPL)'!B:B,"=445")</f>
        <v>3</v>
      </c>
      <c r="AP24" s="8"/>
      <c r="AQ24" s="11"/>
      <c r="AR24" s="11"/>
      <c r="AS24" s="8"/>
      <c r="AT24" s="8"/>
      <c r="AU24" s="8"/>
      <c r="AV24" s="8"/>
      <c r="AW24" s="11"/>
      <c r="AX24" s="11"/>
      <c r="AY24" s="11"/>
    </row>
    <row r="25">
      <c r="A25" s="7">
        <v>10132.0</v>
      </c>
      <c r="B25" s="3" t="s">
        <v>104</v>
      </c>
      <c r="C25" s="3" t="s">
        <v>105</v>
      </c>
      <c r="D25" s="3" t="s">
        <v>63</v>
      </c>
      <c r="E25" s="3"/>
      <c r="F25" s="8">
        <f>IFERROR(__xludf.DUMMYFUNCTION("IFERROR(MAX(FILTER('PostestData (Loggedin)'!C:C,'PostestData (Loggedin)'!B:B=A25,'PostestData (Loggedin)'!C:C&lt;G25)),0)"),"1480115126")</f>
        <v>1480115126</v>
      </c>
      <c r="G25" s="8">
        <f>IFERROR(__xludf.DUMMYFUNCTION("IFERROR(MIN(FILTER({'PostestData (Submission)'!E:E}, 'PostestData (Submission)'!D:D=A25, 'PostestData (Submission)'!A:A=443, 'PostestData (Submission)'!E:E&gt;0)),0)"),"1480116264")</f>
        <v>1480116264</v>
      </c>
      <c r="H25" s="8">
        <f>IFERROR(__xludf.DUMMYFUNCTION("IFERROR(MIN(FILTER('PostestData (ViewVPL)'!D:D, 'PostestData (ViewVPL)'!C:C=A25, 'PostestData (ViewVPL)'!B:B=443,'PostestData (ViewVPL)'!D:D&gt;F25,'PostestData (ViewVPL)'!D:D&lt;G25)),0)"),"1480115440")</f>
        <v>1480115440</v>
      </c>
      <c r="I25" s="8">
        <f>IFERROR(__xludf.DUMMYFUNCTION("IFERROR(MAX(FILTER({'PostestData (Submission)'!E:E}, 'PostestData (Submission)'!D:D=A25, 'PostestData (Submission)'!A:A=443))-H25, 0)"),"2966")</f>
        <v>2966</v>
      </c>
      <c r="J25" s="8">
        <f>IFERROR(__xludf.DUMMYFUNCTION("IFERROR(FILTER({'PostestData (ExactPA)'!E:E}, 'PostestData (ExactPA)'!A:A=A25), 0)"),"2791")</f>
        <v>2791</v>
      </c>
      <c r="K25" s="8">
        <f>COUNTIFS('PostestData (Submission)'!D:D,"="&amp;A25,'PostestData (Submission)'!A:A,"=443",'PostestData (Submission)'!E:E,"&gt;0")</f>
        <v>15</v>
      </c>
      <c r="L25" s="8">
        <f>COUNTIFS('PostestData (Submission)'!D:D,"="&amp;A25,'PostestData (Submission)'!A:A,"=443",'PostestData (Submission)'!H:H,"&gt;0")</f>
        <v>3</v>
      </c>
      <c r="M25" s="8">
        <f>IFERROR(__xludf.DUMMYFUNCTION("IFERROR(MAX(FILTER('PostestData (Submission)'!I:I,'PostestData (Submission)'!D:D=A25,'PostestData (Submission)'!A:A=443,'PostestData (Submission)'!H:H&gt;0)),0)"),"10")</f>
        <v>10</v>
      </c>
      <c r="N25" s="8">
        <f>COUNTIFS('PostestData (ViewVPL)'!C:C,"="&amp;A25,'PostestData (ViewVPL)'!B:B,"=443")</f>
        <v>3</v>
      </c>
      <c r="O25" s="8">
        <f>IFERROR(__xludf.DUMMYFUNCTION("IFERROR(MAX(FILTER('PostestData (Loggedin)'!C:C,'PostestData (Loggedin)'!B:B=A25,'PostestData (Loggedin)'!C:C&lt;P25)),0)"),"1480115126")</f>
        <v>1480115126</v>
      </c>
      <c r="P25" s="8">
        <f>IFERROR(__xludf.DUMMYFUNCTION("IFERROR(MIN(FILTER({'PostestData (Submission)'!E:E}, 'PostestData (Submission)'!D:D=A25, 'PostestData (Submission)'!A:A=444, 'PostestData (Submission)'!E:E&gt;0)),0)"),"1480118914")</f>
        <v>1480118914</v>
      </c>
      <c r="Q25" s="8">
        <f>IFERROR(__xludf.DUMMYFUNCTION("IFERROR(MIN(FILTER('PostestData (ViewVPL)'!D:D, 'PostestData (ViewVPL)'!C:C=A25, 'PostestData (ViewVPL)'!B:B=444,'PostestData (ViewVPL)'!D:D&gt;O25,'PostestData (ViewVPL)'!D:D&lt;P25)),0)"),"1480118436")</f>
        <v>1480118436</v>
      </c>
      <c r="R25" s="8">
        <f>IFERROR(__xludf.DUMMYFUNCTION("IFERROR(MAX(FILTER({'PostestData (Submission)'!E:E}, 'PostestData (Submission)'!D:D=A25, 'PostestData (Submission)'!A:A=444))-Q25, 0)"),"568")</f>
        <v>568</v>
      </c>
      <c r="S25" s="8">
        <f>IFERROR(__xludf.DUMMYFUNCTION("IFERROR(FILTER({'PostestData (ExactPB)'!E:E}, 'PostestData (ExactPB)'!A:A=A25), 0)"),"284")</f>
        <v>284</v>
      </c>
      <c r="T25" s="8">
        <f>COUNTIFS('PostestData (Submission)'!D:D,"="&amp;A25,'PostestData (Submission)'!A:A,"=444",'PostestData (Submission)'!E:E,"&gt;0")</f>
        <v>2</v>
      </c>
      <c r="U25" s="8">
        <f>COUNTIFS('PostestData (Submission)'!D:D,"="&amp;A25,'PostestData (Submission)'!A:A,"=444",'PostestData (Submission)'!H:H,"&gt;0")</f>
        <v>1</v>
      </c>
      <c r="V25" s="8">
        <f>IFERROR(__xludf.DUMMYFUNCTION("IFERROR(MAX(FILTER('PostestData (Submission)'!I:I,'PostestData (Submission)'!D:D=A25,'PostestData (Submission)'!A:A=444,'PostestData (Submission)'!H:H&gt;0)),0)"),"10")</f>
        <v>10</v>
      </c>
      <c r="W25" s="8">
        <f>COUNTIFS('PostestData (ViewVPL)'!C:C,"="&amp;A25,'PostestData (ViewVPL)'!B:B,"=444")</f>
        <v>2</v>
      </c>
      <c r="X25" s="8">
        <f>IFERROR(__xludf.DUMMYFUNCTION("IFERROR(MAX(FILTER('PostestData (Loggedin)'!C:C,'PostestData (Loggedin)'!B:B=A25,'PostestData (Loggedin)'!C:C&lt;Y25)),0)"),"1480115126")</f>
        <v>1480115126</v>
      </c>
      <c r="Y25" s="8">
        <f>IFERROR(__xludf.DUMMYFUNCTION("IFERROR(MIN(FILTER({'PostestData (Submission)'!E:E}, 'PostestData (Submission)'!D:D=A25, 'PostestData (Submission)'!A:A=442, 'PostestData (Submission)'!E:E&gt;0)),0)"),"1480119319")</f>
        <v>1480119319</v>
      </c>
      <c r="Z25" s="8">
        <f>IFERROR(__xludf.DUMMYFUNCTION("IFERROR(MIN(FILTER('PostestData (ViewVPL)'!D:D, 'PostestData (ViewVPL)'!C:C=A25, 'PostestData (ViewVPL)'!B:B=442,'PostestData (ViewVPL)'!D:D&gt;X25,'PostestData (ViewVPL)'!D:D&lt;Y25)),0)"),"1480119031")</f>
        <v>1480119031</v>
      </c>
      <c r="AA25" s="8">
        <f>IFERROR(__xludf.DUMMYFUNCTION("IFERROR(MAX(FILTER({'PostestData (Submission)'!E:E}, 'PostestData (Submission)'!D:D=A25, 'PostestData (Submission)'!A:A=442))-Z25, 0)"),"288")</f>
        <v>288</v>
      </c>
      <c r="AB25" s="8">
        <f>IFERROR(__xludf.DUMMYFUNCTION("IFERROR(FILTER({'PostestData (ExactPC)'!E:E}, 'PostestData (ExactPC)'!A:A=A25), 0)"),"15")</f>
        <v>15</v>
      </c>
      <c r="AC25" s="8">
        <f>COUNTIFS('PostestData (Submission)'!D:D,"="&amp;A25,'PostestData (Submission)'!A:A,"=442",'PostestData (Submission)'!E:E,"&gt;0")</f>
        <v>1</v>
      </c>
      <c r="AD25" s="8">
        <f>COUNTIFS('PostestData (Submission)'!D:D,"="&amp;A25,'PostestData (Submission)'!A:A,"=442",'PostestData (Submission)'!H:H,"&gt;0")</f>
        <v>1</v>
      </c>
      <c r="AE25" s="8">
        <f>IFERROR(__xludf.DUMMYFUNCTION("IFERROR(MAX(FILTER('PostestData (Submission)'!I:I,'PostestData (Submission)'!D:D=A25,'PostestData (Submission)'!A:A=442,'PostestData (Submission)'!H:H&gt;0)),0)"),"10")</f>
        <v>10</v>
      </c>
      <c r="AF25" s="8">
        <f>COUNTIFS('PostestData (ViewVPL)'!C:C,"="&amp;A25,'PostestData (ViewVPL)'!B:B,"=442")</f>
        <v>2</v>
      </c>
      <c r="AG25" s="8">
        <f>IFERROR(__xludf.DUMMYFUNCTION("IFERROR(MAX(FILTER('PostestData (Loggedin)'!C:C,'PostestData (Loggedin)'!B:B=A25,'PostestData (Loggedin)'!C:C&lt;AH25)),0)"),"0")</f>
        <v>0</v>
      </c>
      <c r="AH25" s="8">
        <f>IFERROR(__xludf.DUMMYFUNCTION("IFERROR(MIN(FILTER({'PostestData (Submission)'!E:E}, 'PostestData (Submission)'!D:D=A25, 'PostestData (Submission)'!A:A=445, 'PostestData (Submission)'!E:E&gt;0)),0)"),"0")</f>
        <v>0</v>
      </c>
      <c r="AI25" s="8">
        <f>IFERROR(__xludf.DUMMYFUNCTION("IFERROR(MIN(FILTER('PostestData (ViewVPL)'!D:D, 'PostestData (ViewVPL)'!C:C=A25, 'PostestData (ViewVPL)'!B:B=445,'PostestData (ViewVPL)'!D:D&gt;AG25,'PostestData (ViewVPL)'!D:D&lt;AH25)),0)"),"0")</f>
        <v>0</v>
      </c>
      <c r="AJ25" s="8">
        <f>IFERROR(__xludf.DUMMYFUNCTION("IFERROR(MAX(FILTER({'PostestData (Submission)'!E:E}, 'PostestData (Submission)'!D:D=A25, 'PostestData (Submission)'!A:A=445))-AI25, 0)"),"0")</f>
        <v>0</v>
      </c>
      <c r="AK25" s="8">
        <f>IFERROR(__xludf.DUMMYFUNCTION("IFERROR(FILTER({'PostestData (ExactPD)'!E:E}, 'PostestData (ExactPD)'!A:A=A25), 0)"),"0")</f>
        <v>0</v>
      </c>
      <c r="AL25" s="8">
        <f>COUNTIFS('PostestData (Submission)'!D:D,"="&amp;A25,'PostestData (Submission)'!A:A,"=445",'PostestData (Submission)'!E:E,"&gt;0")</f>
        <v>0</v>
      </c>
      <c r="AM25" s="8">
        <f>COUNTIFS('PostestData (Submission)'!D:D,"="&amp;A25,'PostestData (Submission)'!A:A,"=445",'PostestData (Submission)'!H:H,"&gt;0")</f>
        <v>0</v>
      </c>
      <c r="AN25" s="8">
        <f>IFERROR(__xludf.DUMMYFUNCTION("IFERROR(MAX(FILTER('PostestData (Submission)'!I:I,'PostestData (Submission)'!D:D=A25,'PostestData (Submission)'!A:A=445,'PostestData (Submission)'!H:H&gt;0)),0)"),"0")</f>
        <v>0</v>
      </c>
      <c r="AO25" s="8">
        <f>COUNTIFS('PostestData (ViewVPL)'!C:C,"="&amp;A25,'PostestData (ViewVPL)'!B:B,"=445")</f>
        <v>1</v>
      </c>
      <c r="AP25" s="8"/>
      <c r="AQ25" s="11"/>
      <c r="AR25" s="11"/>
      <c r="AS25" s="8"/>
      <c r="AT25" s="8"/>
      <c r="AU25" s="8"/>
      <c r="AV25" s="8"/>
      <c r="AW25" s="11"/>
      <c r="AX25" s="11"/>
      <c r="AY25" s="11"/>
    </row>
    <row r="26">
      <c r="A26" s="7">
        <v>10153.0</v>
      </c>
      <c r="B26" s="3" t="s">
        <v>104</v>
      </c>
      <c r="C26" s="3" t="s">
        <v>105</v>
      </c>
      <c r="D26" s="3" t="s">
        <v>63</v>
      </c>
      <c r="E26" s="3"/>
      <c r="F26" s="8">
        <f>IFERROR(__xludf.DUMMYFUNCTION("IFERROR(MAX(FILTER('PostestData (Loggedin)'!C:C,'PostestData (Loggedin)'!B:B=A26,'PostestData (Loggedin)'!C:C&lt;G26)),0)"),"1480266449")</f>
        <v>1480266449</v>
      </c>
      <c r="G26" s="8">
        <f>IFERROR(__xludf.DUMMYFUNCTION("IFERROR(MIN(FILTER({'PostestData (Submission)'!E:E}, 'PostestData (Submission)'!D:D=A26, 'PostestData (Submission)'!A:A=443, 'PostestData (Submission)'!E:E&gt;0)),0)"),"1480266746")</f>
        <v>1480266746</v>
      </c>
      <c r="H26" s="8">
        <f>IFERROR(__xludf.DUMMYFUNCTION("IFERROR(MIN(FILTER('PostestData (ViewVPL)'!D:D, 'PostestData (ViewVPL)'!C:C=A26, 'PostestData (ViewVPL)'!B:B=443,'PostestData (ViewVPL)'!D:D&gt;F26,'PostestData (ViewVPL)'!D:D&lt;G26)),0)"),"1480266708")</f>
        <v>1480266708</v>
      </c>
      <c r="I26" s="8">
        <f>IFERROR(__xludf.DUMMYFUNCTION("IFERROR(MAX(FILTER({'PostestData (Submission)'!E:E}, 'PostestData (Submission)'!D:D=A26, 'PostestData (Submission)'!A:A=443))-H26, 0)"),"197")</f>
        <v>197</v>
      </c>
      <c r="J26" s="8">
        <f>IFERROR(__xludf.DUMMYFUNCTION("IFERROR(FILTER({'PostestData (ExactPA)'!E:E}, 'PostestData (ExactPA)'!A:A=A26), 0)"),"179")</f>
        <v>179</v>
      </c>
      <c r="K26" s="8">
        <f>COUNTIFS('PostestData (Submission)'!D:D,"="&amp;A26,'PostestData (Submission)'!A:A,"=443",'PostestData (Submission)'!E:E,"&gt;0")</f>
        <v>4</v>
      </c>
      <c r="L26" s="8">
        <f>COUNTIFS('PostestData (Submission)'!D:D,"="&amp;A26,'PostestData (Submission)'!A:A,"=443",'PostestData (Submission)'!H:H,"&gt;0")</f>
        <v>3</v>
      </c>
      <c r="M26" s="8">
        <f>IFERROR(__xludf.DUMMYFUNCTION("IFERROR(MAX(FILTER('PostestData (Submission)'!I:I,'PostestData (Submission)'!D:D=A26,'PostestData (Submission)'!A:A=443,'PostestData (Submission)'!H:H&gt;0)),0)"),"10")</f>
        <v>10</v>
      </c>
      <c r="N26" s="8">
        <f>COUNTIFS('PostestData (ViewVPL)'!C:C,"="&amp;A26,'PostestData (ViewVPL)'!B:B,"=443")</f>
        <v>1</v>
      </c>
      <c r="O26" s="8">
        <f>IFERROR(__xludf.DUMMYFUNCTION("IFERROR(MAX(FILTER('PostestData (Loggedin)'!C:C,'PostestData (Loggedin)'!B:B=A26,'PostestData (Loggedin)'!C:C&lt;P26)),0)"),"1480266449")</f>
        <v>1480266449</v>
      </c>
      <c r="P26" s="8">
        <f>IFERROR(__xludf.DUMMYFUNCTION("IFERROR(MIN(FILTER({'PostestData (Submission)'!E:E}, 'PostestData (Submission)'!D:D=A26, 'PostestData (Submission)'!A:A=444, 'PostestData (Submission)'!E:E&gt;0)),0)"),"1480266978")</f>
        <v>1480266978</v>
      </c>
      <c r="Q26" s="8">
        <f>IFERROR(__xludf.DUMMYFUNCTION("IFERROR(MIN(FILTER('PostestData (ViewVPL)'!D:D, 'PostestData (ViewVPL)'!C:C=A26, 'PostestData (ViewVPL)'!B:B=444,'PostestData (ViewVPL)'!D:D&gt;O26,'PostestData (ViewVPL)'!D:D&lt;P26)),0)"),"1480266951")</f>
        <v>1480266951</v>
      </c>
      <c r="R26" s="8">
        <f>IFERROR(__xludf.DUMMYFUNCTION("IFERROR(MAX(FILTER({'PostestData (Submission)'!E:E}, 'PostestData (Submission)'!D:D=A26, 'PostestData (Submission)'!A:A=444))-Q26, 0)"),"59")</f>
        <v>59</v>
      </c>
      <c r="S26" s="8">
        <f>IFERROR(__xludf.DUMMYFUNCTION("IFERROR(FILTER({'PostestData (ExactPB)'!E:E}, 'PostestData (ExactPB)'!A:A=A26), 0)"),"50")</f>
        <v>50</v>
      </c>
      <c r="T26" s="8">
        <f>COUNTIFS('PostestData (Submission)'!D:D,"="&amp;A26,'PostestData (Submission)'!A:A,"=444",'PostestData (Submission)'!E:E,"&gt;0")</f>
        <v>2</v>
      </c>
      <c r="U26" s="8">
        <f>COUNTIFS('PostestData (Submission)'!D:D,"="&amp;A26,'PostestData (Submission)'!A:A,"=444",'PostestData (Submission)'!H:H,"&gt;0")</f>
        <v>2</v>
      </c>
      <c r="V26" s="8">
        <f>IFERROR(__xludf.DUMMYFUNCTION("IFERROR(MAX(FILTER('PostestData (Submission)'!I:I,'PostestData (Submission)'!D:D=A26,'PostestData (Submission)'!A:A=444,'PostestData (Submission)'!H:H&gt;0)),0)"),"10")</f>
        <v>10</v>
      </c>
      <c r="W26" s="8">
        <f>COUNTIFS('PostestData (ViewVPL)'!C:C,"="&amp;A26,'PostestData (ViewVPL)'!B:B,"=444")</f>
        <v>1</v>
      </c>
      <c r="X26" s="8">
        <f>IFERROR(__xludf.DUMMYFUNCTION("IFERROR(MAX(FILTER('PostestData (Loggedin)'!C:C,'PostestData (Loggedin)'!B:B=A26,'PostestData (Loggedin)'!C:C&lt;Y26)),0)"),"1480266449")</f>
        <v>1480266449</v>
      </c>
      <c r="Y26" s="8">
        <f>IFERROR(__xludf.DUMMYFUNCTION("IFERROR(MIN(FILTER({'PostestData (Submission)'!E:E}, 'PostestData (Submission)'!D:D=A26, 'PostestData (Submission)'!A:A=442, 'PostestData (Submission)'!E:E&gt;0)),0)"),"1480267085")</f>
        <v>1480267085</v>
      </c>
      <c r="Z26" s="8">
        <f>IFERROR(__xludf.DUMMYFUNCTION("IFERROR(MIN(FILTER('PostestData (ViewVPL)'!D:D, 'PostestData (ViewVPL)'!C:C=A26, 'PostestData (ViewVPL)'!B:B=442,'PostestData (ViewVPL)'!D:D&gt;X26,'PostestData (ViewVPL)'!D:D&lt;Y26)),0)"),"1480267030")</f>
        <v>1480267030</v>
      </c>
      <c r="AA26" s="8">
        <f>IFERROR(__xludf.DUMMYFUNCTION("IFERROR(MAX(FILTER({'PostestData (Submission)'!E:E}, 'PostestData (Submission)'!D:D=A26, 'PostestData (Submission)'!A:A=442))-Z26, 0)"),"89")</f>
        <v>89</v>
      </c>
      <c r="AB26" s="8">
        <f>IFERROR(__xludf.DUMMYFUNCTION("IFERROR(FILTER({'PostestData (ExactPC)'!E:E}, 'PostestData (ExactPC)'!A:A=A26), 0)"),"82")</f>
        <v>82</v>
      </c>
      <c r="AC26" s="8">
        <f>COUNTIFS('PostestData (Submission)'!D:D,"="&amp;A26,'PostestData (Submission)'!A:A,"=442",'PostestData (Submission)'!E:E,"&gt;0")</f>
        <v>2</v>
      </c>
      <c r="AD26" s="8">
        <f>COUNTIFS('PostestData (Submission)'!D:D,"="&amp;A26,'PostestData (Submission)'!A:A,"=442",'PostestData (Submission)'!H:H,"&gt;0")</f>
        <v>2</v>
      </c>
      <c r="AE26" s="8">
        <f>IFERROR(__xludf.DUMMYFUNCTION("IFERROR(MAX(FILTER('PostestData (Submission)'!I:I,'PostestData (Submission)'!D:D=A26,'PostestData (Submission)'!A:A=442,'PostestData (Submission)'!H:H&gt;0)),0)"),"10")</f>
        <v>10</v>
      </c>
      <c r="AF26" s="8">
        <f>COUNTIFS('PostestData (ViewVPL)'!C:C,"="&amp;A26,'PostestData (ViewVPL)'!B:B,"=442")</f>
        <v>1</v>
      </c>
      <c r="AG26" s="8">
        <f>IFERROR(__xludf.DUMMYFUNCTION("IFERROR(MAX(FILTER('PostestData (Loggedin)'!C:C,'PostestData (Loggedin)'!B:B=A26,'PostestData (Loggedin)'!C:C&lt;AH26)),0)"),"0")</f>
        <v>0</v>
      </c>
      <c r="AH26" s="8">
        <f>IFERROR(__xludf.DUMMYFUNCTION("IFERROR(MIN(FILTER({'PostestData (Submission)'!E:E}, 'PostestData (Submission)'!D:D=A26, 'PostestData (Submission)'!A:A=445, 'PostestData (Submission)'!E:E&gt;0)),0)"),"0")</f>
        <v>0</v>
      </c>
      <c r="AI26" s="8">
        <f>IFERROR(__xludf.DUMMYFUNCTION("IFERROR(MIN(FILTER('PostestData (ViewVPL)'!D:D, 'PostestData (ViewVPL)'!C:C=A26, 'PostestData (ViewVPL)'!B:B=445,'PostestData (ViewVPL)'!D:D&gt;AG26,'PostestData (ViewVPL)'!D:D&lt;AH26)),0)"),"0")</f>
        <v>0</v>
      </c>
      <c r="AJ26" s="8">
        <f>IFERROR(__xludf.DUMMYFUNCTION("IFERROR(MAX(FILTER({'PostestData (Submission)'!E:E}, 'PostestData (Submission)'!D:D=A26, 'PostestData (Submission)'!A:A=445))-AI26, 0)"),"0")</f>
        <v>0</v>
      </c>
      <c r="AK26" s="8">
        <f>IFERROR(__xludf.DUMMYFUNCTION("IFERROR(FILTER({'PostestData (ExactPD)'!E:E}, 'PostestData (ExactPD)'!A:A=A26), 0)"),"0")</f>
        <v>0</v>
      </c>
      <c r="AL26" s="8">
        <f>COUNTIFS('PostestData (Submission)'!D:D,"="&amp;A26,'PostestData (Submission)'!A:A,"=445",'PostestData (Submission)'!E:E,"&gt;0")</f>
        <v>0</v>
      </c>
      <c r="AM26" s="8">
        <f>COUNTIFS('PostestData (Submission)'!D:D,"="&amp;A26,'PostestData (Submission)'!A:A,"=445",'PostestData (Submission)'!H:H,"&gt;0")</f>
        <v>0</v>
      </c>
      <c r="AN26" s="8">
        <f>IFERROR(__xludf.DUMMYFUNCTION("IFERROR(MAX(FILTER('PostestData (Submission)'!I:I,'PostestData (Submission)'!D:D=A26,'PostestData (Submission)'!A:A=445,'PostestData (Submission)'!H:H&gt;0)),0)"),"0")</f>
        <v>0</v>
      </c>
      <c r="AO26" s="8">
        <f>COUNTIFS('PostestData (ViewVPL)'!C:C,"="&amp;A26,'PostestData (ViewVPL)'!B:B,"=445")</f>
        <v>1</v>
      </c>
      <c r="AP26" s="8"/>
      <c r="AQ26" s="11"/>
      <c r="AR26" s="11"/>
      <c r="AS26" s="8"/>
      <c r="AT26" s="8"/>
      <c r="AU26" s="8"/>
      <c r="AV26" s="8"/>
      <c r="AW26" s="11"/>
      <c r="AX26" s="11"/>
      <c r="AY26" s="11"/>
    </row>
    <row r="27">
      <c r="A27" s="7">
        <v>10144.0</v>
      </c>
      <c r="B27" s="3" t="s">
        <v>104</v>
      </c>
      <c r="C27" s="3" t="s">
        <v>105</v>
      </c>
      <c r="D27" s="3" t="s">
        <v>47</v>
      </c>
      <c r="E27" s="3"/>
      <c r="F27" s="8">
        <f>IFERROR(__xludf.DUMMYFUNCTION("IFERROR(MAX(FILTER('PostestData (Loggedin)'!C:C,'PostestData (Loggedin)'!B:B=A27,'PostestData (Loggedin)'!C:C&lt;G27)),0)"),"0")</f>
        <v>0</v>
      </c>
      <c r="G27" s="8">
        <f>IFERROR(__xludf.DUMMYFUNCTION("IFERROR(MIN(FILTER({'PostestData (Submission)'!E:E}, 'PostestData (Submission)'!D:D=A27, 'PostestData (Submission)'!A:A=443, 'PostestData (Submission)'!E:E&gt;0)),0)"),"1480117032")</f>
        <v>1480117032</v>
      </c>
      <c r="H27" s="8">
        <f>IFERROR(__xludf.DUMMYFUNCTION("IFERROR(MIN(FILTER('PostestData (ViewVPL)'!D:D, 'PostestData (ViewVPL)'!C:C=A27, 'PostestData (ViewVPL)'!B:B=443,'PostestData (ViewVPL)'!D:D&gt;F27,'PostestData (ViewVPL)'!D:D&lt;G27)),0)"),"1480116512")</f>
        <v>1480116512</v>
      </c>
      <c r="I27" s="8">
        <f>IFERROR(__xludf.DUMMYFUNCTION("IFERROR(MAX(FILTER({'PostestData (Submission)'!E:E}, 'PostestData (Submission)'!D:D=A27, 'PostestData (Submission)'!A:A=443))-H27, 0)"),"688")</f>
        <v>688</v>
      </c>
      <c r="J27" s="8">
        <f>IFERROR(__xludf.DUMMYFUNCTION("IFERROR(FILTER({'PostestData (ExactPA)'!E:E}, 'PostestData (ExactPA)'!A:A=A27), 0)"),"521")</f>
        <v>521</v>
      </c>
      <c r="K27" s="8">
        <f>COUNTIFS('PostestData (Submission)'!D:D,"="&amp;A27,'PostestData (Submission)'!A:A,"=443",'PostestData (Submission)'!E:E,"&gt;0")</f>
        <v>3</v>
      </c>
      <c r="L27" s="8">
        <f>COUNTIFS('PostestData (Submission)'!D:D,"="&amp;A27,'PostestData (Submission)'!A:A,"=443",'PostestData (Submission)'!H:H,"&gt;0")</f>
        <v>1</v>
      </c>
      <c r="M27" s="8">
        <f>IFERROR(__xludf.DUMMYFUNCTION("IFERROR(MAX(FILTER('PostestData (Submission)'!I:I,'PostestData (Submission)'!D:D=A27,'PostestData (Submission)'!A:A=443,'PostestData (Submission)'!H:H&gt;0)),0)"),"10")</f>
        <v>10</v>
      </c>
      <c r="N27" s="8">
        <f>COUNTIFS('PostestData (ViewVPL)'!C:C,"="&amp;A27,'PostestData (ViewVPL)'!B:B,"=443")</f>
        <v>4</v>
      </c>
      <c r="O27" s="8">
        <f>IFERROR(__xludf.DUMMYFUNCTION("IFERROR(MAX(FILTER('PostestData (Loggedin)'!C:C,'PostestData (Loggedin)'!B:B=A27,'PostestData (Loggedin)'!C:C&lt;P27)),0)"),"0")</f>
        <v>0</v>
      </c>
      <c r="P27" s="8">
        <f>IFERROR(__xludf.DUMMYFUNCTION("IFERROR(MIN(FILTER({'PostestData (Submission)'!E:E}, 'PostestData (Submission)'!D:D=A27, 'PostestData (Submission)'!A:A=444, 'PostestData (Submission)'!E:E&gt;0)),0)"),"1480118126")</f>
        <v>1480118126</v>
      </c>
      <c r="Q27" s="8">
        <f>IFERROR(__xludf.DUMMYFUNCTION("IFERROR(MIN(FILTER('PostestData (ViewVPL)'!D:D, 'PostestData (ViewVPL)'!C:C=A27, 'PostestData (ViewVPL)'!B:B=444,'PostestData (ViewVPL)'!D:D&gt;O27,'PostestData (ViewVPL)'!D:D&lt;P27)),0)"),"1480117336")</f>
        <v>1480117336</v>
      </c>
      <c r="R27" s="8">
        <f>IFERROR(__xludf.DUMMYFUNCTION("IFERROR(MAX(FILTER({'PostestData (Submission)'!E:E}, 'PostestData (Submission)'!D:D=A27, 'PostestData (Submission)'!A:A=444))-Q27, 0)"),"1164")</f>
        <v>1164</v>
      </c>
      <c r="S27" s="8">
        <f>IFERROR(__xludf.DUMMYFUNCTION("IFERROR(FILTER({'PostestData (ExactPB)'!E:E}, 'PostestData (ExactPB)'!A:A=A27), 0)"),"1097")</f>
        <v>1097</v>
      </c>
      <c r="T27" s="8">
        <f>COUNTIFS('PostestData (Submission)'!D:D,"="&amp;A27,'PostestData (Submission)'!A:A,"=444",'PostestData (Submission)'!E:E,"&gt;0")</f>
        <v>3</v>
      </c>
      <c r="U27" s="8">
        <f>COUNTIFS('PostestData (Submission)'!D:D,"="&amp;A27,'PostestData (Submission)'!A:A,"=444",'PostestData (Submission)'!H:H,"&gt;0")</f>
        <v>2</v>
      </c>
      <c r="V27" s="8">
        <f>IFERROR(__xludf.DUMMYFUNCTION("IFERROR(MAX(FILTER('PostestData (Submission)'!I:I,'PostestData (Submission)'!D:D=A27,'PostestData (Submission)'!A:A=444,'PostestData (Submission)'!H:H&gt;0)),0)"),"10")</f>
        <v>10</v>
      </c>
      <c r="W27" s="8">
        <f>COUNTIFS('PostestData (ViewVPL)'!C:C,"="&amp;A27,'PostestData (ViewVPL)'!B:B,"=444")</f>
        <v>6</v>
      </c>
      <c r="X27" s="8">
        <f>IFERROR(__xludf.DUMMYFUNCTION("IFERROR(MAX(FILTER('PostestData (Loggedin)'!C:C,'PostestData (Loggedin)'!B:B=A27,'PostestData (Loggedin)'!C:C&lt;Y27)),0)"),"0")</f>
        <v>0</v>
      </c>
      <c r="Y27" s="8">
        <f>IFERROR(__xludf.DUMMYFUNCTION("IFERROR(MIN(FILTER({'PostestData (Submission)'!E:E}, 'PostestData (Submission)'!D:D=A27, 'PostestData (Submission)'!A:A=442, 'PostestData (Submission)'!E:E&gt;0)),0)"),"1480119441")</f>
        <v>1480119441</v>
      </c>
      <c r="Z27" s="8">
        <f>IFERROR(__xludf.DUMMYFUNCTION("IFERROR(MIN(FILTER('PostestData (ViewVPL)'!D:D, 'PostestData (ViewVPL)'!C:C=A27, 'PostestData (ViewVPL)'!B:B=442,'PostestData (ViewVPL)'!D:D&gt;X27,'PostestData (ViewVPL)'!D:D&lt;Y27)),0)"),"1480118568")</f>
        <v>1480118568</v>
      </c>
      <c r="AA27" s="8">
        <f>IFERROR(__xludf.DUMMYFUNCTION("IFERROR(MAX(FILTER({'PostestData (Submission)'!E:E}, 'PostestData (Submission)'!D:D=A27, 'PostestData (Submission)'!A:A=442))-Z27, 0)"),"211920")</f>
        <v>211920</v>
      </c>
      <c r="AB27" s="8">
        <f>IFERROR(__xludf.DUMMYFUNCTION("IFERROR(FILTER({'PostestData (ExactPC)'!E:E}, 'PostestData (ExactPC)'!A:A=A27), 0)"),"11699")</f>
        <v>11699</v>
      </c>
      <c r="AC27" s="8">
        <f>COUNTIFS('PostestData (Submission)'!D:D,"="&amp;A27,'PostestData (Submission)'!A:A,"=442",'PostestData (Submission)'!E:E,"&gt;0")</f>
        <v>60</v>
      </c>
      <c r="AD27" s="8">
        <f>COUNTIFS('PostestData (Submission)'!D:D,"="&amp;A27,'PostestData (Submission)'!A:A,"=442",'PostestData (Submission)'!H:H,"&gt;0")</f>
        <v>39</v>
      </c>
      <c r="AE27" s="8">
        <f>IFERROR(__xludf.DUMMYFUNCTION("IFERROR(MAX(FILTER('PostestData (Submission)'!I:I,'PostestData (Submission)'!D:D=A27,'PostestData (Submission)'!A:A=442,'PostestData (Submission)'!H:H&gt;0)),0)"),"3")</f>
        <v>3</v>
      </c>
      <c r="AF27" s="8">
        <f>COUNTIFS('PostestData (ViewVPL)'!C:C,"="&amp;A27,'PostestData (ViewVPL)'!B:B,"=442")</f>
        <v>7</v>
      </c>
      <c r="AG27" s="8">
        <f>IFERROR(__xludf.DUMMYFUNCTION("IFERROR(MAX(FILTER('PostestData (Loggedin)'!C:C,'PostestData (Loggedin)'!B:B=A27,'PostestData (Loggedin)'!C:C&lt;AH27)),0)"),"0")</f>
        <v>0</v>
      </c>
      <c r="AH27" s="8">
        <f>IFERROR(__xludf.DUMMYFUNCTION("IFERROR(MIN(FILTER({'PostestData (Submission)'!E:E}, 'PostestData (Submission)'!D:D=A27, 'PostestData (Submission)'!A:A=445, 'PostestData (Submission)'!E:E&gt;0)),0)"),"0")</f>
        <v>0</v>
      </c>
      <c r="AI27" s="8">
        <f>IFERROR(__xludf.DUMMYFUNCTION("IFERROR(MIN(FILTER('PostestData (ViewVPL)'!D:D, 'PostestData (ViewVPL)'!C:C=A27, 'PostestData (ViewVPL)'!B:B=445,'PostestData (ViewVPL)'!D:D&gt;AG27,'PostestData (ViewVPL)'!D:D&lt;AH27)),0)"),"0")</f>
        <v>0</v>
      </c>
      <c r="AJ27" s="8">
        <f>IFERROR(__xludf.DUMMYFUNCTION("IFERROR(MAX(FILTER({'PostestData (Submission)'!E:E}, 'PostestData (Submission)'!D:D=A27, 'PostestData (Submission)'!A:A=445))-AI27, 0)"),"0")</f>
        <v>0</v>
      </c>
      <c r="AK27" s="8">
        <f>IFERROR(__xludf.DUMMYFUNCTION("IFERROR(FILTER({'PostestData (ExactPD)'!E:E}, 'PostestData (ExactPD)'!A:A=A27), 0)"),"0")</f>
        <v>0</v>
      </c>
      <c r="AL27" s="8">
        <f>COUNTIFS('PostestData (Submission)'!D:D,"="&amp;A27,'PostestData (Submission)'!A:A,"=445",'PostestData (Submission)'!E:E,"&gt;0")</f>
        <v>0</v>
      </c>
      <c r="AM27" s="8">
        <f>COUNTIFS('PostestData (Submission)'!D:D,"="&amp;A27,'PostestData (Submission)'!A:A,"=445",'PostestData (Submission)'!H:H,"&gt;0")</f>
        <v>0</v>
      </c>
      <c r="AN27" s="8">
        <f>IFERROR(__xludf.DUMMYFUNCTION("IFERROR(MAX(FILTER('PostestData (Submission)'!I:I,'PostestData (Submission)'!D:D=A27,'PostestData (Submission)'!A:A=445,'PostestData (Submission)'!H:H&gt;0)),0)"),"0")</f>
        <v>0</v>
      </c>
      <c r="AO27" s="8">
        <f>COUNTIFS('PostestData (ViewVPL)'!C:C,"="&amp;A27,'PostestData (ViewVPL)'!B:B,"=445")</f>
        <v>1</v>
      </c>
      <c r="AP27" s="8"/>
      <c r="AQ27" s="11"/>
      <c r="AR27" s="11"/>
      <c r="AS27" s="8"/>
      <c r="AT27" s="8"/>
      <c r="AU27" s="8"/>
      <c r="AV27" s="8"/>
      <c r="AW27" s="11"/>
      <c r="AX27" s="11"/>
      <c r="AY27" s="11"/>
    </row>
    <row r="28">
      <c r="A28" s="7">
        <v>10122.0</v>
      </c>
      <c r="B28" s="3" t="s">
        <v>104</v>
      </c>
      <c r="C28" s="3" t="s">
        <v>106</v>
      </c>
      <c r="D28" s="3" t="s">
        <v>63</v>
      </c>
      <c r="E28" s="3"/>
      <c r="F28" s="8">
        <f>IFERROR(__xludf.DUMMYFUNCTION("IFERROR(MAX(FILTER('PostestData (Loggedin)'!C:C,'PostestData (Loggedin)'!B:B=A28,'PostestData (Loggedin)'!C:C&lt;G28)),0)"),"1480116051")</f>
        <v>1480116051</v>
      </c>
      <c r="G28" s="8">
        <f>IFERROR(__xludf.DUMMYFUNCTION("IFERROR(MIN(FILTER({'PostestData (Submission)'!E:E}, 'PostestData (Submission)'!D:D=A28, 'PostestData (Submission)'!A:A=443, 'PostestData (Submission)'!E:E&gt;0)),0)"),"1480116729")</f>
        <v>1480116729</v>
      </c>
      <c r="H28" s="8">
        <f>IFERROR(__xludf.DUMMYFUNCTION("IFERROR(MIN(FILTER('PostestData (ViewVPL)'!D:D, 'PostestData (ViewVPL)'!C:C=A28, 'PostestData (ViewVPL)'!B:B=443,'PostestData (ViewVPL)'!D:D&gt;F28,'PostestData (ViewVPL)'!D:D&lt;G28)),0)"),"1480116108")</f>
        <v>1480116108</v>
      </c>
      <c r="I28" s="8">
        <f>IFERROR(__xludf.DUMMYFUNCTION("IFERROR(MAX(FILTER({'PostestData (Submission)'!E:E}, 'PostestData (Submission)'!D:D=A28, 'PostestData (Submission)'!A:A=443))-H28, 0)"),"621")</f>
        <v>621</v>
      </c>
      <c r="J28" s="8">
        <f>IFERROR(__xludf.DUMMYFUNCTION("IFERROR(FILTER({'PostestData (ExactPA)'!E:E}, 'PostestData (ExactPA)'!A:A=A28), 0)"),"3")</f>
        <v>3</v>
      </c>
      <c r="K28" s="8">
        <f>COUNTIFS('PostestData (Submission)'!D:D,"="&amp;A28,'PostestData (Submission)'!A:A,"=443",'PostestData (Submission)'!E:E,"&gt;0")</f>
        <v>1</v>
      </c>
      <c r="L28" s="8">
        <f>COUNTIFS('PostestData (Submission)'!D:D,"="&amp;A28,'PostestData (Submission)'!A:A,"=443",'PostestData (Submission)'!H:H,"&gt;0")</f>
        <v>1</v>
      </c>
      <c r="M28" s="8">
        <f>IFERROR(__xludf.DUMMYFUNCTION("IFERROR(MAX(FILTER('PostestData (Submission)'!I:I,'PostestData (Submission)'!D:D=A28,'PostestData (Submission)'!A:A=443,'PostestData (Submission)'!H:H&gt;0)),0)"),"10")</f>
        <v>10</v>
      </c>
      <c r="N28" s="8">
        <f>COUNTIFS('PostestData (ViewVPL)'!C:C,"="&amp;A28,'PostestData (ViewVPL)'!B:B,"=443")</f>
        <v>3</v>
      </c>
      <c r="O28" s="8">
        <f>IFERROR(__xludf.DUMMYFUNCTION("IFERROR(MAX(FILTER('PostestData (Loggedin)'!C:C,'PostestData (Loggedin)'!B:B=A28,'PostestData (Loggedin)'!C:C&lt;P28)),0)"),"1480116051")</f>
        <v>1480116051</v>
      </c>
      <c r="P28" s="8">
        <f>IFERROR(__xludf.DUMMYFUNCTION("IFERROR(MIN(FILTER({'PostestData (Submission)'!E:E}, 'PostestData (Submission)'!D:D=A28, 'PostestData (Submission)'!A:A=444, 'PostestData (Submission)'!E:E&gt;0)),0)"),"1480118090")</f>
        <v>1480118090</v>
      </c>
      <c r="Q28" s="8">
        <f>IFERROR(__xludf.DUMMYFUNCTION("IFERROR(MIN(FILTER('PostestData (ViewVPL)'!D:D, 'PostestData (ViewVPL)'!C:C=A28, 'PostestData (ViewVPL)'!B:B=444,'PostestData (ViewVPL)'!D:D&gt;O28,'PostestData (ViewVPL)'!D:D&lt;P28)),0)"),"1480116743")</f>
        <v>1480116743</v>
      </c>
      <c r="R28" s="8">
        <f>IFERROR(__xludf.DUMMYFUNCTION("IFERROR(MAX(FILTER({'PostestData (Submission)'!E:E}, 'PostestData (Submission)'!D:D=A28, 'PostestData (Submission)'!A:A=444))-Q28, 0)"),"1347")</f>
        <v>1347</v>
      </c>
      <c r="S28" s="8">
        <f>IFERROR(__xludf.DUMMYFUNCTION("IFERROR(FILTER({'PostestData (ExactPB)'!E:E}, 'PostestData (ExactPB)'!A:A=A28), 0)"),"0")</f>
        <v>0</v>
      </c>
      <c r="T28" s="8">
        <f>COUNTIFS('PostestData (Submission)'!D:D,"="&amp;A28,'PostestData (Submission)'!A:A,"=444",'PostestData (Submission)'!E:E,"&gt;0")</f>
        <v>1</v>
      </c>
      <c r="U28" s="8">
        <f>COUNTIFS('PostestData (Submission)'!D:D,"="&amp;A28,'PostestData (Submission)'!A:A,"=444",'PostestData (Submission)'!H:H,"&gt;0")</f>
        <v>1</v>
      </c>
      <c r="V28" s="8">
        <f>IFERROR(__xludf.DUMMYFUNCTION("IFERROR(MAX(FILTER('PostestData (Submission)'!I:I,'PostestData (Submission)'!D:D=A28,'PostestData (Submission)'!A:A=444,'PostestData (Submission)'!H:H&gt;0)),0)"),"10")</f>
        <v>10</v>
      </c>
      <c r="W28" s="8">
        <f>COUNTIFS('PostestData (ViewVPL)'!C:C,"="&amp;A28,'PostestData (ViewVPL)'!B:B,"=444")</f>
        <v>2</v>
      </c>
      <c r="X28" s="8">
        <f>IFERROR(__xludf.DUMMYFUNCTION("IFERROR(MAX(FILTER('PostestData (Loggedin)'!C:C,'PostestData (Loggedin)'!B:B=A28,'PostestData (Loggedin)'!C:C&lt;Y28)),0)"),"1480116051")</f>
        <v>1480116051</v>
      </c>
      <c r="Y28" s="8">
        <f>IFERROR(__xludf.DUMMYFUNCTION("IFERROR(MIN(FILTER({'PostestData (Submission)'!E:E}, 'PostestData (Submission)'!D:D=A28, 'PostestData (Submission)'!A:A=442, 'PostestData (Submission)'!E:E&gt;0)),0)"),"1480119671")</f>
        <v>1480119671</v>
      </c>
      <c r="Z28" s="8">
        <f>IFERROR(__xludf.DUMMYFUNCTION("IFERROR(MIN(FILTER('PostestData (ViewVPL)'!D:D, 'PostestData (ViewVPL)'!C:C=A28, 'PostestData (ViewVPL)'!B:B=442,'PostestData (ViewVPL)'!D:D&gt;X28,'PostestData (ViewVPL)'!D:D&lt;Y28)),0)"),"1480118122")</f>
        <v>1480118122</v>
      </c>
      <c r="AA28" s="8">
        <f>IFERROR(__xludf.DUMMYFUNCTION("IFERROR(MAX(FILTER({'PostestData (Submission)'!E:E}, 'PostestData (Submission)'!D:D=A28, 'PostestData (Submission)'!A:A=442))-Z28, 0)"),"1549")</f>
        <v>1549</v>
      </c>
      <c r="AB28" s="8">
        <f>IFERROR(__xludf.DUMMYFUNCTION("IFERROR(FILTER({'PostestData (ExactPC)'!E:E}, 'PostestData (ExactPC)'!A:A=A28), 0)"),"54")</f>
        <v>54</v>
      </c>
      <c r="AC28" s="8">
        <f>COUNTIFS('PostestData (Submission)'!D:D,"="&amp;A28,'PostestData (Submission)'!A:A,"=442",'PostestData (Submission)'!E:E,"&gt;0")</f>
        <v>1</v>
      </c>
      <c r="AD28" s="8">
        <f>COUNTIFS('PostestData (Submission)'!D:D,"="&amp;A28,'PostestData (Submission)'!A:A,"=442",'PostestData (Submission)'!H:H,"&gt;0")</f>
        <v>1</v>
      </c>
      <c r="AE28" s="8">
        <f>IFERROR(__xludf.DUMMYFUNCTION("IFERROR(MAX(FILTER('PostestData (Submission)'!I:I,'PostestData (Submission)'!D:D=A28,'PostestData (Submission)'!A:A=442,'PostestData (Submission)'!H:H&gt;0)),0)"),"6")</f>
        <v>6</v>
      </c>
      <c r="AF28" s="8">
        <f>COUNTIFS('PostestData (ViewVPL)'!C:C,"="&amp;A28,'PostestData (ViewVPL)'!B:B,"=442")</f>
        <v>2</v>
      </c>
      <c r="AG28" s="8">
        <f>IFERROR(__xludf.DUMMYFUNCTION("IFERROR(MAX(FILTER('PostestData (Loggedin)'!C:C,'PostestData (Loggedin)'!B:B=A28,'PostestData (Loggedin)'!C:C&lt;AH28)),0)"),"0")</f>
        <v>0</v>
      </c>
      <c r="AH28" s="8">
        <f>IFERROR(__xludf.DUMMYFUNCTION("IFERROR(MIN(FILTER({'PostestData (Submission)'!E:E}, 'PostestData (Submission)'!D:D=A28, 'PostestData (Submission)'!A:A=445, 'PostestData (Submission)'!E:E&gt;0)),0)"),"0")</f>
        <v>0</v>
      </c>
      <c r="AI28" s="8">
        <f>IFERROR(__xludf.DUMMYFUNCTION("IFERROR(MIN(FILTER('PostestData (ViewVPL)'!D:D, 'PostestData (ViewVPL)'!C:C=A28, 'PostestData (ViewVPL)'!B:B=445,'PostestData (ViewVPL)'!D:D&gt;AG28,'PostestData (ViewVPL)'!D:D&lt;AH28)),0)"),"0")</f>
        <v>0</v>
      </c>
      <c r="AJ28" s="8">
        <f>IFERROR(__xludf.DUMMYFUNCTION("IFERROR(MAX(FILTER({'PostestData (Submission)'!E:E}, 'PostestData (Submission)'!D:D=A28, 'PostestData (Submission)'!A:A=445))-AI28, 0)"),"0")</f>
        <v>0</v>
      </c>
      <c r="AK28" s="8">
        <f>IFERROR(__xludf.DUMMYFUNCTION("IFERROR(FILTER({'PostestData (ExactPD)'!E:E}, 'PostestData (ExactPD)'!A:A=A28), 0)"),"0")</f>
        <v>0</v>
      </c>
      <c r="AL28" s="8">
        <f>COUNTIFS('PostestData (Submission)'!D:D,"="&amp;A28,'PostestData (Submission)'!A:A,"=445",'PostestData (Submission)'!E:E,"&gt;0")</f>
        <v>0</v>
      </c>
      <c r="AM28" s="8">
        <f>COUNTIFS('PostestData (Submission)'!D:D,"="&amp;A28,'PostestData (Submission)'!A:A,"=445",'PostestData (Submission)'!H:H,"&gt;0")</f>
        <v>0</v>
      </c>
      <c r="AN28" s="8">
        <f>IFERROR(__xludf.DUMMYFUNCTION("IFERROR(MAX(FILTER('PostestData (Submission)'!I:I,'PostestData (Submission)'!D:D=A28,'PostestData (Submission)'!A:A=445,'PostestData (Submission)'!H:H&gt;0)),0)"),"0")</f>
        <v>0</v>
      </c>
      <c r="AO28" s="8">
        <f>COUNTIFS('PostestData (ViewVPL)'!C:C,"="&amp;A28,'PostestData (ViewVPL)'!B:B,"=445")</f>
        <v>0</v>
      </c>
      <c r="AP28" s="8"/>
      <c r="AQ28" s="11"/>
      <c r="AR28" s="11"/>
      <c r="AS28" s="8"/>
      <c r="AT28" s="8"/>
      <c r="AU28" s="8"/>
      <c r="AV28" s="8"/>
      <c r="AW28" s="11"/>
      <c r="AX28" s="11"/>
      <c r="AY28" s="11"/>
    </row>
    <row r="29">
      <c r="A29" s="7">
        <v>10145.0</v>
      </c>
      <c r="B29" s="3" t="s">
        <v>104</v>
      </c>
      <c r="C29" s="3" t="s">
        <v>106</v>
      </c>
      <c r="D29" s="3" t="s">
        <v>47</v>
      </c>
      <c r="E29" s="3"/>
      <c r="F29" s="8">
        <f>IFERROR(__xludf.DUMMYFUNCTION("IFERROR(MAX(FILTER('PostestData (Loggedin)'!C:C,'PostestData (Loggedin)'!B:B=A29,'PostestData (Loggedin)'!C:C&lt;G29)),0)"),"1480115431")</f>
        <v>1480115431</v>
      </c>
      <c r="G29" s="8">
        <f>IFERROR(__xludf.DUMMYFUNCTION("IFERROR(MIN(FILTER({'PostestData (Submission)'!E:E}, 'PostestData (Submission)'!D:D=A29, 'PostestData (Submission)'!A:A=443, 'PostestData (Submission)'!E:E&gt;0)),0)"),"1480116724")</f>
        <v>1480116724</v>
      </c>
      <c r="H29" s="8">
        <f>IFERROR(__xludf.DUMMYFUNCTION("IFERROR(MIN(FILTER('PostestData (ViewVPL)'!D:D, 'PostestData (ViewVPL)'!C:C=A29, 'PostestData (ViewVPL)'!B:B=443,'PostestData (ViewVPL)'!D:D&gt;F29,'PostestData (ViewVPL)'!D:D&lt;G29)),0)"),"1480115729")</f>
        <v>1480115729</v>
      </c>
      <c r="I29" s="8">
        <f>IFERROR(__xludf.DUMMYFUNCTION("IFERROR(MAX(FILTER({'PostestData (Submission)'!E:E}, 'PostestData (Submission)'!D:D=A29, 'PostestData (Submission)'!A:A=443))-H29, 0)"),"1065")</f>
        <v>1065</v>
      </c>
      <c r="J29" s="8">
        <f>IFERROR(__xludf.DUMMYFUNCTION("IFERROR(FILTER({'PostestData (ExactPA)'!E:E}, 'PostestData (ExactPA)'!A:A=A29), 0)"),"69")</f>
        <v>69</v>
      </c>
      <c r="K29" s="8">
        <f>COUNTIFS('PostestData (Submission)'!D:D,"="&amp;A29,'PostestData (Submission)'!A:A,"=443",'PostestData (Submission)'!E:E,"&gt;0")</f>
        <v>2</v>
      </c>
      <c r="L29" s="8">
        <f>COUNTIFS('PostestData (Submission)'!D:D,"="&amp;A29,'PostestData (Submission)'!A:A,"=443",'PostestData (Submission)'!H:H,"&gt;0")</f>
        <v>2</v>
      </c>
      <c r="M29" s="8">
        <f>IFERROR(__xludf.DUMMYFUNCTION("IFERROR(MAX(FILTER('PostestData (Submission)'!I:I,'PostestData (Submission)'!D:D=A29,'PostestData (Submission)'!A:A=443,'PostestData (Submission)'!H:H&gt;0)),0)"),"10")</f>
        <v>10</v>
      </c>
      <c r="N29" s="8">
        <f>COUNTIFS('PostestData (ViewVPL)'!C:C,"="&amp;A29,'PostestData (ViewVPL)'!B:B,"=443")</f>
        <v>3</v>
      </c>
      <c r="O29" s="8">
        <f>IFERROR(__xludf.DUMMYFUNCTION("IFERROR(MAX(FILTER('PostestData (Loggedin)'!C:C,'PostestData (Loggedin)'!B:B=A29,'PostestData (Loggedin)'!C:C&lt;P29)),0)"),"1480115431")</f>
        <v>1480115431</v>
      </c>
      <c r="P29" s="8">
        <f>IFERROR(__xludf.DUMMYFUNCTION("IFERROR(MIN(FILTER({'PostestData (Submission)'!E:E}, 'PostestData (Submission)'!D:D=A29, 'PostestData (Submission)'!A:A=444, 'PostestData (Submission)'!E:E&gt;0)),0)"),"1480117645")</f>
        <v>1480117645</v>
      </c>
      <c r="Q29" s="8">
        <f>IFERROR(__xludf.DUMMYFUNCTION("IFERROR(MIN(FILTER('PostestData (ViewVPL)'!D:D, 'PostestData (ViewVPL)'!C:C=A29, 'PostestData (ViewVPL)'!B:B=444,'PostestData (ViewVPL)'!D:D&gt;O29,'PostestData (ViewVPL)'!D:D&lt;P29)),0)"),"1480116824")</f>
        <v>1480116824</v>
      </c>
      <c r="R29" s="8">
        <f>IFERROR(__xludf.DUMMYFUNCTION("IFERROR(MAX(FILTER({'PostestData (Submission)'!E:E}, 'PostestData (Submission)'!D:D=A29, 'PostestData (Submission)'!A:A=444))-Q29, 0)"),"1086")</f>
        <v>1086</v>
      </c>
      <c r="S29" s="8">
        <f>IFERROR(__xludf.DUMMYFUNCTION("IFERROR(FILTER({'PostestData (ExactPB)'!E:E}, 'PostestData (ExactPB)'!A:A=A29), 0)"),"265")</f>
        <v>265</v>
      </c>
      <c r="T29" s="8">
        <f>COUNTIFS('PostestData (Submission)'!D:D,"="&amp;A29,'PostestData (Submission)'!A:A,"=444",'PostestData (Submission)'!E:E,"&gt;0")</f>
        <v>4</v>
      </c>
      <c r="U29" s="8">
        <f>COUNTIFS('PostestData (Submission)'!D:D,"="&amp;A29,'PostestData (Submission)'!A:A,"=444",'PostestData (Submission)'!H:H,"&gt;0")</f>
        <v>4</v>
      </c>
      <c r="V29" s="8">
        <f>IFERROR(__xludf.DUMMYFUNCTION("IFERROR(MAX(FILTER('PostestData (Submission)'!I:I,'PostestData (Submission)'!D:D=A29,'PostestData (Submission)'!A:A=444,'PostestData (Submission)'!H:H&gt;0)),0)"),"10")</f>
        <v>10</v>
      </c>
      <c r="W29" s="8">
        <f>COUNTIFS('PostestData (ViewVPL)'!C:C,"="&amp;A29,'PostestData (ViewVPL)'!B:B,"=444")</f>
        <v>3</v>
      </c>
      <c r="X29" s="8">
        <f>IFERROR(__xludf.DUMMYFUNCTION("IFERROR(MAX(FILTER('PostestData (Loggedin)'!C:C,'PostestData (Loggedin)'!B:B=A29,'PostestData (Loggedin)'!C:C&lt;Y29)),0)"),"1480121762")</f>
        <v>1480121762</v>
      </c>
      <c r="Y29" s="8">
        <f>IFERROR(__xludf.DUMMYFUNCTION("IFERROR(MIN(FILTER({'PostestData (Submission)'!E:E}, 'PostestData (Submission)'!D:D=A29, 'PostestData (Submission)'!A:A=442, 'PostestData (Submission)'!E:E&gt;0)),0)"),"1480123022")</f>
        <v>1480123022</v>
      </c>
      <c r="Z29" s="8">
        <f>IFERROR(__xludf.DUMMYFUNCTION("IFERROR(MIN(FILTER('PostestData (ViewVPL)'!D:D, 'PostestData (ViewVPL)'!C:C=A29, 'PostestData (ViewVPL)'!B:B=442,'PostestData (ViewVPL)'!D:D&gt;X29,'PostestData (ViewVPL)'!D:D&lt;Y29)),0)"),"1480121771")</f>
        <v>1480121771</v>
      </c>
      <c r="AA29" s="8">
        <f>IFERROR(__xludf.DUMMYFUNCTION("IFERROR(MAX(FILTER({'PostestData (Submission)'!E:E}, 'PostestData (Submission)'!D:D=A29, 'PostestData (Submission)'!A:A=442))-Z29, 0)"),"1594")</f>
        <v>1594</v>
      </c>
      <c r="AB29" s="8">
        <f>IFERROR(__xludf.DUMMYFUNCTION("IFERROR(FILTER({'PostestData (ExactPC)'!E:E}, 'PostestData (ExactPC)'!A:A=A29), 0)"),"343")</f>
        <v>343</v>
      </c>
      <c r="AC29" s="8">
        <f>COUNTIFS('PostestData (Submission)'!D:D,"="&amp;A29,'PostestData (Submission)'!A:A,"=442",'PostestData (Submission)'!E:E,"&gt;0")</f>
        <v>2</v>
      </c>
      <c r="AD29" s="8">
        <f>COUNTIFS('PostestData (Submission)'!D:D,"="&amp;A29,'PostestData (Submission)'!A:A,"=442",'PostestData (Submission)'!H:H,"&gt;0")</f>
        <v>2</v>
      </c>
      <c r="AE29" s="8">
        <f>IFERROR(__xludf.DUMMYFUNCTION("IFERROR(MAX(FILTER('PostestData (Submission)'!I:I,'PostestData (Submission)'!D:D=A29,'PostestData (Submission)'!A:A=442,'PostestData (Submission)'!H:H&gt;0)),0)"),"10")</f>
        <v>10</v>
      </c>
      <c r="AF29" s="8">
        <f>COUNTIFS('PostestData (ViewVPL)'!C:C,"="&amp;A29,'PostestData (ViewVPL)'!B:B,"=442")</f>
        <v>4</v>
      </c>
      <c r="AG29" s="8">
        <f>IFERROR(__xludf.DUMMYFUNCTION("IFERROR(MAX(FILTER('PostestData (Loggedin)'!C:C,'PostestData (Loggedin)'!B:B=A29,'PostestData (Loggedin)'!C:C&lt;AH29)),0)"),"0")</f>
        <v>0</v>
      </c>
      <c r="AH29" s="8">
        <f>IFERROR(__xludf.DUMMYFUNCTION("IFERROR(MIN(FILTER({'PostestData (Submission)'!E:E}, 'PostestData (Submission)'!D:D=A29, 'PostestData (Submission)'!A:A=445, 'PostestData (Submission)'!E:E&gt;0)),0)"),"0")</f>
        <v>0</v>
      </c>
      <c r="AI29" s="8">
        <f>IFERROR(__xludf.DUMMYFUNCTION("IFERROR(MIN(FILTER('PostestData (ViewVPL)'!D:D, 'PostestData (ViewVPL)'!C:C=A29, 'PostestData (ViewVPL)'!B:B=445,'PostestData (ViewVPL)'!D:D&gt;AG29,'PostestData (ViewVPL)'!D:D&lt;AH29)),0)"),"0")</f>
        <v>0</v>
      </c>
      <c r="AJ29" s="8">
        <f>IFERROR(__xludf.DUMMYFUNCTION("IFERROR(MAX(FILTER({'PostestData (Submission)'!E:E}, 'PostestData (Submission)'!D:D=A29, 'PostestData (Submission)'!A:A=445))-AI29, 0)"),"0")</f>
        <v>0</v>
      </c>
      <c r="AK29" s="8">
        <f>IFERROR(__xludf.DUMMYFUNCTION("IFERROR(FILTER({'PostestData (ExactPD)'!E:E}, 'PostestData (ExactPD)'!A:A=A29), 0)"),"0")</f>
        <v>0</v>
      </c>
      <c r="AL29" s="8">
        <f>COUNTIFS('PostestData (Submission)'!D:D,"="&amp;A29,'PostestData (Submission)'!A:A,"=445",'PostestData (Submission)'!E:E,"&gt;0")</f>
        <v>0</v>
      </c>
      <c r="AM29" s="8">
        <f>COUNTIFS('PostestData (Submission)'!D:D,"="&amp;A29,'PostestData (Submission)'!A:A,"=445",'PostestData (Submission)'!H:H,"&gt;0")</f>
        <v>0</v>
      </c>
      <c r="AN29" s="8">
        <f>IFERROR(__xludf.DUMMYFUNCTION("IFERROR(MAX(FILTER('PostestData (Submission)'!I:I,'PostestData (Submission)'!D:D=A29,'PostestData (Submission)'!A:A=445,'PostestData (Submission)'!H:H&gt;0)),0)"),"0")</f>
        <v>0</v>
      </c>
      <c r="AO29" s="8">
        <f>COUNTIFS('PostestData (ViewVPL)'!C:C,"="&amp;A29,'PostestData (ViewVPL)'!B:B,"=445")</f>
        <v>1</v>
      </c>
      <c r="AP29" s="8"/>
      <c r="AQ29" s="11"/>
      <c r="AR29" s="11"/>
      <c r="AS29" s="8"/>
      <c r="AT29" s="8"/>
      <c r="AU29" s="8"/>
      <c r="AV29" s="8"/>
      <c r="AW29" s="11"/>
      <c r="AX29" s="11"/>
      <c r="AY29" s="11"/>
    </row>
    <row r="30">
      <c r="A30" s="7">
        <v>10129.0</v>
      </c>
      <c r="B30" s="3" t="s">
        <v>104</v>
      </c>
      <c r="C30" s="3" t="s">
        <v>106</v>
      </c>
      <c r="D30" s="3" t="s">
        <v>63</v>
      </c>
      <c r="E30" s="3"/>
      <c r="F30" s="8">
        <f>IFERROR(__xludf.DUMMYFUNCTION("IFERROR(MAX(FILTER('PostestData (Loggedin)'!C:C,'PostestData (Loggedin)'!B:B=A30,'PostestData (Loggedin)'!C:C&lt;G30)),0)"),"0")</f>
        <v>0</v>
      </c>
      <c r="G30" s="8">
        <f>IFERROR(__xludf.DUMMYFUNCTION("IFERROR(MIN(FILTER({'PostestData (Submission)'!E:E}, 'PostestData (Submission)'!D:D=A30, 'PostestData (Submission)'!A:A=443, 'PostestData (Submission)'!E:E&gt;0)),0)"),"1480116353")</f>
        <v>1480116353</v>
      </c>
      <c r="H30" s="8">
        <f>IFERROR(__xludf.DUMMYFUNCTION("IFERROR(MIN(FILTER('PostestData (ViewVPL)'!D:D, 'PostestData (ViewVPL)'!C:C=A30, 'PostestData (ViewVPL)'!B:B=443,'PostestData (ViewVPL)'!D:D&gt;F30,'PostestData (ViewVPL)'!D:D&lt;G30)),0)"),"1480115172")</f>
        <v>1480115172</v>
      </c>
      <c r="I30" s="8">
        <f>IFERROR(__xludf.DUMMYFUNCTION("IFERROR(MAX(FILTER({'PostestData (Submission)'!E:E}, 'PostestData (Submission)'!D:D=A30, 'PostestData (Submission)'!A:A=443))-H30, 0)"),"1504")</f>
        <v>1504</v>
      </c>
      <c r="J30" s="8">
        <f>IFERROR(__xludf.DUMMYFUNCTION("IFERROR(FILTER({'PostestData (ExactPA)'!E:E}, 'PostestData (ExactPA)'!A:A=A30), 0)"),"887")</f>
        <v>887</v>
      </c>
      <c r="K30" s="8">
        <f>COUNTIFS('PostestData (Submission)'!D:D,"="&amp;A30,'PostestData (Submission)'!A:A,"=443",'PostestData (Submission)'!E:E,"&gt;0")</f>
        <v>3</v>
      </c>
      <c r="L30" s="8">
        <f>COUNTIFS('PostestData (Submission)'!D:D,"="&amp;A30,'PostestData (Submission)'!A:A,"=443",'PostestData (Submission)'!H:H,"&gt;0")</f>
        <v>3</v>
      </c>
      <c r="M30" s="8">
        <f>IFERROR(__xludf.DUMMYFUNCTION("IFERROR(MAX(FILTER('PostestData (Submission)'!I:I,'PostestData (Submission)'!D:D=A30,'PostestData (Submission)'!A:A=443,'PostestData (Submission)'!H:H&gt;0)),0)"),"10")</f>
        <v>10</v>
      </c>
      <c r="N30" s="8">
        <f>COUNTIFS('PostestData (ViewVPL)'!C:C,"="&amp;A30,'PostestData (ViewVPL)'!B:B,"=443")</f>
        <v>3</v>
      </c>
      <c r="O30" s="8">
        <f>IFERROR(__xludf.DUMMYFUNCTION("IFERROR(MAX(FILTER('PostestData (Loggedin)'!C:C,'PostestData (Loggedin)'!B:B=A30,'PostestData (Loggedin)'!C:C&lt;P30)),0)"),"0")</f>
        <v>0</v>
      </c>
      <c r="P30" s="8">
        <f>IFERROR(__xludf.DUMMYFUNCTION("IFERROR(MIN(FILTER({'PostestData (Submission)'!E:E}, 'PostestData (Submission)'!D:D=A30, 'PostestData (Submission)'!A:A=444, 'PostestData (Submission)'!E:E&gt;0)),0)"),"1480118054")</f>
        <v>1480118054</v>
      </c>
      <c r="Q30" s="8">
        <f>IFERROR(__xludf.DUMMYFUNCTION("IFERROR(MIN(FILTER('PostestData (ViewVPL)'!D:D, 'PostestData (ViewVPL)'!C:C=A30, 'PostestData (ViewVPL)'!B:B=444,'PostestData (ViewVPL)'!D:D&gt;O30,'PostestData (ViewVPL)'!D:D&lt;P30)),0)"),"1480116691")</f>
        <v>1480116691</v>
      </c>
      <c r="R30" s="8">
        <f>IFERROR(__xludf.DUMMYFUNCTION("IFERROR(MAX(FILTER({'PostestData (Submission)'!E:E}, 'PostestData (Submission)'!D:D=A30, 'PostestData (Submission)'!A:A=444))-Q30, 0)"),"56898")</f>
        <v>56898</v>
      </c>
      <c r="S30" s="8">
        <f>IFERROR(__xludf.DUMMYFUNCTION("IFERROR(FILTER({'PostestData (ExactPB)'!E:E}, 'PostestData (ExactPB)'!A:A=A30), 0)"),"2729")</f>
        <v>2729</v>
      </c>
      <c r="T30" s="8">
        <f>COUNTIFS('PostestData (Submission)'!D:D,"="&amp;A30,'PostestData (Submission)'!A:A,"=444",'PostestData (Submission)'!E:E,"&gt;0")</f>
        <v>6</v>
      </c>
      <c r="U30" s="8">
        <f>COUNTIFS('PostestData (Submission)'!D:D,"="&amp;A30,'PostestData (Submission)'!A:A,"=444",'PostestData (Submission)'!H:H,"&gt;0")</f>
        <v>6</v>
      </c>
      <c r="V30" s="8">
        <f>IFERROR(__xludf.DUMMYFUNCTION("IFERROR(MAX(FILTER('PostestData (Submission)'!I:I,'PostestData (Submission)'!D:D=A30,'PostestData (Submission)'!A:A=444,'PostestData (Submission)'!H:H&gt;0)),0)"),"10")</f>
        <v>10</v>
      </c>
      <c r="W30" s="8">
        <f>COUNTIFS('PostestData (ViewVPL)'!C:C,"="&amp;A30,'PostestData (ViewVPL)'!B:B,"=444")</f>
        <v>10</v>
      </c>
      <c r="X30" s="8">
        <f>IFERROR(__xludf.DUMMYFUNCTION("IFERROR(MAX(FILTER('PostestData (Loggedin)'!C:C,'PostestData (Loggedin)'!B:B=A30,'PostestData (Loggedin)'!C:C&lt;Y30)),0)"),"1480171320")</f>
        <v>1480171320</v>
      </c>
      <c r="Y30" s="8">
        <f>IFERROR(__xludf.DUMMYFUNCTION("IFERROR(MIN(FILTER({'PostestData (Submission)'!E:E}, 'PostestData (Submission)'!D:D=A30, 'PostestData (Submission)'!A:A=442, 'PostestData (Submission)'!E:E&gt;0)),0)"),"1480174483")</f>
        <v>1480174483</v>
      </c>
      <c r="Z30" s="8">
        <f>IFERROR(__xludf.DUMMYFUNCTION("IFERROR(MIN(FILTER('PostestData (ViewVPL)'!D:D, 'PostestData (ViewVPL)'!C:C=A30, 'PostestData (ViewVPL)'!B:B=442,'PostestData (ViewVPL)'!D:D&gt;X30,'PostestData (ViewVPL)'!D:D&lt;Y30)),0)"),"1480173607")</f>
        <v>1480173607</v>
      </c>
      <c r="AA30" s="8">
        <f>IFERROR(__xludf.DUMMYFUNCTION("IFERROR(MAX(FILTER({'PostestData (Submission)'!E:E}, 'PostestData (Submission)'!D:D=A30, 'PostestData (Submission)'!A:A=442))-Z30, 0)"),"876")</f>
        <v>876</v>
      </c>
      <c r="AB30" s="8">
        <f>IFERROR(__xludf.DUMMYFUNCTION("IFERROR(FILTER({'PostestData (ExactPC)'!E:E}, 'PostestData (ExactPC)'!A:A=A30), 0)"),"83")</f>
        <v>83</v>
      </c>
      <c r="AC30" s="8">
        <f>COUNTIFS('PostestData (Submission)'!D:D,"="&amp;A30,'PostestData (Submission)'!A:A,"=442",'PostestData (Submission)'!E:E,"&gt;0")</f>
        <v>1</v>
      </c>
      <c r="AD30" s="8">
        <f>COUNTIFS('PostestData (Submission)'!D:D,"="&amp;A30,'PostestData (Submission)'!A:A,"=442",'PostestData (Submission)'!H:H,"&gt;0")</f>
        <v>1</v>
      </c>
      <c r="AE30" s="8">
        <f>IFERROR(__xludf.DUMMYFUNCTION("IFERROR(MAX(FILTER('PostestData (Submission)'!I:I,'PostestData (Submission)'!D:D=A30,'PostestData (Submission)'!A:A=442,'PostestData (Submission)'!H:H&gt;0)),0)"),"10")</f>
        <v>10</v>
      </c>
      <c r="AF30" s="8">
        <f>COUNTIFS('PostestData (ViewVPL)'!C:C,"="&amp;A30,'PostestData (ViewVPL)'!B:B,"=442")</f>
        <v>4</v>
      </c>
      <c r="AG30" s="8">
        <f>IFERROR(__xludf.DUMMYFUNCTION("IFERROR(MAX(FILTER('PostestData (Loggedin)'!C:C,'PostestData (Loggedin)'!B:B=A30,'PostestData (Loggedin)'!C:C&lt;AH30)),0)"),"0")</f>
        <v>0</v>
      </c>
      <c r="AH30" s="8">
        <f>IFERROR(__xludf.DUMMYFUNCTION("IFERROR(MIN(FILTER({'PostestData (Submission)'!E:E}, 'PostestData (Submission)'!D:D=A30, 'PostestData (Submission)'!A:A=445, 'PostestData (Submission)'!E:E&gt;0)),0)"),"0")</f>
        <v>0</v>
      </c>
      <c r="AI30" s="8">
        <f>IFERROR(__xludf.DUMMYFUNCTION("IFERROR(MIN(FILTER('PostestData (ViewVPL)'!D:D, 'PostestData (ViewVPL)'!C:C=A30, 'PostestData (ViewVPL)'!B:B=445,'PostestData (ViewVPL)'!D:D&gt;AG30,'PostestData (ViewVPL)'!D:D&lt;AH30)),0)"),"0")</f>
        <v>0</v>
      </c>
      <c r="AJ30" s="8">
        <f>IFERROR(__xludf.DUMMYFUNCTION("IFERROR(MAX(FILTER({'PostestData (Submission)'!E:E}, 'PostestData (Submission)'!D:D=A30, 'PostestData (Submission)'!A:A=445))-AI30, 0)"),"0")</f>
        <v>0</v>
      </c>
      <c r="AK30" s="8">
        <f>IFERROR(__xludf.DUMMYFUNCTION("IFERROR(FILTER({'PostestData (ExactPD)'!E:E}, 'PostestData (ExactPD)'!A:A=A30), 0)"),"0")</f>
        <v>0</v>
      </c>
      <c r="AL30" s="8">
        <f>COUNTIFS('PostestData (Submission)'!D:D,"="&amp;A30,'PostestData (Submission)'!A:A,"=445",'PostestData (Submission)'!E:E,"&gt;0")</f>
        <v>0</v>
      </c>
      <c r="AM30" s="8">
        <f>COUNTIFS('PostestData (Submission)'!D:D,"="&amp;A30,'PostestData (Submission)'!A:A,"=445",'PostestData (Submission)'!H:H,"&gt;0")</f>
        <v>0</v>
      </c>
      <c r="AN30" s="8">
        <f>IFERROR(__xludf.DUMMYFUNCTION("IFERROR(MAX(FILTER('PostestData (Submission)'!I:I,'PostestData (Submission)'!D:D=A30,'PostestData (Submission)'!A:A=445,'PostestData (Submission)'!H:H&gt;0)),0)"),"0")</f>
        <v>0</v>
      </c>
      <c r="AO30" s="8">
        <f>COUNTIFS('PostestData (ViewVPL)'!C:C,"="&amp;A30,'PostestData (ViewVPL)'!B:B,"=445")</f>
        <v>2</v>
      </c>
      <c r="AP30" s="8"/>
      <c r="AQ30" s="11"/>
      <c r="AR30" s="11"/>
      <c r="AS30" s="8"/>
      <c r="AT30" s="8"/>
      <c r="AU30" s="8"/>
      <c r="AV30" s="8"/>
      <c r="AW30" s="11"/>
      <c r="AX30" s="11"/>
      <c r="AY30" s="11"/>
    </row>
    <row r="31">
      <c r="A31" s="7">
        <v>10125.0</v>
      </c>
      <c r="B31" s="3" t="s">
        <v>104</v>
      </c>
      <c r="C31" s="3" t="s">
        <v>106</v>
      </c>
      <c r="D31" s="3" t="s">
        <v>63</v>
      </c>
      <c r="E31" s="3"/>
      <c r="F31" s="8">
        <f>IFERROR(__xludf.DUMMYFUNCTION("IFERROR(MAX(FILTER('PostestData (Loggedin)'!C:C,'PostestData (Loggedin)'!B:B=A31,'PostestData (Loggedin)'!C:C&lt;G31)),0)"),"0")</f>
        <v>0</v>
      </c>
      <c r="G31" s="8">
        <f>IFERROR(__xludf.DUMMYFUNCTION("IFERROR(MIN(FILTER({'PostestData (Submission)'!E:E}, 'PostestData (Submission)'!D:D=A31, 'PostestData (Submission)'!A:A=443, 'PostestData (Submission)'!E:E&gt;0)),0)"),"0")</f>
        <v>0</v>
      </c>
      <c r="H31" s="8">
        <f>IFERROR(__xludf.DUMMYFUNCTION("IFERROR(MIN(FILTER('PostestData (ViewVPL)'!D:D, 'PostestData (ViewVPL)'!C:C=A31, 'PostestData (ViewVPL)'!B:B=443,'PostestData (ViewVPL)'!D:D&gt;F31,'PostestData (ViewVPL)'!D:D&lt;G31)),0)"),"0")</f>
        <v>0</v>
      </c>
      <c r="I31" s="8">
        <f>IFERROR(__xludf.DUMMYFUNCTION("IFERROR(MAX(FILTER({'PostestData (Submission)'!E:E}, 'PostestData (Submission)'!D:D=A31, 'PostestData (Submission)'!A:A=443))-H31, 0)"),"0")</f>
        <v>0</v>
      </c>
      <c r="J31" s="8">
        <f>IFERROR(__xludf.DUMMYFUNCTION("IFERROR(FILTER({'PostestData (ExactPA)'!E:E}, 'PostestData (ExactPA)'!A:A=A31), 0)"),"0")</f>
        <v>0</v>
      </c>
      <c r="K31" s="8">
        <f>COUNTIFS('PostestData (Submission)'!D:D,"="&amp;A31,'PostestData (Submission)'!A:A,"=443",'PostestData (Submission)'!E:E,"&gt;0")</f>
        <v>0</v>
      </c>
      <c r="L31" s="8">
        <f>COUNTIFS('PostestData (Submission)'!D:D,"="&amp;A31,'PostestData (Submission)'!A:A,"=443",'PostestData (Submission)'!H:H,"&gt;0")</f>
        <v>0</v>
      </c>
      <c r="M31" s="8">
        <f>IFERROR(__xludf.DUMMYFUNCTION("IFERROR(MAX(FILTER('PostestData (Submission)'!I:I,'PostestData (Submission)'!D:D=A31,'PostestData (Submission)'!A:A=443,'PostestData (Submission)'!H:H&gt;0)),0)"),"0")</f>
        <v>0</v>
      </c>
      <c r="N31" s="8">
        <f>COUNTIFS('PostestData (ViewVPL)'!C:C,"="&amp;A31,'PostestData (ViewVPL)'!B:B,"=443")</f>
        <v>0</v>
      </c>
      <c r="O31" s="8">
        <f>IFERROR(__xludf.DUMMYFUNCTION("IFERROR(MAX(FILTER('PostestData (Loggedin)'!C:C,'PostestData (Loggedin)'!B:B=A31,'PostestData (Loggedin)'!C:C&lt;P31)),0)"),"0")</f>
        <v>0</v>
      </c>
      <c r="P31" s="8">
        <f>IFERROR(__xludf.DUMMYFUNCTION("IFERROR(MIN(FILTER({'PostestData (Submission)'!E:E}, 'PostestData (Submission)'!D:D=A31, 'PostestData (Submission)'!A:A=444, 'PostestData (Submission)'!E:E&gt;0)),0)"),"0")</f>
        <v>0</v>
      </c>
      <c r="Q31" s="8">
        <f>IFERROR(__xludf.DUMMYFUNCTION("IFERROR(MIN(FILTER('PostestData (ViewVPL)'!D:D, 'PostestData (ViewVPL)'!C:C=A31, 'PostestData (ViewVPL)'!B:B=444,'PostestData (ViewVPL)'!D:D&gt;O31,'PostestData (ViewVPL)'!D:D&lt;P31)),0)"),"0")</f>
        <v>0</v>
      </c>
      <c r="R31" s="8">
        <f>IFERROR(__xludf.DUMMYFUNCTION("IFERROR(MAX(FILTER({'PostestData (Submission)'!E:E}, 'PostestData (Submission)'!D:D=A31, 'PostestData (Submission)'!A:A=444))-Q31, 0)"),"0")</f>
        <v>0</v>
      </c>
      <c r="S31" s="8">
        <f>IFERROR(__xludf.DUMMYFUNCTION("IFERROR(FILTER({'PostestData (ExactPB)'!E:E}, 'PostestData (ExactPB)'!A:A=A31), 0)"),"0")</f>
        <v>0</v>
      </c>
      <c r="T31" s="8">
        <f>COUNTIFS('PostestData (Submission)'!D:D,"="&amp;A31,'PostestData (Submission)'!A:A,"=444",'PostestData (Submission)'!E:E,"&gt;0")</f>
        <v>0</v>
      </c>
      <c r="U31" s="8">
        <f>COUNTIFS('PostestData (Submission)'!D:D,"="&amp;A31,'PostestData (Submission)'!A:A,"=444",'PostestData (Submission)'!H:H,"&gt;0")</f>
        <v>0</v>
      </c>
      <c r="V31" s="8">
        <f>IFERROR(__xludf.DUMMYFUNCTION("IFERROR(MAX(FILTER('PostestData (Submission)'!I:I,'PostestData (Submission)'!D:D=A31,'PostestData (Submission)'!A:A=444,'PostestData (Submission)'!H:H&gt;0)),0)"),"0")</f>
        <v>0</v>
      </c>
      <c r="W31" s="8">
        <f>COUNTIFS('PostestData (ViewVPL)'!C:C,"="&amp;A31,'PostestData (ViewVPL)'!B:B,"=444")</f>
        <v>0</v>
      </c>
      <c r="X31" s="8">
        <f>IFERROR(__xludf.DUMMYFUNCTION("IFERROR(MAX(FILTER('PostestData (Loggedin)'!C:C,'PostestData (Loggedin)'!B:B=A31,'PostestData (Loggedin)'!C:C&lt;Y31)),0)"),"0")</f>
        <v>0</v>
      </c>
      <c r="Y31" s="8">
        <f>IFERROR(__xludf.DUMMYFUNCTION("IFERROR(MIN(FILTER({'PostestData (Submission)'!E:E}, 'PostestData (Submission)'!D:D=A31, 'PostestData (Submission)'!A:A=442, 'PostestData (Submission)'!E:E&gt;0)),0)"),"0")</f>
        <v>0</v>
      </c>
      <c r="Z31" s="8">
        <f>IFERROR(__xludf.DUMMYFUNCTION("IFERROR(MIN(FILTER('PostestData (ViewVPL)'!D:D, 'PostestData (ViewVPL)'!C:C=A31, 'PostestData (ViewVPL)'!B:B=442,'PostestData (ViewVPL)'!D:D&gt;X31,'PostestData (ViewVPL)'!D:D&lt;Y31)),0)"),"0")</f>
        <v>0</v>
      </c>
      <c r="AA31" s="8">
        <f>IFERROR(__xludf.DUMMYFUNCTION("IFERROR(MAX(FILTER({'PostestData (Submission)'!E:E}, 'PostestData (Submission)'!D:D=A31, 'PostestData (Submission)'!A:A=442))-Z31, 0)"),"0")</f>
        <v>0</v>
      </c>
      <c r="AB31" s="8">
        <f>IFERROR(__xludf.DUMMYFUNCTION("IFERROR(FILTER({'PostestData (ExactPC)'!E:E}, 'PostestData (ExactPC)'!A:A=A31), 0)"),"0")</f>
        <v>0</v>
      </c>
      <c r="AC31" s="8">
        <f>COUNTIFS('PostestData (Submission)'!D:D,"="&amp;A31,'PostestData (Submission)'!A:A,"=442",'PostestData (Submission)'!E:E,"&gt;0")</f>
        <v>0</v>
      </c>
      <c r="AD31" s="8">
        <f>COUNTIFS('PostestData (Submission)'!D:D,"="&amp;A31,'PostestData (Submission)'!A:A,"=442",'PostestData (Submission)'!H:H,"&gt;0")</f>
        <v>0</v>
      </c>
      <c r="AE31" s="8">
        <f>IFERROR(__xludf.DUMMYFUNCTION("IFERROR(MAX(FILTER('PostestData (Submission)'!I:I,'PostestData (Submission)'!D:D=A31,'PostestData (Submission)'!A:A=442,'PostestData (Submission)'!H:H&gt;0)),0)"),"0")</f>
        <v>0</v>
      </c>
      <c r="AF31" s="8">
        <f>COUNTIFS('PostestData (ViewVPL)'!C:C,"="&amp;A31,'PostestData (ViewVPL)'!B:B,"=442")</f>
        <v>0</v>
      </c>
      <c r="AG31" s="8">
        <f>IFERROR(__xludf.DUMMYFUNCTION("IFERROR(MAX(FILTER('PostestData (Loggedin)'!C:C,'PostestData (Loggedin)'!B:B=A31,'PostestData (Loggedin)'!C:C&lt;AH31)),0)"),"0")</f>
        <v>0</v>
      </c>
      <c r="AH31" s="8">
        <f>IFERROR(__xludf.DUMMYFUNCTION("IFERROR(MIN(FILTER({'PostestData (Submission)'!E:E}, 'PostestData (Submission)'!D:D=A31, 'PostestData (Submission)'!A:A=445, 'PostestData (Submission)'!E:E&gt;0)),0)"),"0")</f>
        <v>0</v>
      </c>
      <c r="AI31" s="8">
        <f>IFERROR(__xludf.DUMMYFUNCTION("IFERROR(MIN(FILTER('PostestData (ViewVPL)'!D:D, 'PostestData (ViewVPL)'!C:C=A31, 'PostestData (ViewVPL)'!B:B=445,'PostestData (ViewVPL)'!D:D&gt;AG31,'PostestData (ViewVPL)'!D:D&lt;AH31)),0)"),"0")</f>
        <v>0</v>
      </c>
      <c r="AJ31" s="8">
        <f>IFERROR(__xludf.DUMMYFUNCTION("IFERROR(MAX(FILTER({'PostestData (Submission)'!E:E}, 'PostestData (Submission)'!D:D=A31, 'PostestData (Submission)'!A:A=445))-AI31, 0)"),"0")</f>
        <v>0</v>
      </c>
      <c r="AK31" s="8">
        <f>IFERROR(__xludf.DUMMYFUNCTION("IFERROR(FILTER({'PostestData (ExactPD)'!E:E}, 'PostestData (ExactPD)'!A:A=A31), 0)"),"0")</f>
        <v>0</v>
      </c>
      <c r="AL31" s="8">
        <f>COUNTIFS('PostestData (Submission)'!D:D,"="&amp;A31,'PostestData (Submission)'!A:A,"=445",'PostestData (Submission)'!E:E,"&gt;0")</f>
        <v>0</v>
      </c>
      <c r="AM31" s="8">
        <f>COUNTIFS('PostestData (Submission)'!D:D,"="&amp;A31,'PostestData (Submission)'!A:A,"=445",'PostestData (Submission)'!H:H,"&gt;0")</f>
        <v>0</v>
      </c>
      <c r="AN31" s="8">
        <f>IFERROR(__xludf.DUMMYFUNCTION("IFERROR(MAX(FILTER('PostestData (Submission)'!I:I,'PostestData (Submission)'!D:D=A31,'PostestData (Submission)'!A:A=445,'PostestData (Submission)'!H:H&gt;0)),0)"),"0")</f>
        <v>0</v>
      </c>
      <c r="AO31" s="8">
        <f>COUNTIFS('PostestData (ViewVPL)'!C:C,"="&amp;A31,'PostestData (ViewVPL)'!B:B,"=445")</f>
        <v>0</v>
      </c>
      <c r="AP31" s="8"/>
      <c r="AQ31" s="11"/>
      <c r="AR31" s="11"/>
      <c r="AS31" s="8"/>
      <c r="AT31" s="8"/>
      <c r="AU31" s="8"/>
      <c r="AV31" s="8"/>
      <c r="AW31" s="11"/>
      <c r="AX31" s="11"/>
      <c r="AY31" s="11"/>
    </row>
    <row r="32">
      <c r="A32" s="7">
        <v>10135.0</v>
      </c>
      <c r="B32" s="3" t="s">
        <v>104</v>
      </c>
      <c r="C32" s="3" t="s">
        <v>106</v>
      </c>
      <c r="D32" s="3" t="s">
        <v>63</v>
      </c>
      <c r="E32" s="3"/>
      <c r="F32" s="8">
        <f>IFERROR(__xludf.DUMMYFUNCTION("IFERROR(MAX(FILTER('PostestData (Loggedin)'!C:C,'PostestData (Loggedin)'!B:B=A32,'PostestData (Loggedin)'!C:C&lt;G32)),0)"),"0")</f>
        <v>0</v>
      </c>
      <c r="G32" s="8">
        <f>IFERROR(__xludf.DUMMYFUNCTION("IFERROR(MIN(FILTER({'PostestData (Submission)'!E:E}, 'PostestData (Submission)'!D:D=A32, 'PostestData (Submission)'!A:A=443, 'PostestData (Submission)'!E:E&gt;0)),0)"),"1480115854")</f>
        <v>1480115854</v>
      </c>
      <c r="H32" s="8">
        <f>IFERROR(__xludf.DUMMYFUNCTION("IFERROR(MIN(FILTER('PostestData (ViewVPL)'!D:D, 'PostestData (ViewVPL)'!C:C=A32, 'PostestData (ViewVPL)'!B:B=443,'PostestData (ViewVPL)'!D:D&gt;F32,'PostestData (ViewVPL)'!D:D&lt;G32)),0)"),"1480115451")</f>
        <v>1480115451</v>
      </c>
      <c r="I32" s="8">
        <f>IFERROR(__xludf.DUMMYFUNCTION("IFERROR(MAX(FILTER({'PostestData (Submission)'!E:E}, 'PostestData (Submission)'!D:D=A32, 'PostestData (Submission)'!A:A=443))-H32, 0)"),"219217")</f>
        <v>219217</v>
      </c>
      <c r="J32" s="8">
        <f>IFERROR(__xludf.DUMMYFUNCTION("IFERROR(FILTER({'PostestData (ExactPA)'!E:E}, 'PostestData (ExactPA)'!A:A=A32), 0)"),"1966")</f>
        <v>1966</v>
      </c>
      <c r="K32" s="8">
        <f>COUNTIFS('PostestData (Submission)'!D:D,"="&amp;A32,'PostestData (Submission)'!A:A,"=443",'PostestData (Submission)'!E:E,"&gt;0")</f>
        <v>2</v>
      </c>
      <c r="L32" s="8">
        <f>COUNTIFS('PostestData (Submission)'!D:D,"="&amp;A32,'PostestData (Submission)'!A:A,"=443",'PostestData (Submission)'!H:H,"&gt;0")</f>
        <v>1</v>
      </c>
      <c r="M32" s="8">
        <f>IFERROR(__xludf.DUMMYFUNCTION("IFERROR(MAX(FILTER('PostestData (Submission)'!I:I,'PostestData (Submission)'!D:D=A32,'PostestData (Submission)'!A:A=443,'PostestData (Submission)'!H:H&gt;0)),0)"),"10")</f>
        <v>10</v>
      </c>
      <c r="N32" s="8">
        <f>COUNTIFS('PostestData (ViewVPL)'!C:C,"="&amp;A32,'PostestData (ViewVPL)'!B:B,"=443")</f>
        <v>7</v>
      </c>
      <c r="O32" s="8">
        <f>IFERROR(__xludf.DUMMYFUNCTION("IFERROR(MAX(FILTER('PostestData (Loggedin)'!C:C,'PostestData (Loggedin)'!B:B=A32,'PostestData (Loggedin)'!C:C&lt;P32)),0)"),"1480333876")</f>
        <v>1480333876</v>
      </c>
      <c r="P32" s="8">
        <f>IFERROR(__xludf.DUMMYFUNCTION("IFERROR(MIN(FILTER({'PostestData (Submission)'!E:E}, 'PostestData (Submission)'!D:D=A32, 'PostestData (Submission)'!A:A=444, 'PostestData (Submission)'!E:E&gt;0)),0)"),"1480335124")</f>
        <v>1480335124</v>
      </c>
      <c r="Q32" s="8">
        <f>IFERROR(__xludf.DUMMYFUNCTION("IFERROR(MIN(FILTER('PostestData (ViewVPL)'!D:D, 'PostestData (ViewVPL)'!C:C=A32, 'PostestData (ViewVPL)'!B:B=444,'PostestData (ViewVPL)'!D:D&gt;O32,'PostestData (ViewVPL)'!D:D&lt;P32)),0)"),"1480334718")</f>
        <v>1480334718</v>
      </c>
      <c r="R32" s="8">
        <f>IFERROR(__xludf.DUMMYFUNCTION("IFERROR(MAX(FILTER({'PostestData (Submission)'!E:E}, 'PostestData (Submission)'!D:D=A32, 'PostestData (Submission)'!A:A=444))-Q32, 0)"),"406")</f>
        <v>406</v>
      </c>
      <c r="S32" s="8">
        <f>IFERROR(__xludf.DUMMYFUNCTION("IFERROR(FILTER({'PostestData (ExactPB)'!E:E}, 'PostestData (ExactPB)'!A:A=A32), 0)"),"6")</f>
        <v>6</v>
      </c>
      <c r="T32" s="8">
        <f>COUNTIFS('PostestData (Submission)'!D:D,"="&amp;A32,'PostestData (Submission)'!A:A,"=444",'PostestData (Submission)'!E:E,"&gt;0")</f>
        <v>1</v>
      </c>
      <c r="U32" s="8">
        <f>COUNTIFS('PostestData (Submission)'!D:D,"="&amp;A32,'PostestData (Submission)'!A:A,"=444",'PostestData (Submission)'!H:H,"&gt;0")</f>
        <v>1</v>
      </c>
      <c r="V32" s="8">
        <f>IFERROR(__xludf.DUMMYFUNCTION("IFERROR(MAX(FILTER('PostestData (Submission)'!I:I,'PostestData (Submission)'!D:D=A32,'PostestData (Submission)'!A:A=444,'PostestData (Submission)'!H:H&gt;0)),0)"),"10")</f>
        <v>10</v>
      </c>
      <c r="W32" s="8">
        <f>COUNTIFS('PostestData (ViewVPL)'!C:C,"="&amp;A32,'PostestData (ViewVPL)'!B:B,"=444")</f>
        <v>4</v>
      </c>
      <c r="X32" s="8">
        <f>IFERROR(__xludf.DUMMYFUNCTION("IFERROR(MAX(FILTER('PostestData (Loggedin)'!C:C,'PostestData (Loggedin)'!B:B=A32,'PostestData (Loggedin)'!C:C&lt;Y32)),0)"),"0")</f>
        <v>0</v>
      </c>
      <c r="Y32" s="8">
        <f>IFERROR(__xludf.DUMMYFUNCTION("IFERROR(MIN(FILTER({'PostestData (Submission)'!E:E}, 'PostestData (Submission)'!D:D=A32, 'PostestData (Submission)'!A:A=442, 'PostestData (Submission)'!E:E&gt;0)),0)"),"0")</f>
        <v>0</v>
      </c>
      <c r="Z32" s="8">
        <f>IFERROR(__xludf.DUMMYFUNCTION("IFERROR(MIN(FILTER('PostestData (ViewVPL)'!D:D, 'PostestData (ViewVPL)'!C:C=A32, 'PostestData (ViewVPL)'!B:B=442,'PostestData (ViewVPL)'!D:D&gt;X32,'PostestData (ViewVPL)'!D:D&lt;Y32)),0)"),"0")</f>
        <v>0</v>
      </c>
      <c r="AA32" s="8">
        <f>IFERROR(__xludf.DUMMYFUNCTION("IFERROR(MAX(FILTER({'PostestData (Submission)'!E:E}, 'PostestData (Submission)'!D:D=A32, 'PostestData (Submission)'!A:A=442))-Z32, 0)"),"0")</f>
        <v>0</v>
      </c>
      <c r="AB32" s="8">
        <f>IFERROR(__xludf.DUMMYFUNCTION("IFERROR(FILTER({'PostestData (ExactPC)'!E:E}, 'PostestData (ExactPC)'!A:A=A32), 0)"),"0")</f>
        <v>0</v>
      </c>
      <c r="AC32" s="8">
        <f>COUNTIFS('PostestData (Submission)'!D:D,"="&amp;A32,'PostestData (Submission)'!A:A,"=442",'PostestData (Submission)'!E:E,"&gt;0")</f>
        <v>0</v>
      </c>
      <c r="AD32" s="8">
        <f>COUNTIFS('PostestData (Submission)'!D:D,"="&amp;A32,'PostestData (Submission)'!A:A,"=442",'PostestData (Submission)'!H:H,"&gt;0")</f>
        <v>0</v>
      </c>
      <c r="AE32" s="8">
        <f>IFERROR(__xludf.DUMMYFUNCTION("IFERROR(MAX(FILTER('PostestData (Submission)'!I:I,'PostestData (Submission)'!D:D=A32,'PostestData (Submission)'!A:A=442,'PostestData (Submission)'!H:H&gt;0)),0)"),"0")</f>
        <v>0</v>
      </c>
      <c r="AF32" s="8">
        <f>COUNTIFS('PostestData (ViewVPL)'!C:C,"="&amp;A32,'PostestData (ViewVPL)'!B:B,"=442")</f>
        <v>8</v>
      </c>
      <c r="AG32" s="8">
        <f>IFERROR(__xludf.DUMMYFUNCTION("IFERROR(MAX(FILTER('PostestData (Loggedin)'!C:C,'PostestData (Loggedin)'!B:B=A32,'PostestData (Loggedin)'!C:C&lt;AH32)),0)"),"0")</f>
        <v>0</v>
      </c>
      <c r="AH32" s="8">
        <f>IFERROR(__xludf.DUMMYFUNCTION("IFERROR(MIN(FILTER({'PostestData (Submission)'!E:E}, 'PostestData (Submission)'!D:D=A32, 'PostestData (Submission)'!A:A=445, 'PostestData (Submission)'!E:E&gt;0)),0)"),"0")</f>
        <v>0</v>
      </c>
      <c r="AI32" s="8">
        <f>IFERROR(__xludf.DUMMYFUNCTION("IFERROR(MIN(FILTER('PostestData (ViewVPL)'!D:D, 'PostestData (ViewVPL)'!C:C=A32, 'PostestData (ViewVPL)'!B:B=445,'PostestData (ViewVPL)'!D:D&gt;AG32,'PostestData (ViewVPL)'!D:D&lt;AH32)),0)"),"0")</f>
        <v>0</v>
      </c>
      <c r="AJ32" s="8">
        <f>IFERROR(__xludf.DUMMYFUNCTION("IFERROR(MAX(FILTER({'PostestData (Submission)'!E:E}, 'PostestData (Submission)'!D:D=A32, 'PostestData (Submission)'!A:A=445))-AI32, 0)"),"0")</f>
        <v>0</v>
      </c>
      <c r="AK32" s="8">
        <f>IFERROR(__xludf.DUMMYFUNCTION("IFERROR(FILTER({'PostestData (ExactPD)'!E:E}, 'PostestData (ExactPD)'!A:A=A32), 0)"),"0")</f>
        <v>0</v>
      </c>
      <c r="AL32" s="8">
        <f>COUNTIFS('PostestData (Submission)'!D:D,"="&amp;A32,'PostestData (Submission)'!A:A,"=445",'PostestData (Submission)'!E:E,"&gt;0")</f>
        <v>0</v>
      </c>
      <c r="AM32" s="8">
        <f>COUNTIFS('PostestData (Submission)'!D:D,"="&amp;A32,'PostestData (Submission)'!A:A,"=445",'PostestData (Submission)'!H:H,"&gt;0")</f>
        <v>0</v>
      </c>
      <c r="AN32" s="8">
        <f>IFERROR(__xludf.DUMMYFUNCTION("IFERROR(MAX(FILTER('PostestData (Submission)'!I:I,'PostestData (Submission)'!D:D=A32,'PostestData (Submission)'!A:A=445,'PostestData (Submission)'!H:H&gt;0)),0)"),"0")</f>
        <v>0</v>
      </c>
      <c r="AO32" s="8">
        <f>COUNTIFS('PostestData (ViewVPL)'!C:C,"="&amp;A32,'PostestData (ViewVPL)'!B:B,"=445")</f>
        <v>4</v>
      </c>
      <c r="AP32" s="8"/>
      <c r="AQ32" s="11"/>
      <c r="AR32" s="11"/>
      <c r="AS32" s="8"/>
      <c r="AT32" s="8"/>
      <c r="AU32" s="8"/>
      <c r="AV32" s="8"/>
      <c r="AW32" s="11"/>
      <c r="AX32" s="11"/>
      <c r="AY32" s="11"/>
    </row>
    <row r="33">
      <c r="A33" s="7">
        <v>10140.0</v>
      </c>
      <c r="B33" s="3" t="s">
        <v>104</v>
      </c>
      <c r="C33" s="3" t="s">
        <v>107</v>
      </c>
      <c r="D33" s="3" t="s">
        <v>63</v>
      </c>
      <c r="E33" s="3"/>
      <c r="F33" s="8">
        <f>IFERROR(__xludf.DUMMYFUNCTION("IFERROR(MAX(FILTER('PostestData (Loggedin)'!C:C,'PostestData (Loggedin)'!B:B=A33,'PostestData (Loggedin)'!C:C&lt;G33)),0)"),"1480114979")</f>
        <v>1480114979</v>
      </c>
      <c r="G33" s="8">
        <f>IFERROR(__xludf.DUMMYFUNCTION("IFERROR(MIN(FILTER({'PostestData (Submission)'!E:E}, 'PostestData (Submission)'!D:D=A33, 'PostestData (Submission)'!A:A=443, 'PostestData (Submission)'!E:E&gt;0)),0)"),"1480117912")</f>
        <v>1480117912</v>
      </c>
      <c r="H33" s="8">
        <f>IFERROR(__xludf.DUMMYFUNCTION("IFERROR(MIN(FILTER('PostestData (ViewVPL)'!D:D, 'PostestData (ViewVPL)'!C:C=A33, 'PostestData (ViewVPL)'!B:B=443,'PostestData (ViewVPL)'!D:D&gt;F33,'PostestData (ViewVPL)'!D:D&lt;G33)),0)"),"1480115364")</f>
        <v>1480115364</v>
      </c>
      <c r="I33" s="8">
        <f>IFERROR(__xludf.DUMMYFUNCTION("IFERROR(MAX(FILTER({'PostestData (Submission)'!E:E}, 'PostestData (Submission)'!D:D=A33, 'PostestData (Submission)'!A:A=443))-H33, 0)"),"2548")</f>
        <v>2548</v>
      </c>
      <c r="J33" s="8">
        <f>IFERROR(__xludf.DUMMYFUNCTION("IFERROR(FILTER({'PostestData (ExactPA)'!E:E}, 'PostestData (ExactPA)'!A:A=A33), 0)"),"36")</f>
        <v>36</v>
      </c>
      <c r="K33" s="8">
        <f>COUNTIFS('PostestData (Submission)'!D:D,"="&amp;A33,'PostestData (Submission)'!A:A,"=443",'PostestData (Submission)'!E:E,"&gt;0")</f>
        <v>1</v>
      </c>
      <c r="L33" s="8">
        <f>COUNTIFS('PostestData (Submission)'!D:D,"="&amp;A33,'PostestData (Submission)'!A:A,"=443",'PostestData (Submission)'!H:H,"&gt;0")</f>
        <v>1</v>
      </c>
      <c r="M33" s="8">
        <f>IFERROR(__xludf.DUMMYFUNCTION("IFERROR(MAX(FILTER('PostestData (Submission)'!I:I,'PostestData (Submission)'!D:D=A33,'PostestData (Submission)'!A:A=443,'PostestData (Submission)'!H:H&gt;0)),0)"),"10")</f>
        <v>10</v>
      </c>
      <c r="N33" s="8">
        <f>COUNTIFS('PostestData (ViewVPL)'!C:C,"="&amp;A33,'PostestData (ViewVPL)'!B:B,"=443")</f>
        <v>6</v>
      </c>
      <c r="O33" s="8">
        <f>IFERROR(__xludf.DUMMYFUNCTION("IFERROR(MAX(FILTER('PostestData (Loggedin)'!C:C,'PostestData (Loggedin)'!B:B=A33,'PostestData (Loggedin)'!C:C&lt;P33)),0)"),"1480114979")</f>
        <v>1480114979</v>
      </c>
      <c r="P33" s="8">
        <f>IFERROR(__xludf.DUMMYFUNCTION("IFERROR(MIN(FILTER({'PostestData (Submission)'!E:E}, 'PostestData (Submission)'!D:D=A33, 'PostestData (Submission)'!A:A=444, 'PostestData (Submission)'!E:E&gt;0)),0)"),"1480118873")</f>
        <v>1480118873</v>
      </c>
      <c r="Q33" s="8">
        <f>IFERROR(__xludf.DUMMYFUNCTION("IFERROR(MIN(FILTER('PostestData (ViewVPL)'!D:D, 'PostestData (ViewVPL)'!C:C=A33, 'PostestData (ViewVPL)'!B:B=444,'PostestData (ViewVPL)'!D:D&gt;O33,'PostestData (ViewVPL)'!D:D&lt;P33)),0)"),"1480116894")</f>
        <v>1480116894</v>
      </c>
      <c r="R33" s="8">
        <f>IFERROR(__xludf.DUMMYFUNCTION("IFERROR(MAX(FILTER({'PostestData (Submission)'!E:E}, 'PostestData (Submission)'!D:D=A33, 'PostestData (Submission)'!A:A=444))-Q33, 0)"),"1979")</f>
        <v>1979</v>
      </c>
      <c r="S33" s="8">
        <f>IFERROR(__xludf.DUMMYFUNCTION("IFERROR(FILTER({'PostestData (ExactPB)'!E:E}, 'PostestData (ExactPB)'!A:A=A33), 0)"),"33")</f>
        <v>33</v>
      </c>
      <c r="T33" s="8">
        <f>COUNTIFS('PostestData (Submission)'!D:D,"="&amp;A33,'PostestData (Submission)'!A:A,"=444",'PostestData (Submission)'!E:E,"&gt;0")</f>
        <v>1</v>
      </c>
      <c r="U33" s="8">
        <f>COUNTIFS('PostestData (Submission)'!D:D,"="&amp;A33,'PostestData (Submission)'!A:A,"=444",'PostestData (Submission)'!H:H,"&gt;0")</f>
        <v>1</v>
      </c>
      <c r="V33" s="8">
        <f>IFERROR(__xludf.DUMMYFUNCTION("IFERROR(MAX(FILTER('PostestData (Submission)'!I:I,'PostestData (Submission)'!D:D=A33,'PostestData (Submission)'!A:A=444,'PostestData (Submission)'!H:H&gt;0)),0)"),"10")</f>
        <v>10</v>
      </c>
      <c r="W33" s="8">
        <f>COUNTIFS('PostestData (ViewVPL)'!C:C,"="&amp;A33,'PostestData (ViewVPL)'!B:B,"=444")</f>
        <v>3</v>
      </c>
      <c r="X33" s="8">
        <f>IFERROR(__xludf.DUMMYFUNCTION("IFERROR(MAX(FILTER('PostestData (Loggedin)'!C:C,'PostestData (Loggedin)'!B:B=A33,'PostestData (Loggedin)'!C:C&lt;Y33)),0)"),"1481419788")</f>
        <v>1481419788</v>
      </c>
      <c r="Y33" s="8">
        <f>IFERROR(__xludf.DUMMYFUNCTION("IFERROR(MIN(FILTER({'PostestData (Submission)'!E:E}, 'PostestData (Submission)'!D:D=A33, 'PostestData (Submission)'!A:A=442, 'PostestData (Submission)'!E:E&gt;0)),0)"),"1481419841")</f>
        <v>1481419841</v>
      </c>
      <c r="Z33" s="8">
        <f>IFERROR(__xludf.DUMMYFUNCTION("IFERROR(MIN(FILTER('PostestData (ViewVPL)'!D:D, 'PostestData (ViewVPL)'!C:C=A33, 'PostestData (ViewVPL)'!B:B=442,'PostestData (ViewVPL)'!D:D&gt;X33,'PostestData (ViewVPL)'!D:D&lt;Y33)),0)"),"1481419799")</f>
        <v>1481419799</v>
      </c>
      <c r="AA33" s="8">
        <f>IFERROR(__xludf.DUMMYFUNCTION("IFERROR(MAX(FILTER({'PostestData (Submission)'!E:E}, 'PostestData (Submission)'!D:D=A33, 'PostestData (Submission)'!A:A=442))-Z33, 0)"),"42")</f>
        <v>42</v>
      </c>
      <c r="AB33" s="8">
        <f>IFERROR(__xludf.DUMMYFUNCTION("IFERROR(FILTER({'PostestData (ExactPC)'!E:E}, 'PostestData (ExactPC)'!A:A=A33), 0)"),"32")</f>
        <v>32</v>
      </c>
      <c r="AC33" s="8">
        <f>COUNTIFS('PostestData (Submission)'!D:D,"="&amp;A33,'PostestData (Submission)'!A:A,"=442",'PostestData (Submission)'!E:E,"&gt;0")</f>
        <v>1</v>
      </c>
      <c r="AD33" s="8">
        <f>COUNTIFS('PostestData (Submission)'!D:D,"="&amp;A33,'PostestData (Submission)'!A:A,"=442",'PostestData (Submission)'!H:H,"&gt;0")</f>
        <v>1</v>
      </c>
      <c r="AE33" s="8">
        <f>IFERROR(__xludf.DUMMYFUNCTION("IFERROR(MAX(FILTER('PostestData (Submission)'!I:I,'PostestData (Submission)'!D:D=A33,'PostestData (Submission)'!A:A=442,'PostestData (Submission)'!H:H&gt;0)),0)"),"10")</f>
        <v>10</v>
      </c>
      <c r="AF33" s="8">
        <f>COUNTIFS('PostestData (ViewVPL)'!C:C,"="&amp;A33,'PostestData (ViewVPL)'!B:B,"=442")</f>
        <v>4</v>
      </c>
      <c r="AG33" s="8">
        <f>IFERROR(__xludf.DUMMYFUNCTION("IFERROR(MAX(FILTER('PostestData (Loggedin)'!C:C,'PostestData (Loggedin)'!B:B=A33,'PostestData (Loggedin)'!C:C&lt;AH33)),0)"),"1481419788")</f>
        <v>1481419788</v>
      </c>
      <c r="AH33" s="8">
        <f>IFERROR(__xludf.DUMMYFUNCTION("IFERROR(MIN(FILTER({'PostestData (Submission)'!E:E}, 'PostestData (Submission)'!D:D=A33, 'PostestData (Submission)'!A:A=445, 'PostestData (Submission)'!E:E&gt;0)),0)"),"1481419875")</f>
        <v>1481419875</v>
      </c>
      <c r="AI33" s="8">
        <f>IFERROR(__xludf.DUMMYFUNCTION("IFERROR(MIN(FILTER('PostestData (ViewVPL)'!D:D, 'PostestData (ViewVPL)'!C:C=A33, 'PostestData (ViewVPL)'!B:B=445,'PostestData (ViewVPL)'!D:D&gt;AG33,'PostestData (ViewVPL)'!D:D&lt;AH33)),0)"),"1481419858")</f>
        <v>1481419858</v>
      </c>
      <c r="AJ33" s="8">
        <f>IFERROR(__xludf.DUMMYFUNCTION("IFERROR(MAX(FILTER({'PostestData (Submission)'!E:E}, 'PostestData (Submission)'!D:D=A33, 'PostestData (Submission)'!A:A=445))-AI33, 0)"),"17")</f>
        <v>17</v>
      </c>
      <c r="AK33" s="8">
        <f>IFERROR(__xludf.DUMMYFUNCTION("IFERROR(FILTER({'PostestData (ExactPD)'!E:E}, 'PostestData (ExactPD)'!A:A=A33), 0)"),"7")</f>
        <v>7</v>
      </c>
      <c r="AL33" s="8">
        <f>COUNTIFS('PostestData (Submission)'!D:D,"="&amp;A33,'PostestData (Submission)'!A:A,"=445",'PostestData (Submission)'!E:E,"&gt;0")</f>
        <v>1</v>
      </c>
      <c r="AM33" s="8">
        <f>COUNTIFS('PostestData (Submission)'!D:D,"="&amp;A33,'PostestData (Submission)'!A:A,"=445",'PostestData (Submission)'!H:H,"&gt;0")</f>
        <v>1</v>
      </c>
      <c r="AN33" s="8">
        <f>IFERROR(__xludf.DUMMYFUNCTION("IFERROR(MAX(FILTER('PostestData (Submission)'!I:I,'PostestData (Submission)'!D:D=A33,'PostestData (Submission)'!A:A=445,'PostestData (Submission)'!H:H&gt;0)),0)"),"10")</f>
        <v>10</v>
      </c>
      <c r="AO33" s="8">
        <f>COUNTIFS('PostestData (ViewVPL)'!C:C,"="&amp;A33,'PostestData (ViewVPL)'!B:B,"=445")</f>
        <v>2</v>
      </c>
      <c r="AP33" s="8"/>
      <c r="AQ33" s="11"/>
      <c r="AR33" s="11"/>
      <c r="AS33" s="8"/>
      <c r="AT33" s="8"/>
      <c r="AU33" s="8"/>
      <c r="AV33" s="8"/>
      <c r="AW33" s="11"/>
      <c r="AX33" s="11"/>
      <c r="AY33" s="11"/>
    </row>
    <row r="34">
      <c r="A34" s="15">
        <v>10130.0</v>
      </c>
      <c r="B34" s="16" t="s">
        <v>104</v>
      </c>
      <c r="C34" s="16" t="s">
        <v>107</v>
      </c>
      <c r="D34" s="16" t="s">
        <v>63</v>
      </c>
      <c r="E34" s="16"/>
      <c r="F34" s="8">
        <f>IFERROR(__xludf.DUMMYFUNCTION("IFERROR(MAX(FILTER('PostestData (Loggedin)'!C:C,'PostestData (Loggedin)'!B:B=A34,'PostestData (Loggedin)'!C:C&lt;G34)),0)"),"1480114960")</f>
        <v>1480114960</v>
      </c>
      <c r="G34" s="8">
        <f>IFERROR(__xludf.DUMMYFUNCTION("IFERROR(MIN(FILTER({'PostestData (Submission)'!E:E}, 'PostestData (Submission)'!D:D=A34, 'PostestData (Submission)'!A:A=443, 'PostestData (Submission)'!E:E&gt;0)),0)"),"1480117219")</f>
        <v>1480117219</v>
      </c>
      <c r="H34" s="8">
        <f>IFERROR(__xludf.DUMMYFUNCTION("IFERROR(MIN(FILTER('PostestData (ViewVPL)'!D:D, 'PostestData (ViewVPL)'!C:C=A34, 'PostestData (ViewVPL)'!B:B=443,'PostestData (ViewVPL)'!D:D&gt;F34,'PostestData (ViewVPL)'!D:D&lt;G34)),0)"),"1480115215")</f>
        <v>1480115215</v>
      </c>
      <c r="I34" s="8">
        <f>IFERROR(__xludf.DUMMYFUNCTION("IFERROR(MAX(FILTER({'PostestData (Submission)'!E:E}, 'PostestData (Submission)'!D:D=A34, 'PostestData (Submission)'!A:A=443))-H34, 0)"),"2004")</f>
        <v>2004</v>
      </c>
      <c r="J34" s="8">
        <f>IFERROR(__xludf.DUMMYFUNCTION("IFERROR(FILTER({'PostestData (ExactPA)'!E:E}, 'PostestData (ExactPA)'!A:A=A34), 0)"),"11")</f>
        <v>11</v>
      </c>
      <c r="K34" s="8">
        <f>COUNTIFS('PostestData (Submission)'!D:D,"="&amp;A34,'PostestData (Submission)'!A:A,"=443",'PostestData (Submission)'!E:E,"&gt;0")</f>
        <v>1</v>
      </c>
      <c r="L34" s="8">
        <f>COUNTIFS('PostestData (Submission)'!D:D,"="&amp;A34,'PostestData (Submission)'!A:A,"=443",'PostestData (Submission)'!H:H,"&gt;0")</f>
        <v>1</v>
      </c>
      <c r="M34" s="8">
        <f>IFERROR(__xludf.DUMMYFUNCTION("IFERROR(MAX(FILTER('PostestData (Submission)'!I:I,'PostestData (Submission)'!D:D=A34,'PostestData (Submission)'!A:A=443,'PostestData (Submission)'!H:H&gt;0)),0)"),"10")</f>
        <v>10</v>
      </c>
      <c r="N34" s="8">
        <f>COUNTIFS('PostestData (ViewVPL)'!C:C,"="&amp;A34,'PostestData (ViewVPL)'!B:B,"=443")</f>
        <v>1</v>
      </c>
      <c r="O34" s="8">
        <f>IFERROR(__xludf.DUMMYFUNCTION("IFERROR(MAX(FILTER('PostestData (Loggedin)'!C:C,'PostestData (Loggedin)'!B:B=A34,'PostestData (Loggedin)'!C:C&lt;P34)),0)"),"1480114960")</f>
        <v>1480114960</v>
      </c>
      <c r="P34" s="8">
        <f>IFERROR(__xludf.DUMMYFUNCTION("IFERROR(MIN(FILTER({'PostestData (Submission)'!E:E}, 'PostestData (Submission)'!D:D=A34, 'PostestData (Submission)'!A:A=444, 'PostestData (Submission)'!E:E&gt;0)),0)"),"1480119573")</f>
        <v>1480119573</v>
      </c>
      <c r="Q34" s="8">
        <f>IFERROR(__xludf.DUMMYFUNCTION("IFERROR(MIN(FILTER('PostestData (ViewVPL)'!D:D, 'PostestData (ViewVPL)'!C:C=A34, 'PostestData (ViewVPL)'!B:B=444,'PostestData (ViewVPL)'!D:D&gt;O34,'PostestData (ViewVPL)'!D:D&lt;P34)),0)"),"1480117232")</f>
        <v>1480117232</v>
      </c>
      <c r="R34" s="8">
        <f>IFERROR(__xludf.DUMMYFUNCTION("IFERROR(MAX(FILTER({'PostestData (Submission)'!E:E}, 'PostestData (Submission)'!D:D=A34, 'PostestData (Submission)'!A:A=444))-Q34, 0)"),"2341")</f>
        <v>2341</v>
      </c>
      <c r="S34" s="8">
        <f>IFERROR(__xludf.DUMMYFUNCTION("IFERROR(FILTER({'PostestData (ExactPB)'!E:E}, 'PostestData (ExactPB)'!A:A=A34), 0)"),"4")</f>
        <v>4</v>
      </c>
      <c r="T34" s="8">
        <f>COUNTIFS('PostestData (Submission)'!D:D,"="&amp;A34,'PostestData (Submission)'!A:A,"=444",'PostestData (Submission)'!E:E,"&gt;0")</f>
        <v>1</v>
      </c>
      <c r="U34" s="8">
        <f>COUNTIFS('PostestData (Submission)'!D:D,"="&amp;A34,'PostestData (Submission)'!A:A,"=444",'PostestData (Submission)'!H:H,"&gt;0")</f>
        <v>1</v>
      </c>
      <c r="V34" s="8">
        <f>IFERROR(__xludf.DUMMYFUNCTION("IFERROR(MAX(FILTER('PostestData (Submission)'!I:I,'PostestData (Submission)'!D:D=A34,'PostestData (Submission)'!A:A=444,'PostestData (Submission)'!H:H&gt;0)),0)"),"10")</f>
        <v>10</v>
      </c>
      <c r="W34" s="8">
        <f>COUNTIFS('PostestData (ViewVPL)'!C:C,"="&amp;A34,'PostestData (ViewVPL)'!B:B,"=444")</f>
        <v>2</v>
      </c>
      <c r="X34" s="8">
        <f>IFERROR(__xludf.DUMMYFUNCTION("IFERROR(MAX(FILTER('PostestData (Loggedin)'!C:C,'PostestData (Loggedin)'!B:B=A34,'PostestData (Loggedin)'!C:C&lt;Y34)),0)"),"1480114960")</f>
        <v>1480114960</v>
      </c>
      <c r="Y34" s="8">
        <f>IFERROR(__xludf.DUMMYFUNCTION("IFERROR(MIN(FILTER({'PostestData (Submission)'!E:E}, 'PostestData (Submission)'!D:D=A34, 'PostestData (Submission)'!A:A=442, 'PostestData (Submission)'!E:E&gt;0)),0)"),"1480120303")</f>
        <v>1480120303</v>
      </c>
      <c r="Z34" s="8">
        <f>IFERROR(__xludf.DUMMYFUNCTION("IFERROR(MIN(FILTER('PostestData (ViewVPL)'!D:D, 'PostestData (ViewVPL)'!C:C=A34, 'PostestData (ViewVPL)'!B:B=442,'PostestData (ViewVPL)'!D:D&gt;X34,'PostestData (ViewVPL)'!D:D&lt;Y34)),0)"),"1480119668")</f>
        <v>1480119668</v>
      </c>
      <c r="AA34" s="8">
        <f>IFERROR(__xludf.DUMMYFUNCTION("IFERROR(MAX(FILTER({'PostestData (Submission)'!E:E}, 'PostestData (Submission)'!D:D=A34, 'PostestData (Submission)'!A:A=442))-Z34, 0)"),"635")</f>
        <v>635</v>
      </c>
      <c r="AB34" s="8">
        <f>IFERROR(__xludf.DUMMYFUNCTION("IFERROR(FILTER({'PostestData (ExactPC)'!E:E}, 'PostestData (ExactPC)'!A:A=A34), 0)"),"3")</f>
        <v>3</v>
      </c>
      <c r="AC34" s="8">
        <f>COUNTIFS('PostestData (Submission)'!D:D,"="&amp;A34,'PostestData (Submission)'!A:A,"=442",'PostestData (Submission)'!E:E,"&gt;0")</f>
        <v>1</v>
      </c>
      <c r="AD34" s="8">
        <f>COUNTIFS('PostestData (Submission)'!D:D,"="&amp;A34,'PostestData (Submission)'!A:A,"=442",'PostestData (Submission)'!H:H,"&gt;0")</f>
        <v>1</v>
      </c>
      <c r="AE34" s="8">
        <f>IFERROR(__xludf.DUMMYFUNCTION("IFERROR(MAX(FILTER('PostestData (Submission)'!I:I,'PostestData (Submission)'!D:D=A34,'PostestData (Submission)'!A:A=442,'PostestData (Submission)'!H:H&gt;0)),0)"),"10")</f>
        <v>10</v>
      </c>
      <c r="AF34" s="8">
        <f>COUNTIFS('PostestData (ViewVPL)'!C:C,"="&amp;A34,'PostestData (ViewVPL)'!B:B,"=442")</f>
        <v>2</v>
      </c>
      <c r="AG34" s="8">
        <f>IFERROR(__xludf.DUMMYFUNCTION("IFERROR(MAX(FILTER('PostestData (Loggedin)'!C:C,'PostestData (Loggedin)'!B:B=A34,'PostestData (Loggedin)'!C:C&lt;AH34)),0)"),"0")</f>
        <v>0</v>
      </c>
      <c r="AH34" s="8">
        <f>IFERROR(__xludf.DUMMYFUNCTION("IFERROR(MIN(FILTER({'PostestData (Submission)'!E:E}, 'PostestData (Submission)'!D:D=A34, 'PostestData (Submission)'!A:A=445, 'PostestData (Submission)'!E:E&gt;0)),0)"),"0")</f>
        <v>0</v>
      </c>
      <c r="AI34" s="8">
        <f>IFERROR(__xludf.DUMMYFUNCTION("IFERROR(MIN(FILTER('PostestData (ViewVPL)'!D:D, 'PostestData (ViewVPL)'!C:C=A34, 'PostestData (ViewVPL)'!B:B=445,'PostestData (ViewVPL)'!D:D&gt;AG34,'PostestData (ViewVPL)'!D:D&lt;AH34)),0)"),"0")</f>
        <v>0</v>
      </c>
      <c r="AJ34" s="8">
        <f>IFERROR(__xludf.DUMMYFUNCTION("IFERROR(MAX(FILTER({'PostestData (Submission)'!E:E}, 'PostestData (Submission)'!D:D=A34, 'PostestData (Submission)'!A:A=445))-AI34, 0)"),"0")</f>
        <v>0</v>
      </c>
      <c r="AK34" s="8">
        <f>IFERROR(__xludf.DUMMYFUNCTION("IFERROR(FILTER({'PostestData (ExactPD)'!E:E}, 'PostestData (ExactPD)'!A:A=A34), 0)"),"0")</f>
        <v>0</v>
      </c>
      <c r="AL34" s="8">
        <f>COUNTIFS('PostestData (Submission)'!D:D,"="&amp;A34,'PostestData (Submission)'!A:A,"=445",'PostestData (Submission)'!E:E,"&gt;0")</f>
        <v>0</v>
      </c>
      <c r="AM34" s="8">
        <f>COUNTIFS('PostestData (Submission)'!D:D,"="&amp;A34,'PostestData (Submission)'!A:A,"=445",'PostestData (Submission)'!H:H,"&gt;0")</f>
        <v>0</v>
      </c>
      <c r="AN34" s="8">
        <f>IFERROR(__xludf.DUMMYFUNCTION("IFERROR(MAX(FILTER('PostestData (Submission)'!I:I,'PostestData (Submission)'!D:D=A34,'PostestData (Submission)'!A:A=445,'PostestData (Submission)'!H:H&gt;0)),0)"),"0")</f>
        <v>0</v>
      </c>
      <c r="AO34" s="8">
        <f>COUNTIFS('PostestData (ViewVPL)'!C:C,"="&amp;A34,'PostestData (ViewVPL)'!B:B,"=445")</f>
        <v>0</v>
      </c>
      <c r="AP34" s="8"/>
      <c r="AQ34" s="11"/>
      <c r="AR34" s="11"/>
      <c r="AS34" s="8"/>
      <c r="AT34" s="8"/>
      <c r="AU34" s="8"/>
      <c r="AV34" s="8"/>
      <c r="AW34" s="11"/>
      <c r="AX34" s="11"/>
      <c r="AY34" s="11"/>
    </row>
    <row r="35">
      <c r="A35" s="15">
        <v>10136.0</v>
      </c>
      <c r="B35" s="16" t="s">
        <v>104</v>
      </c>
      <c r="C35" s="16" t="s">
        <v>107</v>
      </c>
      <c r="D35" s="16" t="s">
        <v>63</v>
      </c>
      <c r="E35" s="16"/>
      <c r="F35" s="8">
        <f>IFERROR(__xludf.DUMMYFUNCTION("IFERROR(MAX(FILTER('PostestData (Loggedin)'!C:C,'PostestData (Loggedin)'!B:B=A35,'PostestData (Loggedin)'!C:C&lt;G35)),0)"),"1480115026")</f>
        <v>1480115026</v>
      </c>
      <c r="G35" s="8">
        <f>IFERROR(__xludf.DUMMYFUNCTION("IFERROR(MIN(FILTER({'PostestData (Submission)'!E:E}, 'PostestData (Submission)'!D:D=A35, 'PostestData (Submission)'!A:A=443, 'PostestData (Submission)'!E:E&gt;0)),0)"),"1480116041")</f>
        <v>1480116041</v>
      </c>
      <c r="H35" s="8">
        <f>IFERROR(__xludf.DUMMYFUNCTION("IFERROR(MIN(FILTER('PostestData (ViewVPL)'!D:D, 'PostestData (ViewVPL)'!C:C=A35, 'PostestData (ViewVPL)'!B:B=443,'PostestData (ViewVPL)'!D:D&gt;F35,'PostestData (ViewVPL)'!D:D&lt;G35)),0)"),"1480115329")</f>
        <v>1480115329</v>
      </c>
      <c r="I35" s="8">
        <f>IFERROR(__xludf.DUMMYFUNCTION("IFERROR(MAX(FILTER({'PostestData (Submission)'!E:E}, 'PostestData (Submission)'!D:D=A35, 'PostestData (Submission)'!A:A=443))-H35, 0)"),"797")</f>
        <v>797</v>
      </c>
      <c r="J35" s="8">
        <f>IFERROR(__xludf.DUMMYFUNCTION("IFERROR(FILTER({'PostestData (ExactPA)'!E:E}, 'PostestData (ExactPA)'!A:A=A35), 0)"),"419")</f>
        <v>419</v>
      </c>
      <c r="K35" s="8">
        <f>COUNTIFS('PostestData (Submission)'!D:D,"="&amp;A35,'PostestData (Submission)'!A:A,"=443",'PostestData (Submission)'!E:E,"&gt;0")</f>
        <v>2</v>
      </c>
      <c r="L35" s="8">
        <f>COUNTIFS('PostestData (Submission)'!D:D,"="&amp;A35,'PostestData (Submission)'!A:A,"=443",'PostestData (Submission)'!H:H,"&gt;0")</f>
        <v>1</v>
      </c>
      <c r="M35" s="8">
        <f>IFERROR(__xludf.DUMMYFUNCTION("IFERROR(MAX(FILTER('PostestData (Submission)'!I:I,'PostestData (Submission)'!D:D=A35,'PostestData (Submission)'!A:A=443,'PostestData (Submission)'!H:H&gt;0)),0)"),"10")</f>
        <v>10</v>
      </c>
      <c r="N35" s="8">
        <f>COUNTIFS('PostestData (ViewVPL)'!C:C,"="&amp;A35,'PostestData (ViewVPL)'!B:B,"=443")</f>
        <v>2</v>
      </c>
      <c r="O35" s="8">
        <f>IFERROR(__xludf.DUMMYFUNCTION("IFERROR(MAX(FILTER('PostestData (Loggedin)'!C:C,'PostestData (Loggedin)'!B:B=A35,'PostestData (Loggedin)'!C:C&lt;P35)),0)"),"1480115026")</f>
        <v>1480115026</v>
      </c>
      <c r="P35" s="8">
        <f>IFERROR(__xludf.DUMMYFUNCTION("IFERROR(MIN(FILTER({'PostestData (Submission)'!E:E}, 'PostestData (Submission)'!D:D=A35, 'PostestData (Submission)'!A:A=444, 'PostestData (Submission)'!E:E&gt;0)),0)"),"1480117146")</f>
        <v>1480117146</v>
      </c>
      <c r="Q35" s="8">
        <f>IFERROR(__xludf.DUMMYFUNCTION("IFERROR(MIN(FILTER('PostestData (ViewVPL)'!D:D, 'PostestData (ViewVPL)'!C:C=A35, 'PostestData (ViewVPL)'!B:B=444,'PostestData (ViewVPL)'!D:D&gt;O35,'PostestData (ViewVPL)'!D:D&lt;P35)),0)"),"1480116151")</f>
        <v>1480116151</v>
      </c>
      <c r="R35" s="8">
        <f>IFERROR(__xludf.DUMMYFUNCTION("IFERROR(MAX(FILTER({'PostestData (Submission)'!E:E}, 'PostestData (Submission)'!D:D=A35, 'PostestData (Submission)'!A:A=444))-Q35, 0)"),"1550")</f>
        <v>1550</v>
      </c>
      <c r="S35" s="8">
        <f>IFERROR(__xludf.DUMMYFUNCTION("IFERROR(FILTER({'PostestData (ExactPB)'!E:E}, 'PostestData (ExactPB)'!A:A=A35), 0)"),"1521")</f>
        <v>1521</v>
      </c>
      <c r="T35" s="8">
        <f>COUNTIFS('PostestData (Submission)'!D:D,"="&amp;A35,'PostestData (Submission)'!A:A,"=444",'PostestData (Submission)'!E:E,"&gt;0")</f>
        <v>9</v>
      </c>
      <c r="U35" s="8">
        <f>COUNTIFS('PostestData (Submission)'!D:D,"="&amp;A35,'PostestData (Submission)'!A:A,"=444",'PostestData (Submission)'!H:H,"&gt;0")</f>
        <v>1</v>
      </c>
      <c r="V35" s="8">
        <f>IFERROR(__xludf.DUMMYFUNCTION("IFERROR(MAX(FILTER('PostestData (Submission)'!I:I,'PostestData (Submission)'!D:D=A35,'PostestData (Submission)'!A:A=444,'PostestData (Submission)'!H:H&gt;0)),0)"),"10")</f>
        <v>10</v>
      </c>
      <c r="W35" s="8">
        <f>COUNTIFS('PostestData (ViewVPL)'!C:C,"="&amp;A35,'PostestData (ViewVPL)'!B:B,"=444")</f>
        <v>4</v>
      </c>
      <c r="X35" s="8">
        <f>IFERROR(__xludf.DUMMYFUNCTION("IFERROR(MAX(FILTER('PostestData (Loggedin)'!C:C,'PostestData (Loggedin)'!B:B=A35,'PostestData (Loggedin)'!C:C&lt;Y35)),0)"),"1480115026")</f>
        <v>1480115026</v>
      </c>
      <c r="Y35" s="8">
        <f>IFERROR(__xludf.DUMMYFUNCTION("IFERROR(MIN(FILTER({'PostestData (Submission)'!E:E}, 'PostestData (Submission)'!D:D=A35, 'PostestData (Submission)'!A:A=442, 'PostestData (Submission)'!E:E&gt;0)),0)"),"1480119288")</f>
        <v>1480119288</v>
      </c>
      <c r="Z35" s="8">
        <f>IFERROR(__xludf.DUMMYFUNCTION("IFERROR(MIN(FILTER('PostestData (ViewVPL)'!D:D, 'PostestData (ViewVPL)'!C:C=A35, 'PostestData (ViewVPL)'!B:B=442,'PostestData (ViewVPL)'!D:D&gt;X35,'PostestData (ViewVPL)'!D:D&lt;Y35)),0)"),"1480117741")</f>
        <v>1480117741</v>
      </c>
      <c r="AA35" s="8">
        <f>IFERROR(__xludf.DUMMYFUNCTION("IFERROR(MAX(FILTER({'PostestData (Submission)'!E:E}, 'PostestData (Submission)'!D:D=A35, 'PostestData (Submission)'!A:A=442))-Z35, 0)"),"1547")</f>
        <v>1547</v>
      </c>
      <c r="AB35" s="8">
        <f>IFERROR(__xludf.DUMMYFUNCTION("IFERROR(FILTER({'PostestData (ExactPC)'!E:E}, 'PostestData (ExactPC)'!A:A=A35), 0)"),"1532")</f>
        <v>1532</v>
      </c>
      <c r="AC35" s="8">
        <f>COUNTIFS('PostestData (Submission)'!D:D,"="&amp;A35,'PostestData (Submission)'!A:A,"=442",'PostestData (Submission)'!E:E,"&gt;0")</f>
        <v>1</v>
      </c>
      <c r="AD35" s="8">
        <f>COUNTIFS('PostestData (Submission)'!D:D,"="&amp;A35,'PostestData (Submission)'!A:A,"=442",'PostestData (Submission)'!H:H,"&gt;0")</f>
        <v>1</v>
      </c>
      <c r="AE35" s="8">
        <f>IFERROR(__xludf.DUMMYFUNCTION("IFERROR(MAX(FILTER('PostestData (Submission)'!I:I,'PostestData (Submission)'!D:D=A35,'PostestData (Submission)'!A:A=442,'PostestData (Submission)'!H:H&gt;0)),0)"),"10")</f>
        <v>10</v>
      </c>
      <c r="AF35" s="8">
        <f>COUNTIFS('PostestData (ViewVPL)'!C:C,"="&amp;A35,'PostestData (ViewVPL)'!B:B,"=442")</f>
        <v>3</v>
      </c>
      <c r="AG35" s="8">
        <f>IFERROR(__xludf.DUMMYFUNCTION("IFERROR(MAX(FILTER('PostestData (Loggedin)'!C:C,'PostestData (Loggedin)'!B:B=A35,'PostestData (Loggedin)'!C:C&lt;AH35)),0)"),"0")</f>
        <v>0</v>
      </c>
      <c r="AH35" s="8">
        <f>IFERROR(__xludf.DUMMYFUNCTION("IFERROR(MIN(FILTER({'PostestData (Submission)'!E:E}, 'PostestData (Submission)'!D:D=A35, 'PostestData (Submission)'!A:A=445, 'PostestData (Submission)'!E:E&gt;0)),0)"),"0")</f>
        <v>0</v>
      </c>
      <c r="AI35" s="8">
        <f>IFERROR(__xludf.DUMMYFUNCTION("IFERROR(MIN(FILTER('PostestData (ViewVPL)'!D:D, 'PostestData (ViewVPL)'!C:C=A35, 'PostestData (ViewVPL)'!B:B=445,'PostestData (ViewVPL)'!D:D&gt;AG35,'PostestData (ViewVPL)'!D:D&lt;AH35)),0)"),"0")</f>
        <v>0</v>
      </c>
      <c r="AJ35" s="8">
        <f>IFERROR(__xludf.DUMMYFUNCTION("IFERROR(MAX(FILTER({'PostestData (Submission)'!E:E}, 'PostestData (Submission)'!D:D=A35, 'PostestData (Submission)'!A:A=445))-AI35, 0)"),"0")</f>
        <v>0</v>
      </c>
      <c r="AK35" s="8">
        <f>IFERROR(__xludf.DUMMYFUNCTION("IFERROR(FILTER({'PostestData (ExactPD)'!E:E}, 'PostestData (ExactPD)'!A:A=A35), 0)"),"0")</f>
        <v>0</v>
      </c>
      <c r="AL35" s="8">
        <f>COUNTIFS('PostestData (Submission)'!D:D,"="&amp;A35,'PostestData (Submission)'!A:A,"=445",'PostestData (Submission)'!E:E,"&gt;0")</f>
        <v>0</v>
      </c>
      <c r="AM35" s="8">
        <f>COUNTIFS('PostestData (Submission)'!D:D,"="&amp;A35,'PostestData (Submission)'!A:A,"=445",'PostestData (Submission)'!H:H,"&gt;0")</f>
        <v>0</v>
      </c>
      <c r="AN35" s="8">
        <f>IFERROR(__xludf.DUMMYFUNCTION("IFERROR(MAX(FILTER('PostestData (Submission)'!I:I,'PostestData (Submission)'!D:D=A35,'PostestData (Submission)'!A:A=445,'PostestData (Submission)'!H:H&gt;0)),0)"),"0")</f>
        <v>0</v>
      </c>
      <c r="AO35" s="8">
        <f>COUNTIFS('PostestData (ViewVPL)'!C:C,"="&amp;A35,'PostestData (ViewVPL)'!B:B,"=445")</f>
        <v>1</v>
      </c>
      <c r="AP35" s="8"/>
      <c r="AQ35" s="11"/>
      <c r="AR35" s="11"/>
      <c r="AS35" s="8"/>
      <c r="AT35" s="8"/>
      <c r="AU35" s="8"/>
      <c r="AV35" s="8"/>
      <c r="AW35" s="11"/>
      <c r="AX35" s="11"/>
      <c r="AY35" s="11"/>
    </row>
    <row r="36">
      <c r="A36" s="15">
        <v>10154.0</v>
      </c>
      <c r="B36" s="16" t="s">
        <v>104</v>
      </c>
      <c r="C36" s="16" t="s">
        <v>107</v>
      </c>
      <c r="D36" s="16" t="s">
        <v>63</v>
      </c>
      <c r="E36" s="16"/>
      <c r="F36" s="8">
        <f>IFERROR(__xludf.DUMMYFUNCTION("IFERROR(MAX(FILTER('PostestData (Loggedin)'!C:C,'PostestData (Loggedin)'!B:B=A36,'PostestData (Loggedin)'!C:C&lt;G36)),0)"),"0")</f>
        <v>0</v>
      </c>
      <c r="G36" s="8">
        <f>IFERROR(__xludf.DUMMYFUNCTION("IFERROR(MIN(FILTER({'PostestData (Submission)'!E:E}, 'PostestData (Submission)'!D:D=A36, 'PostestData (Submission)'!A:A=443, 'PostestData (Submission)'!E:E&gt;0)),0)"),"0")</f>
        <v>0</v>
      </c>
      <c r="H36" s="8">
        <f>IFERROR(__xludf.DUMMYFUNCTION("IFERROR(MIN(FILTER('PostestData (ViewVPL)'!D:D, 'PostestData (ViewVPL)'!C:C=A36, 'PostestData (ViewVPL)'!B:B=443,'PostestData (ViewVPL)'!D:D&gt;F36,'PostestData (ViewVPL)'!D:D&lt;G36)),0)"),"0")</f>
        <v>0</v>
      </c>
      <c r="I36" s="8">
        <f>IFERROR(__xludf.DUMMYFUNCTION("IFERROR(MAX(FILTER({'PostestData (Submission)'!E:E}, 'PostestData (Submission)'!D:D=A36, 'PostestData (Submission)'!A:A=443))-H36, 0)"),"0")</f>
        <v>0</v>
      </c>
      <c r="J36" s="8">
        <f>IFERROR(__xludf.DUMMYFUNCTION("IFERROR(FILTER({'PostestData (ExactPA)'!E:E}, 'PostestData (ExactPA)'!A:A=A36), 0)"),"0")</f>
        <v>0</v>
      </c>
      <c r="K36" s="8">
        <f>COUNTIFS('PostestData (Submission)'!D:D,"="&amp;A36,'PostestData (Submission)'!A:A,"=443",'PostestData (Submission)'!E:E,"&gt;0")</f>
        <v>0</v>
      </c>
      <c r="L36" s="8">
        <f>COUNTIFS('PostestData (Submission)'!D:D,"="&amp;A36,'PostestData (Submission)'!A:A,"=443",'PostestData (Submission)'!H:H,"&gt;0")</f>
        <v>0</v>
      </c>
      <c r="M36" s="8">
        <f>IFERROR(__xludf.DUMMYFUNCTION("IFERROR(MAX(FILTER('PostestData (Submission)'!I:I,'PostestData (Submission)'!D:D=A36,'PostestData (Submission)'!A:A=443,'PostestData (Submission)'!H:H&gt;0)),0)"),"0")</f>
        <v>0</v>
      </c>
      <c r="N36" s="8">
        <f>COUNTIFS('PostestData (ViewVPL)'!C:C,"="&amp;A36,'PostestData (ViewVPL)'!B:B,"=443")</f>
        <v>2</v>
      </c>
      <c r="O36" s="8">
        <f>IFERROR(__xludf.DUMMYFUNCTION("IFERROR(MAX(FILTER('PostestData (Loggedin)'!C:C,'PostestData (Loggedin)'!B:B=A36,'PostestData (Loggedin)'!C:C&lt;P36)),0)"),"0")</f>
        <v>0</v>
      </c>
      <c r="P36" s="8">
        <f>IFERROR(__xludf.DUMMYFUNCTION("IFERROR(MIN(FILTER({'PostestData (Submission)'!E:E}, 'PostestData (Submission)'!D:D=A36, 'PostestData (Submission)'!A:A=444, 'PostestData (Submission)'!E:E&gt;0)),0)"),"0")</f>
        <v>0</v>
      </c>
      <c r="Q36" s="8">
        <f>IFERROR(__xludf.DUMMYFUNCTION("IFERROR(MIN(FILTER('PostestData (ViewVPL)'!D:D, 'PostestData (ViewVPL)'!C:C=A36, 'PostestData (ViewVPL)'!B:B=444,'PostestData (ViewVPL)'!D:D&gt;O36,'PostestData (ViewVPL)'!D:D&lt;P36)),0)"),"0")</f>
        <v>0</v>
      </c>
      <c r="R36" s="8">
        <f>IFERROR(__xludf.DUMMYFUNCTION("IFERROR(MAX(FILTER({'PostestData (Submission)'!E:E}, 'PostestData (Submission)'!D:D=A36, 'PostestData (Submission)'!A:A=444))-Q36, 0)"),"0")</f>
        <v>0</v>
      </c>
      <c r="S36" s="8">
        <f>IFERROR(__xludf.DUMMYFUNCTION("IFERROR(FILTER({'PostestData (ExactPB)'!E:E}, 'PostestData (ExactPB)'!A:A=A36), 0)"),"0")</f>
        <v>0</v>
      </c>
      <c r="T36" s="8">
        <f>COUNTIFS('PostestData (Submission)'!D:D,"="&amp;A36,'PostestData (Submission)'!A:A,"=444",'PostestData (Submission)'!E:E,"&gt;0")</f>
        <v>0</v>
      </c>
      <c r="U36" s="8">
        <f>COUNTIFS('PostestData (Submission)'!D:D,"="&amp;A36,'PostestData (Submission)'!A:A,"=444",'PostestData (Submission)'!H:H,"&gt;0")</f>
        <v>0</v>
      </c>
      <c r="V36" s="8">
        <f>IFERROR(__xludf.DUMMYFUNCTION("IFERROR(MAX(FILTER('PostestData (Submission)'!I:I,'PostestData (Submission)'!D:D=A36,'PostestData (Submission)'!A:A=444,'PostestData (Submission)'!H:H&gt;0)),0)"),"0")</f>
        <v>0</v>
      </c>
      <c r="W36" s="8">
        <f>COUNTIFS('PostestData (ViewVPL)'!C:C,"="&amp;A36,'PostestData (ViewVPL)'!B:B,"=444")</f>
        <v>0</v>
      </c>
      <c r="X36" s="8">
        <f>IFERROR(__xludf.DUMMYFUNCTION("IFERROR(MAX(FILTER('PostestData (Loggedin)'!C:C,'PostestData (Loggedin)'!B:B=A36,'PostestData (Loggedin)'!C:C&lt;Y36)),0)"),"0")</f>
        <v>0</v>
      </c>
      <c r="Y36" s="8">
        <f>IFERROR(__xludf.DUMMYFUNCTION("IFERROR(MIN(FILTER({'PostestData (Submission)'!E:E}, 'PostestData (Submission)'!D:D=A36, 'PostestData (Submission)'!A:A=442, 'PostestData (Submission)'!E:E&gt;0)),0)"),"0")</f>
        <v>0</v>
      </c>
      <c r="Z36" s="8">
        <f>IFERROR(__xludf.DUMMYFUNCTION("IFERROR(MIN(FILTER('PostestData (ViewVPL)'!D:D, 'PostestData (ViewVPL)'!C:C=A36, 'PostestData (ViewVPL)'!B:B=442,'PostestData (ViewVPL)'!D:D&gt;X36,'PostestData (ViewVPL)'!D:D&lt;Y36)),0)"),"0")</f>
        <v>0</v>
      </c>
      <c r="AA36" s="8">
        <f>IFERROR(__xludf.DUMMYFUNCTION("IFERROR(MAX(FILTER({'PostestData (Submission)'!E:E}, 'PostestData (Submission)'!D:D=A36, 'PostestData (Submission)'!A:A=442))-Z36, 0)"),"0")</f>
        <v>0</v>
      </c>
      <c r="AB36" s="8">
        <f>IFERROR(__xludf.DUMMYFUNCTION("IFERROR(FILTER({'PostestData (ExactPC)'!E:E}, 'PostestData (ExactPC)'!A:A=A36), 0)"),"0")</f>
        <v>0</v>
      </c>
      <c r="AC36" s="8">
        <f>COUNTIFS('PostestData (Submission)'!D:D,"="&amp;A36,'PostestData (Submission)'!A:A,"=442",'PostestData (Submission)'!E:E,"&gt;0")</f>
        <v>0</v>
      </c>
      <c r="AD36" s="8">
        <f>COUNTIFS('PostestData (Submission)'!D:D,"="&amp;A36,'PostestData (Submission)'!A:A,"=442",'PostestData (Submission)'!H:H,"&gt;0")</f>
        <v>0</v>
      </c>
      <c r="AE36" s="8">
        <f>IFERROR(__xludf.DUMMYFUNCTION("IFERROR(MAX(FILTER('PostestData (Submission)'!I:I,'PostestData (Submission)'!D:D=A36,'PostestData (Submission)'!A:A=442,'PostestData (Submission)'!H:H&gt;0)),0)"),"0")</f>
        <v>0</v>
      </c>
      <c r="AF36" s="8">
        <f>COUNTIFS('PostestData (ViewVPL)'!C:C,"="&amp;A36,'PostestData (ViewVPL)'!B:B,"=442")</f>
        <v>0</v>
      </c>
      <c r="AG36" s="8">
        <f>IFERROR(__xludf.DUMMYFUNCTION("IFERROR(MAX(FILTER('PostestData (Loggedin)'!C:C,'PostestData (Loggedin)'!B:B=A36,'PostestData (Loggedin)'!C:C&lt;AH36)),0)"),"0")</f>
        <v>0</v>
      </c>
      <c r="AH36" s="8">
        <f>IFERROR(__xludf.DUMMYFUNCTION("IFERROR(MIN(FILTER({'PostestData (Submission)'!E:E}, 'PostestData (Submission)'!D:D=A36, 'PostestData (Submission)'!A:A=445, 'PostestData (Submission)'!E:E&gt;0)),0)"),"0")</f>
        <v>0</v>
      </c>
      <c r="AI36" s="8">
        <f>IFERROR(__xludf.DUMMYFUNCTION("IFERROR(MIN(FILTER('PostestData (ViewVPL)'!D:D, 'PostestData (ViewVPL)'!C:C=A36, 'PostestData (ViewVPL)'!B:B=445,'PostestData (ViewVPL)'!D:D&gt;AG36,'PostestData (ViewVPL)'!D:D&lt;AH36)),0)"),"0")</f>
        <v>0</v>
      </c>
      <c r="AJ36" s="8">
        <f>IFERROR(__xludf.DUMMYFUNCTION("IFERROR(MAX(FILTER({'PostestData (Submission)'!E:E}, 'PostestData (Submission)'!D:D=A36, 'PostestData (Submission)'!A:A=445))-AI36, 0)"),"0")</f>
        <v>0</v>
      </c>
      <c r="AK36" s="8">
        <f>IFERROR(__xludf.DUMMYFUNCTION("IFERROR(FILTER({'PostestData (ExactPD)'!E:E}, 'PostestData (ExactPD)'!A:A=A36), 0)"),"0")</f>
        <v>0</v>
      </c>
      <c r="AL36" s="8">
        <f>COUNTIFS('PostestData (Submission)'!D:D,"="&amp;A36,'PostestData (Submission)'!A:A,"=445",'PostestData (Submission)'!E:E,"&gt;0")</f>
        <v>0</v>
      </c>
      <c r="AM36" s="8">
        <f>COUNTIFS('PostestData (Submission)'!D:D,"="&amp;A36,'PostestData (Submission)'!A:A,"=445",'PostestData (Submission)'!H:H,"&gt;0")</f>
        <v>0</v>
      </c>
      <c r="AN36" s="8">
        <f>IFERROR(__xludf.DUMMYFUNCTION("IFERROR(MAX(FILTER('PostestData (Submission)'!I:I,'PostestData (Submission)'!D:D=A36,'PostestData (Submission)'!A:A=445,'PostestData (Submission)'!H:H&gt;0)),0)"),"0")</f>
        <v>0</v>
      </c>
      <c r="AO36" s="8">
        <f>COUNTIFS('PostestData (ViewVPL)'!C:C,"="&amp;A36,'PostestData (ViewVPL)'!B:B,"=445")</f>
        <v>0</v>
      </c>
      <c r="AP36" s="8"/>
      <c r="AQ36" s="11"/>
      <c r="AR36" s="11"/>
      <c r="AS36" s="8"/>
      <c r="AT36" s="8"/>
      <c r="AU36" s="8"/>
      <c r="AV36" s="8"/>
      <c r="AW36" s="11"/>
      <c r="AX36" s="11"/>
      <c r="AY36" s="11"/>
    </row>
    <row r="37">
      <c r="A37" s="15">
        <v>10116.0</v>
      </c>
      <c r="B37" s="16" t="s">
        <v>104</v>
      </c>
      <c r="C37" s="16" t="s">
        <v>107</v>
      </c>
      <c r="D37" s="16" t="s">
        <v>47</v>
      </c>
      <c r="E37" s="16"/>
      <c r="F37" s="8">
        <f>IFERROR(__xludf.DUMMYFUNCTION("IFERROR(MAX(FILTER('PostestData (Loggedin)'!C:C,'PostestData (Loggedin)'!B:B=A37,'PostestData (Loggedin)'!C:C&lt;G37)),0)"),"1480115731")</f>
        <v>1480115731</v>
      </c>
      <c r="G37" s="8">
        <f>IFERROR(__xludf.DUMMYFUNCTION("IFERROR(MIN(FILTER({'PostestData (Submission)'!E:E}, 'PostestData (Submission)'!D:D=A37, 'PostestData (Submission)'!A:A=443, 'PostestData (Submission)'!E:E&gt;0)),0)"),"1480116479")</f>
        <v>1480116479</v>
      </c>
      <c r="H37" s="8">
        <f>IFERROR(__xludf.DUMMYFUNCTION("IFERROR(MIN(FILTER('PostestData (ViewVPL)'!D:D, 'PostestData (ViewVPL)'!C:C=A37, 'PostestData (ViewVPL)'!B:B=443,'PostestData (ViewVPL)'!D:D&gt;F37,'PostestData (ViewVPL)'!D:D&lt;G37)),0)"),"1480115902")</f>
        <v>1480115902</v>
      </c>
      <c r="I37" s="8">
        <f>IFERROR(__xludf.DUMMYFUNCTION("IFERROR(MAX(FILTER({'PostestData (Submission)'!E:E}, 'PostestData (Submission)'!D:D=A37, 'PostestData (Submission)'!A:A=443))-H37, 0)"),"1008")</f>
        <v>1008</v>
      </c>
      <c r="J37" s="8">
        <f>IFERROR(__xludf.DUMMYFUNCTION("IFERROR(FILTER({'PostestData (ExactPA)'!E:E}, 'PostestData (ExactPA)'!A:A=A37), 0)"),"921")</f>
        <v>921</v>
      </c>
      <c r="K37" s="8">
        <f>COUNTIFS('PostestData (Submission)'!D:D,"="&amp;A37,'PostestData (Submission)'!A:A,"=443",'PostestData (Submission)'!E:E,"&gt;0")</f>
        <v>5</v>
      </c>
      <c r="L37" s="8">
        <f>COUNTIFS('PostestData (Submission)'!D:D,"="&amp;A37,'PostestData (Submission)'!A:A,"=443",'PostestData (Submission)'!H:H,"&gt;0")</f>
        <v>1</v>
      </c>
      <c r="M37" s="8">
        <f>IFERROR(__xludf.DUMMYFUNCTION("IFERROR(MAX(FILTER('PostestData (Submission)'!I:I,'PostestData (Submission)'!D:D=A37,'PostestData (Submission)'!A:A=443,'PostestData (Submission)'!H:H&gt;0)),0)"),"10")</f>
        <v>10</v>
      </c>
      <c r="N37" s="8">
        <f>COUNTIFS('PostestData (ViewVPL)'!C:C,"="&amp;A37,'PostestData (ViewVPL)'!B:B,"=443")</f>
        <v>5</v>
      </c>
      <c r="O37" s="8">
        <f>IFERROR(__xludf.DUMMYFUNCTION("IFERROR(MAX(FILTER('PostestData (Loggedin)'!C:C,'PostestData (Loggedin)'!B:B=A37,'PostestData (Loggedin)'!C:C&lt;P37)),0)"),"1480115731")</f>
        <v>1480115731</v>
      </c>
      <c r="P37" s="8">
        <f>IFERROR(__xludf.DUMMYFUNCTION("IFERROR(MIN(FILTER({'PostestData (Submission)'!E:E}, 'PostestData (Submission)'!D:D=A37, 'PostestData (Submission)'!A:A=444, 'PostestData (Submission)'!E:E&gt;0)),0)"),"1480117623")</f>
        <v>1480117623</v>
      </c>
      <c r="Q37" s="8">
        <f>IFERROR(__xludf.DUMMYFUNCTION("IFERROR(MIN(FILTER('PostestData (ViewVPL)'!D:D, 'PostestData (ViewVPL)'!C:C=A37, 'PostestData (ViewVPL)'!B:B=444,'PostestData (ViewVPL)'!D:D&gt;O37,'PostestData (ViewVPL)'!D:D&lt;P37)),0)"),"1480116929")</f>
        <v>1480116929</v>
      </c>
      <c r="R37" s="8">
        <f>IFERROR(__xludf.DUMMYFUNCTION("IFERROR(MAX(FILTER({'PostestData (Submission)'!E:E}, 'PostestData (Submission)'!D:D=A37, 'PostestData (Submission)'!A:A=444))-Q37, 0)"),"2205")</f>
        <v>2205</v>
      </c>
      <c r="S37" s="8">
        <f>IFERROR(__xludf.DUMMYFUNCTION("IFERROR(FILTER({'PostestData (ExactPB)'!E:E}, 'PostestData (ExactPB)'!A:A=A37), 0)"),"2094")</f>
        <v>2094</v>
      </c>
      <c r="T37" s="8">
        <f>COUNTIFS('PostestData (Submission)'!D:D,"="&amp;A37,'PostestData (Submission)'!A:A,"=444",'PostestData (Submission)'!E:E,"&gt;0")</f>
        <v>9</v>
      </c>
      <c r="U37" s="8">
        <f>COUNTIFS('PostestData (Submission)'!D:D,"="&amp;A37,'PostestData (Submission)'!A:A,"=444",'PostestData (Submission)'!H:H,"&gt;0")</f>
        <v>1</v>
      </c>
      <c r="V37" s="8">
        <f>IFERROR(__xludf.DUMMYFUNCTION("IFERROR(MAX(FILTER('PostestData (Submission)'!I:I,'PostestData (Submission)'!D:D=A37,'PostestData (Submission)'!A:A=444,'PostestData (Submission)'!H:H&gt;0)),0)"),"10")</f>
        <v>10</v>
      </c>
      <c r="W37" s="8">
        <f>COUNTIFS('PostestData (ViewVPL)'!C:C,"="&amp;A37,'PostestData (ViewVPL)'!B:B,"=444")</f>
        <v>5</v>
      </c>
      <c r="X37" s="8">
        <f>IFERROR(__xludf.DUMMYFUNCTION("IFERROR(MAX(FILTER('PostestData (Loggedin)'!C:C,'PostestData (Loggedin)'!B:B=A37,'PostestData (Loggedin)'!C:C&lt;Y37)),0)"),"1480115731")</f>
        <v>1480115731</v>
      </c>
      <c r="Y37" s="8">
        <f>IFERROR(__xludf.DUMMYFUNCTION("IFERROR(MIN(FILTER({'PostestData (Submission)'!E:E}, 'PostestData (Submission)'!D:D=A37, 'PostestData (Submission)'!A:A=442, 'PostestData (Submission)'!E:E&gt;0)),0)"),"1480119372")</f>
        <v>1480119372</v>
      </c>
      <c r="Z37" s="8">
        <f>IFERROR(__xludf.DUMMYFUNCTION("IFERROR(MIN(FILTER('PostestData (ViewVPL)'!D:D, 'PostestData (ViewVPL)'!C:C=A37, 'PostestData (ViewVPL)'!B:B=442,'PostestData (ViewVPL)'!D:D&gt;X37,'PostestData (ViewVPL)'!D:D&lt;Y37)),0)"),"1480119148")</f>
        <v>1480119148</v>
      </c>
      <c r="AA37" s="8">
        <f>IFERROR(__xludf.DUMMYFUNCTION("IFERROR(MAX(FILTER({'PostestData (Submission)'!E:E}, 'PostestData (Submission)'!D:D=A37, 'PostestData (Submission)'!A:A=442))-Z37, 0)"),"224")</f>
        <v>224</v>
      </c>
      <c r="AB37" s="8">
        <f>IFERROR(__xludf.DUMMYFUNCTION("IFERROR(FILTER({'PostestData (ExactPC)'!E:E}, 'PostestData (ExactPC)'!A:A=A37), 0)"),"3")</f>
        <v>3</v>
      </c>
      <c r="AC37" s="8">
        <f>COUNTIFS('PostestData (Submission)'!D:D,"="&amp;A37,'PostestData (Submission)'!A:A,"=442",'PostestData (Submission)'!E:E,"&gt;0")</f>
        <v>1</v>
      </c>
      <c r="AD37" s="8">
        <f>COUNTIFS('PostestData (Submission)'!D:D,"="&amp;A37,'PostestData (Submission)'!A:A,"=442",'PostestData (Submission)'!H:H,"&gt;0")</f>
        <v>1</v>
      </c>
      <c r="AE37" s="8">
        <f>IFERROR(__xludf.DUMMYFUNCTION("IFERROR(MAX(FILTER('PostestData (Submission)'!I:I,'PostestData (Submission)'!D:D=A37,'PostestData (Submission)'!A:A=442,'PostestData (Submission)'!H:H&gt;0)),0)"),"10")</f>
        <v>10</v>
      </c>
      <c r="AF37" s="8">
        <f>COUNTIFS('PostestData (ViewVPL)'!C:C,"="&amp;A37,'PostestData (ViewVPL)'!B:B,"=442")</f>
        <v>1</v>
      </c>
      <c r="AG37" s="8">
        <f>IFERROR(__xludf.DUMMYFUNCTION("IFERROR(MAX(FILTER('PostestData (Loggedin)'!C:C,'PostestData (Loggedin)'!B:B=A37,'PostestData (Loggedin)'!C:C&lt;AH37)),0)"),"0")</f>
        <v>0</v>
      </c>
      <c r="AH37" s="8">
        <f>IFERROR(__xludf.DUMMYFUNCTION("IFERROR(MIN(FILTER({'PostestData (Submission)'!E:E}, 'PostestData (Submission)'!D:D=A37, 'PostestData (Submission)'!A:A=445, 'PostestData (Submission)'!E:E&gt;0)),0)"),"0")</f>
        <v>0</v>
      </c>
      <c r="AI37" s="8">
        <f>IFERROR(__xludf.DUMMYFUNCTION("IFERROR(MIN(FILTER('PostestData (ViewVPL)'!D:D, 'PostestData (ViewVPL)'!C:C=A37, 'PostestData (ViewVPL)'!B:B=445,'PostestData (ViewVPL)'!D:D&gt;AG37,'PostestData (ViewVPL)'!D:D&lt;AH37)),0)"),"0")</f>
        <v>0</v>
      </c>
      <c r="AJ37" s="8">
        <f>IFERROR(__xludf.DUMMYFUNCTION("IFERROR(MAX(FILTER({'PostestData (Submission)'!E:E}, 'PostestData (Submission)'!D:D=A37, 'PostestData (Submission)'!A:A=445))-AI37, 0)"),"0")</f>
        <v>0</v>
      </c>
      <c r="AK37" s="8">
        <f>IFERROR(__xludf.DUMMYFUNCTION("IFERROR(FILTER({'PostestData (ExactPD)'!E:E}, 'PostestData (ExactPD)'!A:A=A37), 0)"),"0")</f>
        <v>0</v>
      </c>
      <c r="AL37" s="8">
        <f>COUNTIFS('PostestData (Submission)'!D:D,"="&amp;A37,'PostestData (Submission)'!A:A,"=445",'PostestData (Submission)'!E:E,"&gt;0")</f>
        <v>0</v>
      </c>
      <c r="AM37" s="8">
        <f>COUNTIFS('PostestData (Submission)'!D:D,"="&amp;A37,'PostestData (Submission)'!A:A,"=445",'PostestData (Submission)'!H:H,"&gt;0")</f>
        <v>0</v>
      </c>
      <c r="AN37" s="8">
        <f>IFERROR(__xludf.DUMMYFUNCTION("IFERROR(MAX(FILTER('PostestData (Submission)'!I:I,'PostestData (Submission)'!D:D=A37,'PostestData (Submission)'!A:A=445,'PostestData (Submission)'!H:H&gt;0)),0)"),"0")</f>
        <v>0</v>
      </c>
      <c r="AO37" s="8">
        <f>COUNTIFS('PostestData (ViewVPL)'!C:C,"="&amp;A37,'PostestData (ViewVPL)'!B:B,"=445")</f>
        <v>1</v>
      </c>
      <c r="AP37" s="8"/>
      <c r="AQ37" s="11"/>
      <c r="AR37" s="11"/>
      <c r="AS37" s="8"/>
      <c r="AT37" s="8"/>
      <c r="AU37" s="8"/>
      <c r="AV37" s="8"/>
      <c r="AW37" s="11"/>
      <c r="AX37" s="11"/>
      <c r="AY37" s="11"/>
    </row>
    <row r="38">
      <c r="A38" s="15">
        <v>10160.0</v>
      </c>
      <c r="B38" s="16" t="s">
        <v>104</v>
      </c>
      <c r="C38" s="16" t="s">
        <v>108</v>
      </c>
      <c r="D38" s="16" t="s">
        <v>47</v>
      </c>
      <c r="E38" s="16"/>
      <c r="F38" s="8">
        <f>IFERROR(__xludf.DUMMYFUNCTION("IFERROR(MAX(FILTER('PostestData (Loggedin)'!C:C,'PostestData (Loggedin)'!B:B=A38,'PostestData (Loggedin)'!C:C&lt;G38)),0)"),"0")</f>
        <v>0</v>
      </c>
      <c r="G38" s="8">
        <f>IFERROR(__xludf.DUMMYFUNCTION("IFERROR(MIN(FILTER({'PostestData (Submission)'!E:E}, 'PostestData (Submission)'!D:D=A38, 'PostestData (Submission)'!A:A=443, 'PostestData (Submission)'!E:E&gt;0)),0)"),"0")</f>
        <v>0</v>
      </c>
      <c r="H38" s="8">
        <f>IFERROR(__xludf.DUMMYFUNCTION("IFERROR(MIN(FILTER('PostestData (ViewVPL)'!D:D, 'PostestData (ViewVPL)'!C:C=A38, 'PostestData (ViewVPL)'!B:B=443,'PostestData (ViewVPL)'!D:D&gt;F38,'PostestData (ViewVPL)'!D:D&lt;G38)),0)"),"0")</f>
        <v>0</v>
      </c>
      <c r="I38" s="8">
        <f>IFERROR(__xludf.DUMMYFUNCTION("IFERROR(MAX(FILTER({'PostestData (Submission)'!E:E}, 'PostestData (Submission)'!D:D=A38, 'PostestData (Submission)'!A:A=443))-H38, 0)"),"0")</f>
        <v>0</v>
      </c>
      <c r="J38" s="8">
        <f>IFERROR(__xludf.DUMMYFUNCTION("IFERROR(FILTER({'PostestData (ExactPA)'!E:E}, 'PostestData (ExactPA)'!A:A=A38), 0)"),"0")</f>
        <v>0</v>
      </c>
      <c r="K38" s="8">
        <f>COUNTIFS('PostestData (Submission)'!D:D,"="&amp;A38,'PostestData (Submission)'!A:A,"=443",'PostestData (Submission)'!E:E,"&gt;0")</f>
        <v>0</v>
      </c>
      <c r="L38" s="8">
        <f>COUNTIFS('PostestData (Submission)'!D:D,"="&amp;A38,'PostestData (Submission)'!A:A,"=443",'PostestData (Submission)'!H:H,"&gt;0")</f>
        <v>0</v>
      </c>
      <c r="M38" s="8">
        <f>IFERROR(__xludf.DUMMYFUNCTION("IFERROR(MAX(FILTER('PostestData (Submission)'!I:I,'PostestData (Submission)'!D:D=A38,'PostestData (Submission)'!A:A=443,'PostestData (Submission)'!H:H&gt;0)),0)"),"0")</f>
        <v>0</v>
      </c>
      <c r="N38" s="8">
        <f>COUNTIFS('PostestData (ViewVPL)'!C:C,"="&amp;A38,'PostestData (ViewVPL)'!B:B,"=443")</f>
        <v>0</v>
      </c>
      <c r="O38" s="8">
        <f>IFERROR(__xludf.DUMMYFUNCTION("IFERROR(MAX(FILTER('PostestData (Loggedin)'!C:C,'PostestData (Loggedin)'!B:B=A38,'PostestData (Loggedin)'!C:C&lt;P38)),0)"),"0")</f>
        <v>0</v>
      </c>
      <c r="P38" s="8">
        <f>IFERROR(__xludf.DUMMYFUNCTION("IFERROR(MIN(FILTER({'PostestData (Submission)'!E:E}, 'PostestData (Submission)'!D:D=A38, 'PostestData (Submission)'!A:A=444, 'PostestData (Submission)'!E:E&gt;0)),0)"),"0")</f>
        <v>0</v>
      </c>
      <c r="Q38" s="8">
        <f>IFERROR(__xludf.DUMMYFUNCTION("IFERROR(MIN(FILTER('PostestData (ViewVPL)'!D:D, 'PostestData (ViewVPL)'!C:C=A38, 'PostestData (ViewVPL)'!B:B=444,'PostestData (ViewVPL)'!D:D&gt;O38,'PostestData (ViewVPL)'!D:D&lt;P38)),0)"),"0")</f>
        <v>0</v>
      </c>
      <c r="R38" s="8">
        <f>IFERROR(__xludf.DUMMYFUNCTION("IFERROR(MAX(FILTER({'PostestData (Submission)'!E:E}, 'PostestData (Submission)'!D:D=A38, 'PostestData (Submission)'!A:A=444))-Q38, 0)"),"0")</f>
        <v>0</v>
      </c>
      <c r="S38" s="8">
        <f>IFERROR(__xludf.DUMMYFUNCTION("IFERROR(FILTER({'PostestData (ExactPB)'!E:E}, 'PostestData (ExactPB)'!A:A=A38), 0)"),"0")</f>
        <v>0</v>
      </c>
      <c r="T38" s="8">
        <f>COUNTIFS('PostestData (Submission)'!D:D,"="&amp;A38,'PostestData (Submission)'!A:A,"=444",'PostestData (Submission)'!E:E,"&gt;0")</f>
        <v>0</v>
      </c>
      <c r="U38" s="8">
        <f>COUNTIFS('PostestData (Submission)'!D:D,"="&amp;A38,'PostestData (Submission)'!A:A,"=444",'PostestData (Submission)'!H:H,"&gt;0")</f>
        <v>0</v>
      </c>
      <c r="V38" s="8">
        <f>IFERROR(__xludf.DUMMYFUNCTION("IFERROR(MAX(FILTER('PostestData (Submission)'!I:I,'PostestData (Submission)'!D:D=A38,'PostestData (Submission)'!A:A=444,'PostestData (Submission)'!H:H&gt;0)),0)"),"0")</f>
        <v>0</v>
      </c>
      <c r="W38" s="8">
        <f>COUNTIFS('PostestData (ViewVPL)'!C:C,"="&amp;A38,'PostestData (ViewVPL)'!B:B,"=444")</f>
        <v>0</v>
      </c>
      <c r="X38" s="8">
        <f>IFERROR(__xludf.DUMMYFUNCTION("IFERROR(MAX(FILTER('PostestData (Loggedin)'!C:C,'PostestData (Loggedin)'!B:B=A38,'PostestData (Loggedin)'!C:C&lt;Y38)),0)"),"0")</f>
        <v>0</v>
      </c>
      <c r="Y38" s="8">
        <f>IFERROR(__xludf.DUMMYFUNCTION("IFERROR(MIN(FILTER({'PostestData (Submission)'!E:E}, 'PostestData (Submission)'!D:D=A38, 'PostestData (Submission)'!A:A=442, 'PostestData (Submission)'!E:E&gt;0)),0)"),"0")</f>
        <v>0</v>
      </c>
      <c r="Z38" s="8">
        <f>IFERROR(__xludf.DUMMYFUNCTION("IFERROR(MIN(FILTER('PostestData (ViewVPL)'!D:D, 'PostestData (ViewVPL)'!C:C=A38, 'PostestData (ViewVPL)'!B:B=442,'PostestData (ViewVPL)'!D:D&gt;X38,'PostestData (ViewVPL)'!D:D&lt;Y38)),0)"),"0")</f>
        <v>0</v>
      </c>
      <c r="AA38" s="8">
        <f>IFERROR(__xludf.DUMMYFUNCTION("IFERROR(MAX(FILTER({'PostestData (Submission)'!E:E}, 'PostestData (Submission)'!D:D=A38, 'PostestData (Submission)'!A:A=442))-Z38, 0)"),"0")</f>
        <v>0</v>
      </c>
      <c r="AB38" s="8">
        <f>IFERROR(__xludf.DUMMYFUNCTION("IFERROR(FILTER({'PostestData (ExactPC)'!E:E}, 'PostestData (ExactPC)'!A:A=A38), 0)"),"0")</f>
        <v>0</v>
      </c>
      <c r="AC38" s="8">
        <f>COUNTIFS('PostestData (Submission)'!D:D,"="&amp;A38,'PostestData (Submission)'!A:A,"=442",'PostestData (Submission)'!E:E,"&gt;0")</f>
        <v>0</v>
      </c>
      <c r="AD38" s="8">
        <f>COUNTIFS('PostestData (Submission)'!D:D,"="&amp;A38,'PostestData (Submission)'!A:A,"=442",'PostestData (Submission)'!H:H,"&gt;0")</f>
        <v>0</v>
      </c>
      <c r="AE38" s="8">
        <f>IFERROR(__xludf.DUMMYFUNCTION("IFERROR(MAX(FILTER('PostestData (Submission)'!I:I,'PostestData (Submission)'!D:D=A38,'PostestData (Submission)'!A:A=442,'PostestData (Submission)'!H:H&gt;0)),0)"),"0")</f>
        <v>0</v>
      </c>
      <c r="AF38" s="8">
        <f>COUNTIFS('PostestData (ViewVPL)'!C:C,"="&amp;A38,'PostestData (ViewVPL)'!B:B,"=442")</f>
        <v>0</v>
      </c>
      <c r="AG38" s="8">
        <f>IFERROR(__xludf.DUMMYFUNCTION("IFERROR(MAX(FILTER('PostestData (Loggedin)'!C:C,'PostestData (Loggedin)'!B:B=A38,'PostestData (Loggedin)'!C:C&lt;AH38)),0)"),"0")</f>
        <v>0</v>
      </c>
      <c r="AH38" s="8">
        <f>IFERROR(__xludf.DUMMYFUNCTION("IFERROR(MIN(FILTER({'PostestData (Submission)'!E:E}, 'PostestData (Submission)'!D:D=A38, 'PostestData (Submission)'!A:A=445, 'PostestData (Submission)'!E:E&gt;0)),0)"),"0")</f>
        <v>0</v>
      </c>
      <c r="AI38" s="8">
        <f>IFERROR(__xludf.DUMMYFUNCTION("IFERROR(MIN(FILTER('PostestData (ViewVPL)'!D:D, 'PostestData (ViewVPL)'!C:C=A38, 'PostestData (ViewVPL)'!B:B=445,'PostestData (ViewVPL)'!D:D&gt;AG38,'PostestData (ViewVPL)'!D:D&lt;AH38)),0)"),"0")</f>
        <v>0</v>
      </c>
      <c r="AJ38" s="8">
        <f>IFERROR(__xludf.DUMMYFUNCTION("IFERROR(MAX(FILTER({'PostestData (Submission)'!E:E}, 'PostestData (Submission)'!D:D=A38, 'PostestData (Submission)'!A:A=445))-AI38, 0)"),"0")</f>
        <v>0</v>
      </c>
      <c r="AK38" s="8">
        <f>IFERROR(__xludf.DUMMYFUNCTION("IFERROR(FILTER({'PostestData (ExactPD)'!E:E}, 'PostestData (ExactPD)'!A:A=A38), 0)"),"0")</f>
        <v>0</v>
      </c>
      <c r="AL38" s="8">
        <f>COUNTIFS('PostestData (Submission)'!D:D,"="&amp;A38,'PostestData (Submission)'!A:A,"=445",'PostestData (Submission)'!E:E,"&gt;0")</f>
        <v>0</v>
      </c>
      <c r="AM38" s="8">
        <f>COUNTIFS('PostestData (Submission)'!D:D,"="&amp;A38,'PostestData (Submission)'!A:A,"=445",'PostestData (Submission)'!H:H,"&gt;0")</f>
        <v>0</v>
      </c>
      <c r="AN38" s="8">
        <f>IFERROR(__xludf.DUMMYFUNCTION("IFERROR(MAX(FILTER('PostestData (Submission)'!I:I,'PostestData (Submission)'!D:D=A38,'PostestData (Submission)'!A:A=445,'PostestData (Submission)'!H:H&gt;0)),0)"),"0")</f>
        <v>0</v>
      </c>
      <c r="AO38" s="8">
        <f>COUNTIFS('PostestData (ViewVPL)'!C:C,"="&amp;A38,'PostestData (ViewVPL)'!B:B,"=445")</f>
        <v>0</v>
      </c>
      <c r="AP38" s="8"/>
      <c r="AQ38" s="11"/>
      <c r="AR38" s="11"/>
      <c r="AS38" s="8"/>
      <c r="AT38" s="8"/>
      <c r="AU38" s="8"/>
      <c r="AV38" s="8"/>
      <c r="AW38" s="11"/>
      <c r="AX38" s="11"/>
      <c r="AY38" s="11"/>
    </row>
    <row r="39">
      <c r="A39" s="15">
        <v>10159.0</v>
      </c>
      <c r="B39" s="16" t="s">
        <v>104</v>
      </c>
      <c r="C39" s="16" t="s">
        <v>108</v>
      </c>
      <c r="D39" s="16" t="s">
        <v>63</v>
      </c>
      <c r="E39" s="16"/>
      <c r="F39" s="8">
        <f>IFERROR(__xludf.DUMMYFUNCTION("IFERROR(MAX(FILTER('PostestData (Loggedin)'!C:C,'PostestData (Loggedin)'!B:B=A39,'PostestData (Loggedin)'!C:C&lt;G39)),0)"),"0")</f>
        <v>0</v>
      </c>
      <c r="G39" s="8">
        <f>IFERROR(__xludf.DUMMYFUNCTION("IFERROR(MIN(FILTER({'PostestData (Submission)'!E:E}, 'PostestData (Submission)'!D:D=A39, 'PostestData (Submission)'!A:A=443, 'PostestData (Submission)'!E:E&gt;0)),0)"),"0")</f>
        <v>0</v>
      </c>
      <c r="H39" s="8">
        <f>IFERROR(__xludf.DUMMYFUNCTION("IFERROR(MIN(FILTER('PostestData (ViewVPL)'!D:D, 'PostestData (ViewVPL)'!C:C=A39, 'PostestData (ViewVPL)'!B:B=443,'PostestData (ViewVPL)'!D:D&gt;F39,'PostestData (ViewVPL)'!D:D&lt;G39)),0)"),"0")</f>
        <v>0</v>
      </c>
      <c r="I39" s="8">
        <f>IFERROR(__xludf.DUMMYFUNCTION("IFERROR(MAX(FILTER({'PostestData (Submission)'!E:E}, 'PostestData (Submission)'!D:D=A39, 'PostestData (Submission)'!A:A=443))-H39, 0)"),"0")</f>
        <v>0</v>
      </c>
      <c r="J39" s="8">
        <f>IFERROR(__xludf.DUMMYFUNCTION("IFERROR(FILTER({'PostestData (ExactPA)'!E:E}, 'PostestData (ExactPA)'!A:A=A39), 0)"),"0")</f>
        <v>0</v>
      </c>
      <c r="K39" s="8">
        <f>COUNTIFS('PostestData (Submission)'!D:D,"="&amp;A39,'PostestData (Submission)'!A:A,"=443",'PostestData (Submission)'!E:E,"&gt;0")</f>
        <v>0</v>
      </c>
      <c r="L39" s="8">
        <f>COUNTIFS('PostestData (Submission)'!D:D,"="&amp;A39,'PostestData (Submission)'!A:A,"=443",'PostestData (Submission)'!H:H,"&gt;0")</f>
        <v>0</v>
      </c>
      <c r="M39" s="8">
        <f>IFERROR(__xludf.DUMMYFUNCTION("IFERROR(MAX(FILTER('PostestData (Submission)'!I:I,'PostestData (Submission)'!D:D=A39,'PostestData (Submission)'!A:A=443,'PostestData (Submission)'!H:H&gt;0)),0)"),"0")</f>
        <v>0</v>
      </c>
      <c r="N39" s="8">
        <f>COUNTIFS('PostestData (ViewVPL)'!C:C,"="&amp;A39,'PostestData (ViewVPL)'!B:B,"=443")</f>
        <v>0</v>
      </c>
      <c r="O39" s="8">
        <f>IFERROR(__xludf.DUMMYFUNCTION("IFERROR(MAX(FILTER('PostestData (Loggedin)'!C:C,'PostestData (Loggedin)'!B:B=A39,'PostestData (Loggedin)'!C:C&lt;P39)),0)"),"0")</f>
        <v>0</v>
      </c>
      <c r="P39" s="8">
        <f>IFERROR(__xludf.DUMMYFUNCTION("IFERROR(MIN(FILTER({'PostestData (Submission)'!E:E}, 'PostestData (Submission)'!D:D=A39, 'PostestData (Submission)'!A:A=444, 'PostestData (Submission)'!E:E&gt;0)),0)"),"0")</f>
        <v>0</v>
      </c>
      <c r="Q39" s="8">
        <f>IFERROR(__xludf.DUMMYFUNCTION("IFERROR(MIN(FILTER('PostestData (ViewVPL)'!D:D, 'PostestData (ViewVPL)'!C:C=A39, 'PostestData (ViewVPL)'!B:B=444,'PostestData (ViewVPL)'!D:D&gt;O39,'PostestData (ViewVPL)'!D:D&lt;P39)),0)"),"0")</f>
        <v>0</v>
      </c>
      <c r="R39" s="8">
        <f>IFERROR(__xludf.DUMMYFUNCTION("IFERROR(MAX(FILTER({'PostestData (Submission)'!E:E}, 'PostestData (Submission)'!D:D=A39, 'PostestData (Submission)'!A:A=444))-Q39, 0)"),"0")</f>
        <v>0</v>
      </c>
      <c r="S39" s="8">
        <f>IFERROR(__xludf.DUMMYFUNCTION("IFERROR(FILTER({'PostestData (ExactPB)'!E:E}, 'PostestData (ExactPB)'!A:A=A39), 0)"),"0")</f>
        <v>0</v>
      </c>
      <c r="T39" s="8">
        <f>COUNTIFS('PostestData (Submission)'!D:D,"="&amp;A39,'PostestData (Submission)'!A:A,"=444",'PostestData (Submission)'!E:E,"&gt;0")</f>
        <v>0</v>
      </c>
      <c r="U39" s="8">
        <f>COUNTIFS('PostestData (Submission)'!D:D,"="&amp;A39,'PostestData (Submission)'!A:A,"=444",'PostestData (Submission)'!H:H,"&gt;0")</f>
        <v>0</v>
      </c>
      <c r="V39" s="8">
        <f>IFERROR(__xludf.DUMMYFUNCTION("IFERROR(MAX(FILTER('PostestData (Submission)'!I:I,'PostestData (Submission)'!D:D=A39,'PostestData (Submission)'!A:A=444,'PostestData (Submission)'!H:H&gt;0)),0)"),"0")</f>
        <v>0</v>
      </c>
      <c r="W39" s="8">
        <f>COUNTIFS('PostestData (ViewVPL)'!C:C,"="&amp;A39,'PostestData (ViewVPL)'!B:B,"=444")</f>
        <v>0</v>
      </c>
      <c r="X39" s="8">
        <f>IFERROR(__xludf.DUMMYFUNCTION("IFERROR(MAX(FILTER('PostestData (Loggedin)'!C:C,'PostestData (Loggedin)'!B:B=A39,'PostestData (Loggedin)'!C:C&lt;Y39)),0)"),"0")</f>
        <v>0</v>
      </c>
      <c r="Y39" s="8">
        <f>IFERROR(__xludf.DUMMYFUNCTION("IFERROR(MIN(FILTER({'PostestData (Submission)'!E:E}, 'PostestData (Submission)'!D:D=A39, 'PostestData (Submission)'!A:A=442, 'PostestData (Submission)'!E:E&gt;0)),0)"),"0")</f>
        <v>0</v>
      </c>
      <c r="Z39" s="8">
        <f>IFERROR(__xludf.DUMMYFUNCTION("IFERROR(MIN(FILTER('PostestData (ViewVPL)'!D:D, 'PostestData (ViewVPL)'!C:C=A39, 'PostestData (ViewVPL)'!B:B=442,'PostestData (ViewVPL)'!D:D&gt;X39,'PostestData (ViewVPL)'!D:D&lt;Y39)),0)"),"0")</f>
        <v>0</v>
      </c>
      <c r="AA39" s="8">
        <f>IFERROR(__xludf.DUMMYFUNCTION("IFERROR(MAX(FILTER({'PostestData (Submission)'!E:E}, 'PostestData (Submission)'!D:D=A39, 'PostestData (Submission)'!A:A=442))-Z39, 0)"),"0")</f>
        <v>0</v>
      </c>
      <c r="AB39" s="8">
        <f>IFERROR(__xludf.DUMMYFUNCTION("IFERROR(FILTER({'PostestData (ExactPC)'!E:E}, 'PostestData (ExactPC)'!A:A=A39), 0)"),"0")</f>
        <v>0</v>
      </c>
      <c r="AC39" s="8">
        <f>COUNTIFS('PostestData (Submission)'!D:D,"="&amp;A39,'PostestData (Submission)'!A:A,"=442",'PostestData (Submission)'!E:E,"&gt;0")</f>
        <v>0</v>
      </c>
      <c r="AD39" s="8">
        <f>COUNTIFS('PostestData (Submission)'!D:D,"="&amp;A39,'PostestData (Submission)'!A:A,"=442",'PostestData (Submission)'!H:H,"&gt;0")</f>
        <v>0</v>
      </c>
      <c r="AE39" s="8">
        <f>IFERROR(__xludf.DUMMYFUNCTION("IFERROR(MAX(FILTER('PostestData (Submission)'!I:I,'PostestData (Submission)'!D:D=A39,'PostestData (Submission)'!A:A=442,'PostestData (Submission)'!H:H&gt;0)),0)"),"0")</f>
        <v>0</v>
      </c>
      <c r="AF39" s="8">
        <f>COUNTIFS('PostestData (ViewVPL)'!C:C,"="&amp;A39,'PostestData (ViewVPL)'!B:B,"=442")</f>
        <v>0</v>
      </c>
      <c r="AG39" s="8">
        <f>IFERROR(__xludf.DUMMYFUNCTION("IFERROR(MAX(FILTER('PostestData (Loggedin)'!C:C,'PostestData (Loggedin)'!B:B=A39,'PostestData (Loggedin)'!C:C&lt;AH39)),0)"),"0")</f>
        <v>0</v>
      </c>
      <c r="AH39" s="8">
        <f>IFERROR(__xludf.DUMMYFUNCTION("IFERROR(MIN(FILTER({'PostestData (Submission)'!E:E}, 'PostestData (Submission)'!D:D=A39, 'PostestData (Submission)'!A:A=445, 'PostestData (Submission)'!E:E&gt;0)),0)"),"0")</f>
        <v>0</v>
      </c>
      <c r="AI39" s="8">
        <f>IFERROR(__xludf.DUMMYFUNCTION("IFERROR(MIN(FILTER('PostestData (ViewVPL)'!D:D, 'PostestData (ViewVPL)'!C:C=A39, 'PostestData (ViewVPL)'!B:B=445,'PostestData (ViewVPL)'!D:D&gt;AG39,'PostestData (ViewVPL)'!D:D&lt;AH39)),0)"),"0")</f>
        <v>0</v>
      </c>
      <c r="AJ39" s="8">
        <f>IFERROR(__xludf.DUMMYFUNCTION("IFERROR(MAX(FILTER({'PostestData (Submission)'!E:E}, 'PostestData (Submission)'!D:D=A39, 'PostestData (Submission)'!A:A=445))-AI39, 0)"),"0")</f>
        <v>0</v>
      </c>
      <c r="AK39" s="8">
        <f>IFERROR(__xludf.DUMMYFUNCTION("IFERROR(FILTER({'PostestData (ExactPD)'!E:E}, 'PostestData (ExactPD)'!A:A=A39), 0)"),"0")</f>
        <v>0</v>
      </c>
      <c r="AL39" s="8">
        <f>COUNTIFS('PostestData (Submission)'!D:D,"="&amp;A39,'PostestData (Submission)'!A:A,"=445",'PostestData (Submission)'!E:E,"&gt;0")</f>
        <v>0</v>
      </c>
      <c r="AM39" s="8">
        <f>COUNTIFS('PostestData (Submission)'!D:D,"="&amp;A39,'PostestData (Submission)'!A:A,"=445",'PostestData (Submission)'!H:H,"&gt;0")</f>
        <v>0</v>
      </c>
      <c r="AN39" s="8">
        <f>IFERROR(__xludf.DUMMYFUNCTION("IFERROR(MAX(FILTER('PostestData (Submission)'!I:I,'PostestData (Submission)'!D:D=A39,'PostestData (Submission)'!A:A=445,'PostestData (Submission)'!H:H&gt;0)),0)"),"0")</f>
        <v>0</v>
      </c>
      <c r="AO39" s="8">
        <f>COUNTIFS('PostestData (ViewVPL)'!C:C,"="&amp;A39,'PostestData (ViewVPL)'!B:B,"=445")</f>
        <v>0</v>
      </c>
      <c r="AP39" s="8"/>
      <c r="AQ39" s="11"/>
      <c r="AR39" s="11"/>
      <c r="AS39" s="8"/>
      <c r="AT39" s="8"/>
      <c r="AU39" s="8"/>
      <c r="AV39" s="8"/>
      <c r="AW39" s="11"/>
      <c r="AX39" s="11"/>
      <c r="AY39" s="11"/>
    </row>
    <row r="40">
      <c r="A40" s="15">
        <v>10158.0</v>
      </c>
      <c r="B40" s="16" t="s">
        <v>104</v>
      </c>
      <c r="C40" s="16" t="s">
        <v>108</v>
      </c>
      <c r="D40" s="16" t="s">
        <v>63</v>
      </c>
      <c r="E40" s="16"/>
      <c r="F40" s="8">
        <f>IFERROR(__xludf.DUMMYFUNCTION("IFERROR(MAX(FILTER('PostestData (Loggedin)'!C:C,'PostestData (Loggedin)'!B:B=A40,'PostestData (Loggedin)'!C:C&lt;G40)),0)"),"1480179604")</f>
        <v>1480179604</v>
      </c>
      <c r="G40" s="8">
        <f>IFERROR(__xludf.DUMMYFUNCTION("IFERROR(MIN(FILTER({'PostestData (Submission)'!E:E}, 'PostestData (Submission)'!D:D=A40, 'PostestData (Submission)'!A:A=443, 'PostestData (Submission)'!E:E&gt;0)),0)"),"1480180276")</f>
        <v>1480180276</v>
      </c>
      <c r="H40" s="8">
        <f>IFERROR(__xludf.DUMMYFUNCTION("IFERROR(MIN(FILTER('PostestData (ViewVPL)'!D:D, 'PostestData (ViewVPL)'!C:C=A40, 'PostestData (ViewVPL)'!B:B=443,'PostestData (ViewVPL)'!D:D&gt;F40,'PostestData (ViewVPL)'!D:D&lt;G40)),0)"),"1480179625")</f>
        <v>1480179625</v>
      </c>
      <c r="I40" s="8">
        <f>IFERROR(__xludf.DUMMYFUNCTION("IFERROR(MAX(FILTER({'PostestData (Submission)'!E:E}, 'PostestData (Submission)'!D:D=A40, 'PostestData (Submission)'!A:A=443))-H40, 0)"),"695")</f>
        <v>695</v>
      </c>
      <c r="J40" s="8">
        <f>IFERROR(__xludf.DUMMYFUNCTION("IFERROR(FILTER({'PostestData (ExactPA)'!E:E}, 'PostestData (ExactPA)'!A:A=A40), 0)"),"45")</f>
        <v>45</v>
      </c>
      <c r="K40" s="8">
        <f>COUNTIFS('PostestData (Submission)'!D:D,"="&amp;A40,'PostestData (Submission)'!A:A,"=443",'PostestData (Submission)'!E:E,"&gt;0")</f>
        <v>2</v>
      </c>
      <c r="L40" s="8">
        <f>COUNTIFS('PostestData (Submission)'!D:D,"="&amp;A40,'PostestData (Submission)'!A:A,"=443",'PostestData (Submission)'!H:H,"&gt;0")</f>
        <v>1</v>
      </c>
      <c r="M40" s="8">
        <f>IFERROR(__xludf.DUMMYFUNCTION("IFERROR(MAX(FILTER('PostestData (Submission)'!I:I,'PostestData (Submission)'!D:D=A40,'PostestData (Submission)'!A:A=443,'PostestData (Submission)'!H:H&gt;0)),0)"),"10")</f>
        <v>10</v>
      </c>
      <c r="N40" s="8">
        <f>COUNTIFS('PostestData (ViewVPL)'!C:C,"="&amp;A40,'PostestData (ViewVPL)'!B:B,"=443")</f>
        <v>4</v>
      </c>
      <c r="O40" s="8">
        <f>IFERROR(__xludf.DUMMYFUNCTION("IFERROR(MAX(FILTER('PostestData (Loggedin)'!C:C,'PostestData (Loggedin)'!B:B=A40,'PostestData (Loggedin)'!C:C&lt;P40)),0)"),"1480179604")</f>
        <v>1480179604</v>
      </c>
      <c r="P40" s="8">
        <f>IFERROR(__xludf.DUMMYFUNCTION("IFERROR(MIN(FILTER({'PostestData (Submission)'!E:E}, 'PostestData (Submission)'!D:D=A40, 'PostestData (Submission)'!A:A=444, 'PostestData (Submission)'!E:E&gt;0)),0)"),"1480183703")</f>
        <v>1480183703</v>
      </c>
      <c r="Q40" s="8">
        <f>IFERROR(__xludf.DUMMYFUNCTION("IFERROR(MIN(FILTER('PostestData (ViewVPL)'!D:D, 'PostestData (ViewVPL)'!C:C=A40, 'PostestData (ViewVPL)'!B:B=444,'PostestData (ViewVPL)'!D:D&gt;O40,'PostestData (ViewVPL)'!D:D&lt;P40)),0)"),"1480180438")</f>
        <v>1480180438</v>
      </c>
      <c r="R40" s="8">
        <f>IFERROR(__xludf.DUMMYFUNCTION("IFERROR(MAX(FILTER({'PostestData (Submission)'!E:E}, 'PostestData (Submission)'!D:D=A40, 'PostestData (Submission)'!A:A=444))-Q40, 0)"),"3265")</f>
        <v>3265</v>
      </c>
      <c r="S40" s="8">
        <f>IFERROR(__xludf.DUMMYFUNCTION("IFERROR(FILTER({'PostestData (ExactPB)'!E:E}, 'PostestData (ExactPB)'!A:A=A40), 0)"),"0")</f>
        <v>0</v>
      </c>
      <c r="T40" s="8">
        <f>COUNTIFS('PostestData (Submission)'!D:D,"="&amp;A40,'PostestData (Submission)'!A:A,"=444",'PostestData (Submission)'!E:E,"&gt;0")</f>
        <v>1</v>
      </c>
      <c r="U40" s="8">
        <f>COUNTIFS('PostestData (Submission)'!D:D,"="&amp;A40,'PostestData (Submission)'!A:A,"=444",'PostestData (Submission)'!H:H,"&gt;0")</f>
        <v>1</v>
      </c>
      <c r="V40" s="8">
        <f>IFERROR(__xludf.DUMMYFUNCTION("IFERROR(MAX(FILTER('PostestData (Submission)'!I:I,'PostestData (Submission)'!D:D=A40,'PostestData (Submission)'!A:A=444,'PostestData (Submission)'!H:H&gt;0)),0)"),"10")</f>
        <v>10</v>
      </c>
      <c r="W40" s="8">
        <f>COUNTIFS('PostestData (ViewVPL)'!C:C,"="&amp;A40,'PostestData (ViewVPL)'!B:B,"=444")</f>
        <v>3</v>
      </c>
      <c r="X40" s="8">
        <f>IFERROR(__xludf.DUMMYFUNCTION("IFERROR(MAX(FILTER('PostestData (Loggedin)'!C:C,'PostestData (Loggedin)'!B:B=A40,'PostestData (Loggedin)'!C:C&lt;Y40)),0)"),"1480277551")</f>
        <v>1480277551</v>
      </c>
      <c r="Y40" s="8">
        <f>IFERROR(__xludf.DUMMYFUNCTION("IFERROR(MIN(FILTER({'PostestData (Submission)'!E:E}, 'PostestData (Submission)'!D:D=A40, 'PostestData (Submission)'!A:A=442, 'PostestData (Submission)'!E:E&gt;0)),0)"),"1480282030")</f>
        <v>1480282030</v>
      </c>
      <c r="Z40" s="8">
        <f>IFERROR(__xludf.DUMMYFUNCTION("IFERROR(MIN(FILTER('PostestData (ViewVPL)'!D:D, 'PostestData (ViewVPL)'!C:C=A40, 'PostestData (ViewVPL)'!B:B=442,'PostestData (ViewVPL)'!D:D&gt;X40,'PostestData (ViewVPL)'!D:D&lt;Y40)),0)"),"1480280323")</f>
        <v>1480280323</v>
      </c>
      <c r="AA40" s="8">
        <f>IFERROR(__xludf.DUMMYFUNCTION("IFERROR(MAX(FILTER({'PostestData (Submission)'!E:E}, 'PostestData (Submission)'!D:D=A40, 'PostestData (Submission)'!A:A=442))-Z40, 0)"),"1707")</f>
        <v>1707</v>
      </c>
      <c r="AB40" s="8">
        <f>IFERROR(__xludf.DUMMYFUNCTION("IFERROR(FILTER({'PostestData (ExactPC)'!E:E}, 'PostestData (ExactPC)'!A:A=A40), 0)"),"12")</f>
        <v>12</v>
      </c>
      <c r="AC40" s="8">
        <f>COUNTIFS('PostestData (Submission)'!D:D,"="&amp;A40,'PostestData (Submission)'!A:A,"=442",'PostestData (Submission)'!E:E,"&gt;0")</f>
        <v>1</v>
      </c>
      <c r="AD40" s="8">
        <f>COUNTIFS('PostestData (Submission)'!D:D,"="&amp;A40,'PostestData (Submission)'!A:A,"=442",'PostestData (Submission)'!H:H,"&gt;0")</f>
        <v>1</v>
      </c>
      <c r="AE40" s="8">
        <f>IFERROR(__xludf.DUMMYFUNCTION("IFERROR(MAX(FILTER('PostestData (Submission)'!I:I,'PostestData (Submission)'!D:D=A40,'PostestData (Submission)'!A:A=442,'PostestData (Submission)'!H:H&gt;0)),0)"),"1")</f>
        <v>1</v>
      </c>
      <c r="AF40" s="8">
        <f>COUNTIFS('PostestData (ViewVPL)'!C:C,"="&amp;A40,'PostestData (ViewVPL)'!B:B,"=442")</f>
        <v>2</v>
      </c>
      <c r="AG40" s="8">
        <f>IFERROR(__xludf.DUMMYFUNCTION("IFERROR(MAX(FILTER('PostestData (Loggedin)'!C:C,'PostestData (Loggedin)'!B:B=A40,'PostestData (Loggedin)'!C:C&lt;AH40)),0)"),"0")</f>
        <v>0</v>
      </c>
      <c r="AH40" s="8">
        <f>IFERROR(__xludf.DUMMYFUNCTION("IFERROR(MIN(FILTER({'PostestData (Submission)'!E:E}, 'PostestData (Submission)'!D:D=A40, 'PostestData (Submission)'!A:A=445, 'PostestData (Submission)'!E:E&gt;0)),0)"),"0")</f>
        <v>0</v>
      </c>
      <c r="AI40" s="8">
        <f>IFERROR(__xludf.DUMMYFUNCTION("IFERROR(MIN(FILTER('PostestData (ViewVPL)'!D:D, 'PostestData (ViewVPL)'!C:C=A40, 'PostestData (ViewVPL)'!B:B=445,'PostestData (ViewVPL)'!D:D&gt;AG40,'PostestData (ViewVPL)'!D:D&lt;AH40)),0)"),"0")</f>
        <v>0</v>
      </c>
      <c r="AJ40" s="8">
        <f>IFERROR(__xludf.DUMMYFUNCTION("IFERROR(MAX(FILTER({'PostestData (Submission)'!E:E}, 'PostestData (Submission)'!D:D=A40, 'PostestData (Submission)'!A:A=445))-AI40, 0)"),"0")</f>
        <v>0</v>
      </c>
      <c r="AK40" s="8">
        <f>IFERROR(__xludf.DUMMYFUNCTION("IFERROR(FILTER({'PostestData (ExactPD)'!E:E}, 'PostestData (ExactPD)'!A:A=A40), 0)"),"0")</f>
        <v>0</v>
      </c>
      <c r="AL40" s="8">
        <f>COUNTIFS('PostestData (Submission)'!D:D,"="&amp;A40,'PostestData (Submission)'!A:A,"=445",'PostestData (Submission)'!E:E,"&gt;0")</f>
        <v>0</v>
      </c>
      <c r="AM40" s="8">
        <f>COUNTIFS('PostestData (Submission)'!D:D,"="&amp;A40,'PostestData (Submission)'!A:A,"=445",'PostestData (Submission)'!H:H,"&gt;0")</f>
        <v>0</v>
      </c>
      <c r="AN40" s="8">
        <f>IFERROR(__xludf.DUMMYFUNCTION("IFERROR(MAX(FILTER('PostestData (Submission)'!I:I,'PostestData (Submission)'!D:D=A40,'PostestData (Submission)'!A:A=445,'PostestData (Submission)'!H:H&gt;0)),0)"),"0")</f>
        <v>0</v>
      </c>
      <c r="AO40" s="8">
        <f>COUNTIFS('PostestData (ViewVPL)'!C:C,"="&amp;A40,'PostestData (ViewVPL)'!B:B,"=445")</f>
        <v>0</v>
      </c>
      <c r="AP40" s="8"/>
      <c r="AQ40" s="11"/>
      <c r="AR40" s="11"/>
      <c r="AS40" s="8"/>
      <c r="AT40" s="8"/>
      <c r="AU40" s="8"/>
      <c r="AV40" s="8"/>
      <c r="AW40" s="11"/>
      <c r="AX40" s="11"/>
      <c r="AY40" s="11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11"/>
      <c r="AR41" s="11"/>
      <c r="AS41" s="8"/>
      <c r="AT41" s="8"/>
      <c r="AU41" s="8"/>
      <c r="AV41" s="8"/>
      <c r="AW41" s="11"/>
      <c r="AX41" s="11"/>
      <c r="AY41" s="11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11"/>
      <c r="AR42" s="11"/>
      <c r="AS42" s="8"/>
      <c r="AT42" s="8"/>
      <c r="AU42" s="8"/>
      <c r="AV42" s="8"/>
      <c r="AW42" s="11"/>
      <c r="AX42" s="11"/>
      <c r="AY42" s="11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11"/>
      <c r="AR43" s="11"/>
      <c r="AS43" s="8"/>
      <c r="AT43" s="8"/>
      <c r="AU43" s="8"/>
      <c r="AV43" s="8"/>
      <c r="AW43" s="11"/>
      <c r="AX43" s="11"/>
      <c r="AY43" s="11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11"/>
      <c r="AR44" s="11"/>
      <c r="AS44" s="8"/>
      <c r="AT44" s="8"/>
      <c r="AU44" s="8"/>
      <c r="AV44" s="8"/>
      <c r="AW44" s="11"/>
      <c r="AX44" s="11"/>
      <c r="AY44" s="11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11"/>
      <c r="AR45" s="11"/>
      <c r="AS45" s="8"/>
      <c r="AT45" s="8"/>
      <c r="AU45" s="8"/>
      <c r="AV45" s="8"/>
      <c r="AW45" s="11"/>
      <c r="AX45" s="11"/>
      <c r="AY45" s="11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11"/>
      <c r="AR46" s="11"/>
      <c r="AS46" s="8"/>
      <c r="AT46" s="8"/>
      <c r="AU46" s="8"/>
      <c r="AV46" s="8"/>
      <c r="AW46" s="11"/>
      <c r="AX46" s="11"/>
      <c r="AY46" s="11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11"/>
      <c r="AR47" s="11"/>
      <c r="AS47" s="8"/>
      <c r="AT47" s="8"/>
      <c r="AU47" s="8"/>
      <c r="AV47" s="8"/>
      <c r="AW47" s="11"/>
      <c r="AX47" s="11"/>
      <c r="AY47" s="11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11"/>
      <c r="AR48" s="11"/>
      <c r="AS48" s="8"/>
      <c r="AT48" s="8"/>
      <c r="AU48" s="8"/>
      <c r="AV48" s="8"/>
      <c r="AW48" s="11"/>
      <c r="AX48" s="11"/>
      <c r="AY48" s="11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11"/>
      <c r="AR49" s="11"/>
      <c r="AS49" s="8"/>
      <c r="AT49" s="8"/>
      <c r="AU49" s="8"/>
      <c r="AV49" s="8"/>
      <c r="AW49" s="11"/>
      <c r="AX49" s="11"/>
      <c r="AY49" s="11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11"/>
      <c r="AR50" s="11"/>
      <c r="AS50" s="8"/>
      <c r="AT50" s="8"/>
      <c r="AU50" s="8"/>
      <c r="AV50" s="8"/>
      <c r="AW50" s="11"/>
      <c r="AX50" s="11"/>
      <c r="AY50" s="11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11"/>
      <c r="AR51" s="11"/>
      <c r="AS51" s="8"/>
      <c r="AT51" s="8"/>
      <c r="AU51" s="8"/>
      <c r="AV51" s="8"/>
      <c r="AW51" s="11"/>
      <c r="AX51" s="11"/>
      <c r="AY51" s="11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11"/>
      <c r="AR52" s="11"/>
      <c r="AS52" s="8"/>
      <c r="AT52" s="8"/>
      <c r="AU52" s="8"/>
      <c r="AV52" s="8"/>
      <c r="AW52" s="11"/>
      <c r="AX52" s="11"/>
      <c r="AY52" s="11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11"/>
      <c r="AR53" s="11"/>
      <c r="AS53" s="8"/>
      <c r="AT53" s="8"/>
      <c r="AU53" s="8"/>
      <c r="AV53" s="8"/>
      <c r="AW53" s="11"/>
      <c r="AX53" s="11"/>
      <c r="AY53" s="11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11"/>
      <c r="AR54" s="11"/>
      <c r="AS54" s="8"/>
      <c r="AT54" s="8"/>
      <c r="AU54" s="8"/>
      <c r="AV54" s="8"/>
      <c r="AW54" s="11"/>
      <c r="AX54" s="11"/>
      <c r="AY54" s="11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11"/>
      <c r="AR55" s="11"/>
      <c r="AS55" s="8"/>
      <c r="AT55" s="8"/>
      <c r="AU55" s="8"/>
      <c r="AV55" s="8"/>
      <c r="AW55" s="11"/>
      <c r="AX55" s="11"/>
      <c r="AY55" s="11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11"/>
      <c r="AR56" s="11"/>
      <c r="AS56" s="8"/>
      <c r="AT56" s="8"/>
      <c r="AU56" s="8"/>
      <c r="AV56" s="8"/>
      <c r="AW56" s="11"/>
      <c r="AX56" s="11"/>
      <c r="AY56" s="11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11"/>
      <c r="AR57" s="11"/>
      <c r="AS57" s="8"/>
      <c r="AT57" s="8"/>
      <c r="AU57" s="8"/>
      <c r="AV57" s="8"/>
      <c r="AW57" s="11"/>
      <c r="AX57" s="11"/>
      <c r="AY57" s="11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11"/>
      <c r="AR58" s="11"/>
      <c r="AS58" s="8"/>
      <c r="AT58" s="8"/>
      <c r="AU58" s="8"/>
      <c r="AV58" s="8"/>
      <c r="AW58" s="11"/>
      <c r="AX58" s="11"/>
      <c r="AY58" s="11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11"/>
      <c r="AR59" s="11"/>
      <c r="AS59" s="8"/>
      <c r="AT59" s="8"/>
      <c r="AU59" s="8"/>
      <c r="AV59" s="8"/>
      <c r="AW59" s="11"/>
      <c r="AX59" s="11"/>
      <c r="AY59" s="11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11"/>
      <c r="AR60" s="11"/>
      <c r="AS60" s="8"/>
      <c r="AT60" s="8"/>
      <c r="AU60" s="8"/>
      <c r="AV60" s="8"/>
      <c r="AW60" s="11"/>
      <c r="AX60" s="11"/>
      <c r="AY60" s="11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11"/>
      <c r="AR61" s="11"/>
      <c r="AS61" s="8"/>
      <c r="AT61" s="8"/>
      <c r="AU61" s="8"/>
      <c r="AV61" s="8"/>
      <c r="AW61" s="11"/>
      <c r="AX61" s="11"/>
      <c r="AY61" s="11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11"/>
      <c r="AR62" s="11"/>
      <c r="AS62" s="8"/>
      <c r="AT62" s="8"/>
      <c r="AU62" s="8"/>
      <c r="AV62" s="8"/>
      <c r="AW62" s="11"/>
      <c r="AX62" s="11"/>
      <c r="AY62" s="11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11"/>
      <c r="AR63" s="11"/>
      <c r="AS63" s="8"/>
      <c r="AT63" s="8"/>
      <c r="AU63" s="8"/>
      <c r="AV63" s="8"/>
      <c r="AW63" s="11"/>
      <c r="AX63" s="11"/>
      <c r="AY63" s="11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11"/>
      <c r="AR64" s="11"/>
      <c r="AS64" s="8"/>
      <c r="AT64" s="8"/>
      <c r="AU64" s="8"/>
      <c r="AV64" s="8"/>
      <c r="AW64" s="11"/>
      <c r="AX64" s="11"/>
      <c r="AY64" s="11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11"/>
      <c r="AR65" s="11"/>
      <c r="AS65" s="8"/>
      <c r="AT65" s="8"/>
      <c r="AU65" s="8"/>
      <c r="AV65" s="8"/>
      <c r="AW65" s="11"/>
      <c r="AX65" s="11"/>
      <c r="AY65" s="11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11"/>
      <c r="AR66" s="11"/>
      <c r="AS66" s="8"/>
      <c r="AT66" s="8"/>
      <c r="AU66" s="8"/>
      <c r="AV66" s="8"/>
      <c r="AW66" s="11"/>
      <c r="AX66" s="11"/>
      <c r="AY66" s="11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11"/>
      <c r="AR67" s="11"/>
      <c r="AS67" s="8"/>
      <c r="AT67" s="8"/>
      <c r="AU67" s="8"/>
      <c r="AV67" s="8"/>
      <c r="AW67" s="11"/>
      <c r="AX67" s="11"/>
      <c r="AY67" s="11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11"/>
      <c r="AR68" s="11"/>
      <c r="AS68" s="8"/>
      <c r="AT68" s="8"/>
      <c r="AU68" s="8"/>
      <c r="AV68" s="8"/>
      <c r="AW68" s="11"/>
      <c r="AX68" s="11"/>
      <c r="AY68" s="11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11"/>
      <c r="AR69" s="11"/>
      <c r="AS69" s="8"/>
      <c r="AT69" s="8"/>
      <c r="AU69" s="8"/>
      <c r="AV69" s="8"/>
      <c r="AW69" s="11"/>
      <c r="AX69" s="11"/>
      <c r="AY69" s="11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11"/>
      <c r="AR70" s="11"/>
      <c r="AS70" s="8"/>
      <c r="AT70" s="8"/>
      <c r="AU70" s="8"/>
      <c r="AV70" s="8"/>
      <c r="AW70" s="11"/>
      <c r="AX70" s="11"/>
      <c r="AY70" s="11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11"/>
      <c r="AR71" s="11"/>
      <c r="AS71" s="8"/>
      <c r="AT71" s="8"/>
      <c r="AU71" s="8"/>
      <c r="AV71" s="8"/>
      <c r="AW71" s="11"/>
      <c r="AX71" s="11"/>
      <c r="AY71" s="11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11"/>
      <c r="AR72" s="11"/>
      <c r="AS72" s="8"/>
      <c r="AT72" s="8"/>
      <c r="AU72" s="8"/>
      <c r="AV72" s="8"/>
      <c r="AW72" s="11"/>
      <c r="AX72" s="11"/>
      <c r="AY72" s="11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11"/>
      <c r="AR73" s="11"/>
      <c r="AS73" s="8"/>
      <c r="AT73" s="8"/>
      <c r="AU73" s="8"/>
      <c r="AV73" s="8"/>
      <c r="AW73" s="11"/>
      <c r="AX73" s="11"/>
      <c r="AY73" s="11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11"/>
      <c r="AR74" s="11"/>
      <c r="AS74" s="8"/>
      <c r="AT74" s="8"/>
      <c r="AU74" s="8"/>
      <c r="AV74" s="8"/>
      <c r="AW74" s="11"/>
      <c r="AX74" s="11"/>
      <c r="AY74" s="11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11"/>
      <c r="AR75" s="11"/>
      <c r="AS75" s="8"/>
      <c r="AT75" s="8"/>
      <c r="AU75" s="8"/>
      <c r="AV75" s="8"/>
      <c r="AW75" s="11"/>
      <c r="AX75" s="11"/>
      <c r="AY75" s="11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11"/>
      <c r="AR76" s="11"/>
      <c r="AS76" s="8"/>
      <c r="AT76" s="8"/>
      <c r="AU76" s="8"/>
      <c r="AV76" s="8"/>
      <c r="AW76" s="11"/>
      <c r="AX76" s="11"/>
      <c r="AY76" s="11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11"/>
      <c r="AR77" s="11"/>
      <c r="AS77" s="8"/>
      <c r="AT77" s="8"/>
      <c r="AU77" s="8"/>
      <c r="AV77" s="8"/>
      <c r="AW77" s="11"/>
      <c r="AX77" s="11"/>
      <c r="AY77" s="11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11"/>
      <c r="AR78" s="11"/>
      <c r="AS78" s="8"/>
      <c r="AT78" s="8"/>
      <c r="AU78" s="8"/>
      <c r="AV78" s="8"/>
      <c r="AW78" s="11"/>
      <c r="AX78" s="11"/>
      <c r="AY78" s="11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11"/>
      <c r="AR79" s="11"/>
      <c r="AS79" s="8"/>
      <c r="AT79" s="8"/>
      <c r="AU79" s="8"/>
      <c r="AV79" s="8"/>
      <c r="AW79" s="11"/>
      <c r="AX79" s="11"/>
      <c r="AY79" s="11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11"/>
      <c r="AR80" s="11"/>
      <c r="AS80" s="8"/>
      <c r="AT80" s="8"/>
      <c r="AU80" s="8"/>
      <c r="AV80" s="8"/>
      <c r="AW80" s="11"/>
      <c r="AX80" s="11"/>
      <c r="AY80" s="11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11"/>
      <c r="AR81" s="11"/>
      <c r="AS81" s="8"/>
      <c r="AT81" s="8"/>
      <c r="AU81" s="8"/>
      <c r="AV81" s="8"/>
      <c r="AW81" s="11"/>
      <c r="AX81" s="11"/>
      <c r="AY81" s="11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11"/>
      <c r="AR82" s="11"/>
      <c r="AS82" s="8"/>
      <c r="AT82" s="8"/>
      <c r="AU82" s="8"/>
      <c r="AV82" s="8"/>
      <c r="AW82" s="11"/>
      <c r="AX82" s="11"/>
      <c r="AY82" s="11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11"/>
      <c r="AR83" s="11"/>
      <c r="AS83" s="8"/>
      <c r="AT83" s="8"/>
      <c r="AU83" s="8"/>
      <c r="AV83" s="8"/>
      <c r="AW83" s="11"/>
      <c r="AX83" s="11"/>
      <c r="AY83" s="11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11"/>
      <c r="AR84" s="11"/>
      <c r="AS84" s="8"/>
      <c r="AT84" s="8"/>
      <c r="AU84" s="8"/>
      <c r="AV84" s="8"/>
      <c r="AW84" s="11"/>
      <c r="AX84" s="11"/>
      <c r="AY84" s="11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11"/>
      <c r="AR85" s="11"/>
      <c r="AS85" s="8"/>
      <c r="AT85" s="8"/>
      <c r="AU85" s="8"/>
      <c r="AV85" s="8"/>
      <c r="AW85" s="11"/>
      <c r="AX85" s="11"/>
      <c r="AY85" s="11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11"/>
      <c r="AR86" s="11"/>
      <c r="AS86" s="8"/>
      <c r="AT86" s="8"/>
      <c r="AU86" s="8"/>
      <c r="AV86" s="8"/>
      <c r="AW86" s="11"/>
      <c r="AX86" s="11"/>
      <c r="AY86" s="11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11"/>
      <c r="AR87" s="11"/>
      <c r="AS87" s="8"/>
      <c r="AT87" s="8"/>
      <c r="AU87" s="8"/>
      <c r="AV87" s="8"/>
      <c r="AW87" s="11"/>
      <c r="AX87" s="11"/>
      <c r="AY87" s="11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11"/>
      <c r="AR88" s="11"/>
      <c r="AS88" s="8"/>
      <c r="AT88" s="8"/>
      <c r="AU88" s="8"/>
      <c r="AV88" s="8"/>
      <c r="AW88" s="11"/>
      <c r="AX88" s="11"/>
      <c r="AY88" s="11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11"/>
      <c r="AR89" s="11"/>
      <c r="AS89" s="8"/>
      <c r="AT89" s="8"/>
      <c r="AU89" s="8"/>
      <c r="AV89" s="8"/>
      <c r="AW89" s="11"/>
      <c r="AX89" s="11"/>
      <c r="AY89" s="11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11"/>
      <c r="AR90" s="11"/>
      <c r="AS90" s="8"/>
      <c r="AT90" s="8"/>
      <c r="AU90" s="8"/>
      <c r="AV90" s="8"/>
      <c r="AW90" s="11"/>
      <c r="AX90" s="11"/>
      <c r="AY90" s="11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11"/>
      <c r="AR91" s="11"/>
      <c r="AS91" s="8"/>
      <c r="AT91" s="8"/>
      <c r="AU91" s="8"/>
      <c r="AV91" s="8"/>
      <c r="AW91" s="11"/>
      <c r="AX91" s="11"/>
      <c r="AY91" s="11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11"/>
      <c r="AR92" s="11"/>
      <c r="AS92" s="8"/>
      <c r="AT92" s="8"/>
      <c r="AU92" s="8"/>
      <c r="AV92" s="8"/>
      <c r="AW92" s="11"/>
      <c r="AX92" s="11"/>
      <c r="AY92" s="11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11"/>
      <c r="AR93" s="11"/>
      <c r="AS93" s="8"/>
      <c r="AT93" s="8"/>
      <c r="AU93" s="8"/>
      <c r="AV93" s="8"/>
      <c r="AW93" s="11"/>
      <c r="AX93" s="11"/>
      <c r="AY93" s="11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11"/>
      <c r="AR94" s="11"/>
      <c r="AS94" s="8"/>
      <c r="AT94" s="8"/>
      <c r="AU94" s="8"/>
      <c r="AV94" s="8"/>
      <c r="AW94" s="11"/>
      <c r="AX94" s="11"/>
      <c r="AY94" s="11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11"/>
      <c r="AR95" s="11"/>
      <c r="AS95" s="8"/>
      <c r="AT95" s="8"/>
      <c r="AU95" s="8"/>
      <c r="AV95" s="8"/>
      <c r="AW95" s="11"/>
      <c r="AX95" s="11"/>
      <c r="AY95" s="11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11"/>
      <c r="AR96" s="11"/>
      <c r="AS96" s="8"/>
      <c r="AT96" s="8"/>
      <c r="AU96" s="8"/>
      <c r="AV96" s="8"/>
      <c r="AW96" s="11"/>
      <c r="AX96" s="11"/>
      <c r="AY96" s="11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11"/>
      <c r="AR97" s="11"/>
      <c r="AS97" s="8"/>
      <c r="AT97" s="8"/>
      <c r="AU97" s="8"/>
      <c r="AV97" s="8"/>
      <c r="AW97" s="11"/>
      <c r="AX97" s="11"/>
      <c r="AY97" s="11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11"/>
      <c r="AR98" s="11"/>
      <c r="AS98" s="8"/>
      <c r="AT98" s="8"/>
      <c r="AU98" s="8"/>
      <c r="AV98" s="8"/>
      <c r="AW98" s="11"/>
      <c r="AX98" s="11"/>
      <c r="AY98" s="11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11"/>
      <c r="AR99" s="11"/>
      <c r="AS99" s="8"/>
      <c r="AT99" s="8"/>
      <c r="AU99" s="8"/>
      <c r="AV99" s="8"/>
      <c r="AW99" s="11"/>
      <c r="AX99" s="11"/>
      <c r="AY99" s="11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11"/>
      <c r="AR100" s="11"/>
      <c r="AS100" s="8"/>
      <c r="AT100" s="8"/>
      <c r="AU100" s="8"/>
      <c r="AV100" s="8"/>
      <c r="AW100" s="11"/>
      <c r="AX100" s="11"/>
      <c r="AY100" s="11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11"/>
      <c r="AR101" s="11"/>
      <c r="AS101" s="8"/>
      <c r="AT101" s="8"/>
      <c r="AU101" s="8"/>
      <c r="AV101" s="8"/>
      <c r="AW101" s="11"/>
      <c r="AX101" s="11"/>
      <c r="AY101" s="11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1"/>
      <c r="AR102" s="11"/>
      <c r="AS102" s="8"/>
      <c r="AT102" s="8"/>
      <c r="AU102" s="8"/>
      <c r="AV102" s="8"/>
      <c r="AW102" s="11"/>
      <c r="AX102" s="11"/>
      <c r="AY102" s="11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11"/>
      <c r="AR103" s="11"/>
      <c r="AS103" s="8"/>
      <c r="AT103" s="8"/>
      <c r="AU103" s="8"/>
      <c r="AV103" s="8"/>
      <c r="AW103" s="11"/>
      <c r="AX103" s="11"/>
      <c r="AY103" s="11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11"/>
      <c r="AR104" s="11"/>
      <c r="AS104" s="8"/>
      <c r="AT104" s="8"/>
      <c r="AU104" s="8"/>
      <c r="AV104" s="8"/>
      <c r="AW104" s="11"/>
      <c r="AX104" s="11"/>
      <c r="AY104" s="11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11"/>
      <c r="AR105" s="11"/>
      <c r="AS105" s="8"/>
      <c r="AT105" s="8"/>
      <c r="AU105" s="8"/>
      <c r="AV105" s="8"/>
      <c r="AW105" s="11"/>
      <c r="AX105" s="11"/>
      <c r="AY105" s="11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11"/>
      <c r="AR106" s="11"/>
      <c r="AS106" s="8"/>
      <c r="AT106" s="8"/>
      <c r="AU106" s="8"/>
      <c r="AV106" s="8"/>
      <c r="AW106" s="11"/>
      <c r="AX106" s="11"/>
      <c r="AY106" s="11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11"/>
      <c r="AR107" s="11"/>
      <c r="AS107" s="8"/>
      <c r="AT107" s="8"/>
      <c r="AU107" s="8"/>
      <c r="AV107" s="8"/>
      <c r="AW107" s="11"/>
      <c r="AX107" s="11"/>
      <c r="AY107" s="11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11"/>
      <c r="AR108" s="11"/>
      <c r="AS108" s="8"/>
      <c r="AT108" s="8"/>
      <c r="AU108" s="8"/>
      <c r="AV108" s="8"/>
      <c r="AW108" s="11"/>
      <c r="AX108" s="11"/>
      <c r="AY108" s="11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11"/>
      <c r="AR109" s="11"/>
      <c r="AS109" s="8"/>
      <c r="AT109" s="8"/>
      <c r="AU109" s="8"/>
      <c r="AV109" s="8"/>
      <c r="AW109" s="11"/>
      <c r="AX109" s="11"/>
      <c r="AY109" s="11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11"/>
      <c r="AR110" s="11"/>
      <c r="AS110" s="8"/>
      <c r="AT110" s="8"/>
      <c r="AU110" s="8"/>
      <c r="AV110" s="8"/>
      <c r="AW110" s="11"/>
      <c r="AX110" s="11"/>
      <c r="AY110" s="11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11"/>
      <c r="AR111" s="11"/>
      <c r="AS111" s="8"/>
      <c r="AT111" s="8"/>
      <c r="AU111" s="8"/>
      <c r="AV111" s="8"/>
      <c r="AW111" s="11"/>
      <c r="AX111" s="11"/>
      <c r="AY111" s="11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11"/>
      <c r="AR112" s="11"/>
      <c r="AS112" s="8"/>
      <c r="AT112" s="8"/>
      <c r="AU112" s="8"/>
      <c r="AV112" s="8"/>
      <c r="AW112" s="11"/>
      <c r="AX112" s="11"/>
      <c r="AY112" s="11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11"/>
      <c r="AR113" s="11"/>
      <c r="AS113" s="8"/>
      <c r="AT113" s="8"/>
      <c r="AU113" s="8"/>
      <c r="AV113" s="8"/>
      <c r="AW113" s="11"/>
      <c r="AX113" s="11"/>
      <c r="AY113" s="11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11"/>
      <c r="AR114" s="11"/>
      <c r="AS114" s="8"/>
      <c r="AT114" s="8"/>
      <c r="AU114" s="8"/>
      <c r="AV114" s="8"/>
      <c r="AW114" s="11"/>
      <c r="AX114" s="11"/>
      <c r="AY114" s="11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11"/>
      <c r="AR115" s="11"/>
      <c r="AS115" s="8"/>
      <c r="AT115" s="8"/>
      <c r="AU115" s="8"/>
      <c r="AV115" s="8"/>
      <c r="AW115" s="11"/>
      <c r="AX115" s="11"/>
      <c r="AY115" s="11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11"/>
      <c r="AR116" s="11"/>
      <c r="AS116" s="8"/>
      <c r="AT116" s="8"/>
      <c r="AU116" s="8"/>
      <c r="AV116" s="8"/>
      <c r="AW116" s="11"/>
      <c r="AX116" s="11"/>
      <c r="AY116" s="11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11"/>
      <c r="AR117" s="11"/>
      <c r="AS117" s="8"/>
      <c r="AT117" s="8"/>
      <c r="AU117" s="8"/>
      <c r="AV117" s="8"/>
      <c r="AW117" s="11"/>
      <c r="AX117" s="11"/>
      <c r="AY117" s="11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11"/>
      <c r="AR118" s="11"/>
      <c r="AS118" s="8"/>
      <c r="AT118" s="8"/>
      <c r="AU118" s="8"/>
      <c r="AV118" s="8"/>
      <c r="AW118" s="11"/>
      <c r="AX118" s="11"/>
      <c r="AY118" s="11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11"/>
      <c r="AR119" s="11"/>
      <c r="AS119" s="8"/>
      <c r="AT119" s="8"/>
      <c r="AU119" s="8"/>
      <c r="AV119" s="8"/>
      <c r="AW119" s="11"/>
      <c r="AX119" s="11"/>
      <c r="AY119" s="11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11"/>
      <c r="AR120" s="11"/>
      <c r="AS120" s="8"/>
      <c r="AT120" s="8"/>
      <c r="AU120" s="8"/>
      <c r="AV120" s="8"/>
      <c r="AW120" s="11"/>
      <c r="AX120" s="11"/>
      <c r="AY120" s="11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11"/>
      <c r="AR121" s="11"/>
      <c r="AS121" s="8"/>
      <c r="AT121" s="8"/>
      <c r="AU121" s="8"/>
      <c r="AV121" s="8"/>
      <c r="AW121" s="11"/>
      <c r="AX121" s="11"/>
      <c r="AY121" s="11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1"/>
      <c r="AR122" s="11"/>
      <c r="AS122" s="8"/>
      <c r="AT122" s="8"/>
      <c r="AU122" s="8"/>
      <c r="AV122" s="8"/>
      <c r="AW122" s="11"/>
      <c r="AX122" s="11"/>
      <c r="AY122" s="11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11"/>
      <c r="AR123" s="11"/>
      <c r="AS123" s="8"/>
      <c r="AT123" s="8"/>
      <c r="AU123" s="8"/>
      <c r="AV123" s="8"/>
      <c r="AW123" s="11"/>
      <c r="AX123" s="11"/>
      <c r="AY123" s="11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11"/>
      <c r="AR124" s="11"/>
      <c r="AS124" s="8"/>
      <c r="AT124" s="8"/>
      <c r="AU124" s="8"/>
      <c r="AV124" s="8"/>
      <c r="AW124" s="11"/>
      <c r="AX124" s="11"/>
      <c r="AY124" s="11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11"/>
      <c r="AR125" s="11"/>
      <c r="AS125" s="8"/>
      <c r="AT125" s="8"/>
      <c r="AU125" s="8"/>
      <c r="AV125" s="8"/>
      <c r="AW125" s="11"/>
      <c r="AX125" s="11"/>
      <c r="AY125" s="11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11"/>
      <c r="AR126" s="11"/>
      <c r="AS126" s="8"/>
      <c r="AT126" s="8"/>
      <c r="AU126" s="8"/>
      <c r="AV126" s="8"/>
      <c r="AW126" s="11"/>
      <c r="AX126" s="11"/>
      <c r="AY126" s="11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11"/>
      <c r="AR127" s="11"/>
      <c r="AS127" s="8"/>
      <c r="AT127" s="8"/>
      <c r="AU127" s="8"/>
      <c r="AV127" s="8"/>
      <c r="AW127" s="11"/>
      <c r="AX127" s="11"/>
      <c r="AY127" s="11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11"/>
      <c r="AR128" s="11"/>
      <c r="AS128" s="8"/>
      <c r="AT128" s="8"/>
      <c r="AU128" s="8"/>
      <c r="AV128" s="8"/>
      <c r="AW128" s="11"/>
      <c r="AX128" s="11"/>
      <c r="AY128" s="11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11"/>
      <c r="AR129" s="11"/>
      <c r="AS129" s="8"/>
      <c r="AT129" s="8"/>
      <c r="AU129" s="8"/>
      <c r="AV129" s="8"/>
      <c r="AW129" s="11"/>
      <c r="AX129" s="11"/>
      <c r="AY129" s="11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11"/>
      <c r="AR130" s="11"/>
      <c r="AS130" s="8"/>
      <c r="AT130" s="8"/>
      <c r="AU130" s="8"/>
      <c r="AV130" s="8"/>
      <c r="AW130" s="11"/>
      <c r="AX130" s="11"/>
      <c r="AY130" s="11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11"/>
      <c r="AR131" s="11"/>
      <c r="AS131" s="8"/>
      <c r="AT131" s="8"/>
      <c r="AU131" s="8"/>
      <c r="AV131" s="8"/>
      <c r="AW131" s="11"/>
      <c r="AX131" s="11"/>
      <c r="AY131" s="11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11"/>
      <c r="AR132" s="11"/>
      <c r="AS132" s="8"/>
      <c r="AT132" s="8"/>
      <c r="AU132" s="8"/>
      <c r="AV132" s="8"/>
      <c r="AW132" s="11"/>
      <c r="AX132" s="11"/>
      <c r="AY132" s="11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11"/>
      <c r="AR133" s="11"/>
      <c r="AS133" s="8"/>
      <c r="AT133" s="8"/>
      <c r="AU133" s="8"/>
      <c r="AV133" s="8"/>
      <c r="AW133" s="11"/>
      <c r="AX133" s="11"/>
      <c r="AY133" s="11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11"/>
      <c r="AR134" s="11"/>
      <c r="AS134" s="8"/>
      <c r="AT134" s="8"/>
      <c r="AU134" s="8"/>
      <c r="AV134" s="8"/>
      <c r="AW134" s="11"/>
      <c r="AX134" s="11"/>
      <c r="AY134" s="11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11"/>
      <c r="AR135" s="11"/>
      <c r="AS135" s="8"/>
      <c r="AT135" s="8"/>
      <c r="AU135" s="8"/>
      <c r="AV135" s="8"/>
      <c r="AW135" s="11"/>
      <c r="AX135" s="11"/>
      <c r="AY135" s="11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11"/>
      <c r="AR136" s="11"/>
      <c r="AS136" s="8"/>
      <c r="AT136" s="8"/>
      <c r="AU136" s="8"/>
      <c r="AV136" s="8"/>
      <c r="AW136" s="11"/>
      <c r="AX136" s="11"/>
      <c r="AY136" s="11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11"/>
      <c r="AR137" s="11"/>
      <c r="AS137" s="8"/>
      <c r="AT137" s="8"/>
      <c r="AU137" s="8"/>
      <c r="AV137" s="8"/>
      <c r="AW137" s="11"/>
      <c r="AX137" s="11"/>
      <c r="AY137" s="11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11"/>
      <c r="AR138" s="11"/>
      <c r="AS138" s="8"/>
      <c r="AT138" s="8"/>
      <c r="AU138" s="8"/>
      <c r="AV138" s="8"/>
      <c r="AW138" s="11"/>
      <c r="AX138" s="11"/>
      <c r="AY138" s="11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11"/>
      <c r="AR139" s="11"/>
      <c r="AS139" s="8"/>
      <c r="AT139" s="8"/>
      <c r="AU139" s="8"/>
      <c r="AV139" s="8"/>
      <c r="AW139" s="11"/>
      <c r="AX139" s="11"/>
      <c r="AY139" s="11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11"/>
      <c r="AR140" s="11"/>
      <c r="AS140" s="8"/>
      <c r="AT140" s="8"/>
      <c r="AU140" s="8"/>
      <c r="AV140" s="8"/>
      <c r="AW140" s="11"/>
      <c r="AX140" s="11"/>
      <c r="AY140" s="11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11"/>
      <c r="AR141" s="11"/>
      <c r="AS141" s="8"/>
      <c r="AT141" s="8"/>
      <c r="AU141" s="8"/>
      <c r="AV141" s="8"/>
      <c r="AW141" s="11"/>
      <c r="AX141" s="11"/>
      <c r="AY141" s="11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11"/>
      <c r="AR142" s="11"/>
      <c r="AS142" s="8"/>
      <c r="AT142" s="8"/>
      <c r="AU142" s="8"/>
      <c r="AV142" s="8"/>
      <c r="AW142" s="11"/>
      <c r="AX142" s="11"/>
      <c r="AY142" s="11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11"/>
      <c r="AR143" s="11"/>
      <c r="AS143" s="8"/>
      <c r="AT143" s="8"/>
      <c r="AU143" s="8"/>
      <c r="AV143" s="8"/>
      <c r="AW143" s="11"/>
      <c r="AX143" s="11"/>
      <c r="AY143" s="11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11"/>
      <c r="AR144" s="11"/>
      <c r="AS144" s="8"/>
      <c r="AT144" s="8"/>
      <c r="AU144" s="8"/>
      <c r="AV144" s="8"/>
      <c r="AW144" s="11"/>
      <c r="AX144" s="11"/>
      <c r="AY144" s="11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11"/>
      <c r="AR145" s="11"/>
      <c r="AS145" s="8"/>
      <c r="AT145" s="8"/>
      <c r="AU145" s="8"/>
      <c r="AV145" s="8"/>
      <c r="AW145" s="11"/>
      <c r="AX145" s="11"/>
      <c r="AY145" s="11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11"/>
      <c r="AR146" s="11"/>
      <c r="AS146" s="8"/>
      <c r="AT146" s="8"/>
      <c r="AU146" s="8"/>
      <c r="AV146" s="8"/>
      <c r="AW146" s="11"/>
      <c r="AX146" s="11"/>
      <c r="AY146" s="11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11"/>
      <c r="AR147" s="11"/>
      <c r="AS147" s="8"/>
      <c r="AT147" s="8"/>
      <c r="AU147" s="8"/>
      <c r="AV147" s="8"/>
      <c r="AW147" s="11"/>
      <c r="AX147" s="11"/>
      <c r="AY147" s="11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11"/>
      <c r="AR148" s="11"/>
      <c r="AS148" s="8"/>
      <c r="AT148" s="8"/>
      <c r="AU148" s="8"/>
      <c r="AV148" s="8"/>
      <c r="AW148" s="11"/>
      <c r="AX148" s="11"/>
      <c r="AY148" s="11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11"/>
      <c r="AR149" s="11"/>
      <c r="AS149" s="8"/>
      <c r="AT149" s="8"/>
      <c r="AU149" s="8"/>
      <c r="AV149" s="8"/>
      <c r="AW149" s="11"/>
      <c r="AX149" s="11"/>
      <c r="AY149" s="11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11"/>
      <c r="AR150" s="11"/>
      <c r="AS150" s="8"/>
      <c r="AT150" s="8"/>
      <c r="AU150" s="8"/>
      <c r="AV150" s="8"/>
      <c r="AW150" s="11"/>
      <c r="AX150" s="11"/>
      <c r="AY150" s="11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11"/>
      <c r="AR151" s="11"/>
      <c r="AS151" s="8"/>
      <c r="AT151" s="8"/>
      <c r="AU151" s="8"/>
      <c r="AV151" s="8"/>
      <c r="AW151" s="11"/>
      <c r="AX151" s="11"/>
      <c r="AY151" s="11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11"/>
      <c r="AR152" s="11"/>
      <c r="AS152" s="8"/>
      <c r="AT152" s="8"/>
      <c r="AU152" s="8"/>
      <c r="AV152" s="8"/>
      <c r="AW152" s="11"/>
      <c r="AX152" s="11"/>
      <c r="AY152" s="11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11"/>
      <c r="AR153" s="11"/>
      <c r="AS153" s="8"/>
      <c r="AT153" s="8"/>
      <c r="AU153" s="8"/>
      <c r="AV153" s="8"/>
      <c r="AW153" s="11"/>
      <c r="AX153" s="11"/>
      <c r="AY153" s="11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11"/>
      <c r="AR154" s="11"/>
      <c r="AS154" s="8"/>
      <c r="AT154" s="8"/>
      <c r="AU154" s="8"/>
      <c r="AV154" s="8"/>
      <c r="AW154" s="11"/>
      <c r="AX154" s="11"/>
      <c r="AY154" s="11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11"/>
      <c r="AR155" s="11"/>
      <c r="AS155" s="8"/>
      <c r="AT155" s="8"/>
      <c r="AU155" s="8"/>
      <c r="AV155" s="8"/>
      <c r="AW155" s="11"/>
      <c r="AX155" s="11"/>
      <c r="AY155" s="11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11"/>
      <c r="AR156" s="11"/>
      <c r="AS156" s="8"/>
      <c r="AT156" s="8"/>
      <c r="AU156" s="8"/>
      <c r="AV156" s="8"/>
      <c r="AW156" s="11"/>
      <c r="AX156" s="11"/>
      <c r="AY156" s="11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11"/>
      <c r="AR157" s="11"/>
      <c r="AS157" s="8"/>
      <c r="AT157" s="8"/>
      <c r="AU157" s="8"/>
      <c r="AV157" s="8"/>
      <c r="AW157" s="11"/>
      <c r="AX157" s="11"/>
      <c r="AY157" s="11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11"/>
      <c r="AR158" s="11"/>
      <c r="AS158" s="8"/>
      <c r="AT158" s="8"/>
      <c r="AU158" s="8"/>
      <c r="AV158" s="8"/>
      <c r="AW158" s="11"/>
      <c r="AX158" s="11"/>
      <c r="AY158" s="11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11"/>
      <c r="AR159" s="11"/>
      <c r="AS159" s="8"/>
      <c r="AT159" s="8"/>
      <c r="AU159" s="8"/>
      <c r="AV159" s="8"/>
      <c r="AW159" s="11"/>
      <c r="AX159" s="11"/>
      <c r="AY159" s="11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11"/>
      <c r="AR160" s="11"/>
      <c r="AS160" s="8"/>
      <c r="AT160" s="8"/>
      <c r="AU160" s="8"/>
      <c r="AV160" s="8"/>
      <c r="AW160" s="11"/>
      <c r="AX160" s="11"/>
      <c r="AY160" s="11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11"/>
      <c r="AR161" s="11"/>
      <c r="AS161" s="8"/>
      <c r="AT161" s="8"/>
      <c r="AU161" s="8"/>
      <c r="AV161" s="8"/>
      <c r="AW161" s="11"/>
      <c r="AX161" s="11"/>
      <c r="AY161" s="11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11"/>
      <c r="AR162" s="11"/>
      <c r="AS162" s="8"/>
      <c r="AT162" s="8"/>
      <c r="AU162" s="8"/>
      <c r="AV162" s="8"/>
      <c r="AW162" s="11"/>
      <c r="AX162" s="11"/>
      <c r="AY162" s="11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11"/>
      <c r="AR163" s="11"/>
      <c r="AS163" s="8"/>
      <c r="AT163" s="8"/>
      <c r="AU163" s="8"/>
      <c r="AV163" s="8"/>
      <c r="AW163" s="11"/>
      <c r="AX163" s="11"/>
      <c r="AY163" s="11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11"/>
      <c r="AR164" s="11"/>
      <c r="AS164" s="8"/>
      <c r="AT164" s="8"/>
      <c r="AU164" s="8"/>
      <c r="AV164" s="8"/>
      <c r="AW164" s="11"/>
      <c r="AX164" s="11"/>
      <c r="AY164" s="11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11"/>
      <c r="AR165" s="11"/>
      <c r="AS165" s="8"/>
      <c r="AT165" s="8"/>
      <c r="AU165" s="8"/>
      <c r="AV165" s="8"/>
      <c r="AW165" s="11"/>
      <c r="AX165" s="11"/>
      <c r="AY165" s="11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11"/>
      <c r="AR166" s="11"/>
      <c r="AS166" s="8"/>
      <c r="AT166" s="8"/>
      <c r="AU166" s="8"/>
      <c r="AV166" s="8"/>
      <c r="AW166" s="11"/>
      <c r="AX166" s="11"/>
      <c r="AY166" s="11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11"/>
      <c r="AR167" s="11"/>
      <c r="AS167" s="8"/>
      <c r="AT167" s="8"/>
      <c r="AU167" s="8"/>
      <c r="AV167" s="8"/>
      <c r="AW167" s="11"/>
      <c r="AX167" s="11"/>
      <c r="AY167" s="11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11"/>
      <c r="AR168" s="11"/>
      <c r="AS168" s="8"/>
      <c r="AT168" s="8"/>
      <c r="AU168" s="8"/>
      <c r="AV168" s="8"/>
      <c r="AW168" s="11"/>
      <c r="AX168" s="11"/>
      <c r="AY168" s="11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11"/>
      <c r="AR169" s="11"/>
      <c r="AS169" s="8"/>
      <c r="AT169" s="8"/>
      <c r="AU169" s="8"/>
      <c r="AV169" s="8"/>
      <c r="AW169" s="11"/>
      <c r="AX169" s="11"/>
      <c r="AY169" s="11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11"/>
      <c r="AR170" s="11"/>
      <c r="AS170" s="8"/>
      <c r="AT170" s="8"/>
      <c r="AU170" s="8"/>
      <c r="AV170" s="8"/>
      <c r="AW170" s="11"/>
      <c r="AX170" s="11"/>
      <c r="AY170" s="11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11"/>
      <c r="AR171" s="11"/>
      <c r="AS171" s="8"/>
      <c r="AT171" s="8"/>
      <c r="AU171" s="8"/>
      <c r="AV171" s="8"/>
      <c r="AW171" s="11"/>
      <c r="AX171" s="11"/>
      <c r="AY171" s="11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11"/>
      <c r="AR172" s="11"/>
      <c r="AS172" s="8"/>
      <c r="AT172" s="8"/>
      <c r="AU172" s="8"/>
      <c r="AV172" s="8"/>
      <c r="AW172" s="11"/>
      <c r="AX172" s="11"/>
      <c r="AY172" s="11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11"/>
      <c r="AR173" s="11"/>
      <c r="AS173" s="8"/>
      <c r="AT173" s="8"/>
      <c r="AU173" s="8"/>
      <c r="AV173" s="8"/>
      <c r="AW173" s="11"/>
      <c r="AX173" s="11"/>
      <c r="AY173" s="11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11"/>
      <c r="AR174" s="11"/>
      <c r="AS174" s="8"/>
      <c r="AT174" s="8"/>
      <c r="AU174" s="8"/>
      <c r="AV174" s="8"/>
      <c r="AW174" s="11"/>
      <c r="AX174" s="11"/>
      <c r="AY174" s="11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11"/>
      <c r="AR175" s="11"/>
      <c r="AS175" s="8"/>
      <c r="AT175" s="8"/>
      <c r="AU175" s="8"/>
      <c r="AV175" s="8"/>
      <c r="AW175" s="11"/>
      <c r="AX175" s="11"/>
      <c r="AY175" s="11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11"/>
      <c r="AR176" s="11"/>
      <c r="AS176" s="8"/>
      <c r="AT176" s="8"/>
      <c r="AU176" s="8"/>
      <c r="AV176" s="8"/>
      <c r="AW176" s="11"/>
      <c r="AX176" s="11"/>
      <c r="AY176" s="11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11"/>
      <c r="AR177" s="11"/>
      <c r="AS177" s="8"/>
      <c r="AT177" s="8"/>
      <c r="AU177" s="8"/>
      <c r="AV177" s="8"/>
      <c r="AW177" s="11"/>
      <c r="AX177" s="11"/>
      <c r="AY177" s="11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11"/>
      <c r="AR178" s="11"/>
      <c r="AS178" s="8"/>
      <c r="AT178" s="8"/>
      <c r="AU178" s="8"/>
      <c r="AV178" s="8"/>
      <c r="AW178" s="11"/>
      <c r="AX178" s="11"/>
      <c r="AY178" s="11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11"/>
      <c r="AR179" s="11"/>
      <c r="AS179" s="8"/>
      <c r="AT179" s="8"/>
      <c r="AU179" s="8"/>
      <c r="AV179" s="8"/>
      <c r="AW179" s="11"/>
      <c r="AX179" s="11"/>
      <c r="AY179" s="11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11"/>
      <c r="AR180" s="11"/>
      <c r="AS180" s="8"/>
      <c r="AT180" s="8"/>
      <c r="AU180" s="8"/>
      <c r="AV180" s="8"/>
      <c r="AW180" s="11"/>
      <c r="AX180" s="11"/>
      <c r="AY180" s="11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11"/>
      <c r="AR181" s="11"/>
      <c r="AS181" s="8"/>
      <c r="AT181" s="8"/>
      <c r="AU181" s="8"/>
      <c r="AV181" s="8"/>
      <c r="AW181" s="11"/>
      <c r="AX181" s="11"/>
      <c r="AY181" s="11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11"/>
      <c r="AR182" s="11"/>
      <c r="AS182" s="8"/>
      <c r="AT182" s="8"/>
      <c r="AU182" s="8"/>
      <c r="AV182" s="8"/>
      <c r="AW182" s="11"/>
      <c r="AX182" s="11"/>
      <c r="AY182" s="11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11"/>
      <c r="AR183" s="11"/>
      <c r="AS183" s="8"/>
      <c r="AT183" s="8"/>
      <c r="AU183" s="8"/>
      <c r="AV183" s="8"/>
      <c r="AW183" s="11"/>
      <c r="AX183" s="11"/>
      <c r="AY183" s="11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11"/>
      <c r="AR184" s="11"/>
      <c r="AS184" s="8"/>
      <c r="AT184" s="8"/>
      <c r="AU184" s="8"/>
      <c r="AV184" s="8"/>
      <c r="AW184" s="11"/>
      <c r="AX184" s="11"/>
      <c r="AY184" s="11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11"/>
      <c r="AR185" s="11"/>
      <c r="AS185" s="8"/>
      <c r="AT185" s="8"/>
      <c r="AU185" s="8"/>
      <c r="AV185" s="8"/>
      <c r="AW185" s="11"/>
      <c r="AX185" s="11"/>
      <c r="AY185" s="11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11"/>
      <c r="AR186" s="11"/>
      <c r="AS186" s="8"/>
      <c r="AT186" s="8"/>
      <c r="AU186" s="8"/>
      <c r="AV186" s="8"/>
      <c r="AW186" s="11"/>
      <c r="AX186" s="11"/>
      <c r="AY186" s="11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11"/>
      <c r="AR187" s="11"/>
      <c r="AS187" s="8"/>
      <c r="AT187" s="8"/>
      <c r="AU187" s="8"/>
      <c r="AV187" s="8"/>
      <c r="AW187" s="11"/>
      <c r="AX187" s="11"/>
      <c r="AY187" s="11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11"/>
      <c r="AR188" s="11"/>
      <c r="AS188" s="8"/>
      <c r="AT188" s="8"/>
      <c r="AU188" s="8"/>
      <c r="AV188" s="8"/>
      <c r="AW188" s="11"/>
      <c r="AX188" s="11"/>
      <c r="AY188" s="11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11"/>
      <c r="AR189" s="11"/>
      <c r="AS189" s="8"/>
      <c r="AT189" s="8"/>
      <c r="AU189" s="8"/>
      <c r="AV189" s="8"/>
      <c r="AW189" s="11"/>
      <c r="AX189" s="11"/>
      <c r="AY189" s="11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11"/>
      <c r="AR190" s="11"/>
      <c r="AS190" s="8"/>
      <c r="AT190" s="8"/>
      <c r="AU190" s="8"/>
      <c r="AV190" s="8"/>
      <c r="AW190" s="11"/>
      <c r="AX190" s="11"/>
      <c r="AY190" s="11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11"/>
      <c r="AR191" s="11"/>
      <c r="AS191" s="8"/>
      <c r="AT191" s="8"/>
      <c r="AU191" s="8"/>
      <c r="AV191" s="8"/>
      <c r="AW191" s="11"/>
      <c r="AX191" s="11"/>
      <c r="AY191" s="11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11"/>
      <c r="AR192" s="11"/>
      <c r="AS192" s="8"/>
      <c r="AT192" s="8"/>
      <c r="AU192" s="8"/>
      <c r="AV192" s="8"/>
      <c r="AW192" s="11"/>
      <c r="AX192" s="11"/>
      <c r="AY192" s="11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11"/>
      <c r="AR193" s="11"/>
      <c r="AS193" s="8"/>
      <c r="AT193" s="8"/>
      <c r="AU193" s="8"/>
      <c r="AV193" s="8"/>
      <c r="AW193" s="11"/>
      <c r="AX193" s="11"/>
      <c r="AY193" s="11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11"/>
      <c r="AR194" s="11"/>
      <c r="AS194" s="8"/>
      <c r="AT194" s="8"/>
      <c r="AU194" s="8"/>
      <c r="AV194" s="8"/>
      <c r="AW194" s="11"/>
      <c r="AX194" s="11"/>
      <c r="AY194" s="11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11"/>
      <c r="AR195" s="11"/>
      <c r="AS195" s="8"/>
      <c r="AT195" s="8"/>
      <c r="AU195" s="8"/>
      <c r="AV195" s="8"/>
      <c r="AW195" s="11"/>
      <c r="AX195" s="11"/>
      <c r="AY195" s="11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11"/>
      <c r="AR196" s="11"/>
      <c r="AS196" s="8"/>
      <c r="AT196" s="8"/>
      <c r="AU196" s="8"/>
      <c r="AV196" s="8"/>
      <c r="AW196" s="11"/>
      <c r="AX196" s="11"/>
      <c r="AY196" s="11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11"/>
      <c r="AR197" s="11"/>
      <c r="AS197" s="8"/>
      <c r="AT197" s="8"/>
      <c r="AU197" s="8"/>
      <c r="AV197" s="8"/>
      <c r="AW197" s="11"/>
      <c r="AX197" s="11"/>
      <c r="AY197" s="11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11"/>
      <c r="AR198" s="11"/>
      <c r="AS198" s="8"/>
      <c r="AT198" s="8"/>
      <c r="AU198" s="8"/>
      <c r="AV198" s="8"/>
      <c r="AW198" s="11"/>
      <c r="AX198" s="11"/>
      <c r="AY198" s="11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11"/>
      <c r="AR199" s="11"/>
      <c r="AS199" s="8"/>
      <c r="AT199" s="8"/>
      <c r="AU199" s="8"/>
      <c r="AV199" s="8"/>
      <c r="AW199" s="11"/>
      <c r="AX199" s="11"/>
      <c r="AY199" s="11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11"/>
      <c r="AR200" s="11"/>
      <c r="AS200" s="8"/>
      <c r="AT200" s="8"/>
      <c r="AU200" s="8"/>
      <c r="AV200" s="8"/>
      <c r="AW200" s="11"/>
      <c r="AX200" s="11"/>
      <c r="AY200" s="11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11"/>
      <c r="AR201" s="11"/>
      <c r="AS201" s="8"/>
      <c r="AT201" s="8"/>
      <c r="AU201" s="8"/>
      <c r="AV201" s="8"/>
      <c r="AW201" s="11"/>
      <c r="AX201" s="11"/>
      <c r="AY201" s="11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11"/>
      <c r="AR202" s="11"/>
      <c r="AS202" s="8"/>
      <c r="AT202" s="8"/>
      <c r="AU202" s="8"/>
      <c r="AV202" s="8"/>
      <c r="AW202" s="11"/>
      <c r="AX202" s="11"/>
      <c r="AY202" s="11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11"/>
      <c r="AR203" s="11"/>
      <c r="AS203" s="8"/>
      <c r="AT203" s="8"/>
      <c r="AU203" s="8"/>
      <c r="AV203" s="8"/>
      <c r="AW203" s="11"/>
      <c r="AX203" s="11"/>
      <c r="AY203" s="11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11"/>
      <c r="AR204" s="11"/>
      <c r="AS204" s="8"/>
      <c r="AT204" s="8"/>
      <c r="AU204" s="8"/>
      <c r="AV204" s="8"/>
      <c r="AW204" s="11"/>
      <c r="AX204" s="11"/>
      <c r="AY204" s="11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11"/>
      <c r="AR205" s="11"/>
      <c r="AS205" s="8"/>
      <c r="AT205" s="8"/>
      <c r="AU205" s="8"/>
      <c r="AV205" s="8"/>
      <c r="AW205" s="11"/>
      <c r="AX205" s="11"/>
      <c r="AY205" s="11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11"/>
      <c r="AR206" s="11"/>
      <c r="AS206" s="8"/>
      <c r="AT206" s="8"/>
      <c r="AU206" s="8"/>
      <c r="AV206" s="8"/>
      <c r="AW206" s="11"/>
      <c r="AX206" s="11"/>
      <c r="AY206" s="11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11"/>
      <c r="AR207" s="11"/>
      <c r="AS207" s="8"/>
      <c r="AT207" s="8"/>
      <c r="AU207" s="8"/>
      <c r="AV207" s="8"/>
      <c r="AW207" s="11"/>
      <c r="AX207" s="11"/>
      <c r="AY207" s="11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11"/>
      <c r="AR208" s="11"/>
      <c r="AS208" s="8"/>
      <c r="AT208" s="8"/>
      <c r="AU208" s="8"/>
      <c r="AV208" s="8"/>
      <c r="AW208" s="11"/>
      <c r="AX208" s="11"/>
      <c r="AY208" s="11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11"/>
      <c r="AR209" s="11"/>
      <c r="AS209" s="8"/>
      <c r="AT209" s="8"/>
      <c r="AU209" s="8"/>
      <c r="AV209" s="8"/>
      <c r="AW209" s="11"/>
      <c r="AX209" s="11"/>
      <c r="AY209" s="11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11"/>
      <c r="AR210" s="11"/>
      <c r="AS210" s="8"/>
      <c r="AT210" s="8"/>
      <c r="AU210" s="8"/>
      <c r="AV210" s="8"/>
      <c r="AW210" s="11"/>
      <c r="AX210" s="11"/>
      <c r="AY210" s="11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11"/>
      <c r="AR211" s="11"/>
      <c r="AS211" s="8"/>
      <c r="AT211" s="8"/>
      <c r="AU211" s="8"/>
      <c r="AV211" s="8"/>
      <c r="AW211" s="11"/>
      <c r="AX211" s="11"/>
      <c r="AY211" s="11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11"/>
      <c r="AR212" s="11"/>
      <c r="AS212" s="8"/>
      <c r="AT212" s="8"/>
      <c r="AU212" s="8"/>
      <c r="AV212" s="8"/>
      <c r="AW212" s="11"/>
      <c r="AX212" s="11"/>
      <c r="AY212" s="11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11"/>
      <c r="AR213" s="11"/>
      <c r="AS213" s="8"/>
      <c r="AT213" s="8"/>
      <c r="AU213" s="8"/>
      <c r="AV213" s="8"/>
      <c r="AW213" s="11"/>
      <c r="AX213" s="11"/>
      <c r="AY213" s="11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11"/>
      <c r="AR214" s="11"/>
      <c r="AS214" s="8"/>
      <c r="AT214" s="8"/>
      <c r="AU214" s="8"/>
      <c r="AV214" s="8"/>
      <c r="AW214" s="11"/>
      <c r="AX214" s="11"/>
      <c r="AY214" s="11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11"/>
      <c r="AR215" s="11"/>
      <c r="AS215" s="8"/>
      <c r="AT215" s="8"/>
      <c r="AU215" s="8"/>
      <c r="AV215" s="8"/>
      <c r="AW215" s="11"/>
      <c r="AX215" s="11"/>
      <c r="AY215" s="11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11"/>
      <c r="AR216" s="11"/>
      <c r="AS216" s="8"/>
      <c r="AT216" s="8"/>
      <c r="AU216" s="8"/>
      <c r="AV216" s="8"/>
      <c r="AW216" s="11"/>
      <c r="AX216" s="11"/>
      <c r="AY216" s="11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11"/>
      <c r="AR217" s="11"/>
      <c r="AS217" s="8"/>
      <c r="AT217" s="8"/>
      <c r="AU217" s="8"/>
      <c r="AV217" s="8"/>
      <c r="AW217" s="11"/>
      <c r="AX217" s="11"/>
      <c r="AY217" s="11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11"/>
      <c r="AR218" s="11"/>
      <c r="AS218" s="8"/>
      <c r="AT218" s="8"/>
      <c r="AU218" s="8"/>
      <c r="AV218" s="8"/>
      <c r="AW218" s="11"/>
      <c r="AX218" s="11"/>
      <c r="AY218" s="11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11"/>
      <c r="AR219" s="11"/>
      <c r="AS219" s="8"/>
      <c r="AT219" s="8"/>
      <c r="AU219" s="8"/>
      <c r="AV219" s="8"/>
      <c r="AW219" s="11"/>
      <c r="AX219" s="11"/>
      <c r="AY219" s="11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11"/>
      <c r="AR220" s="11"/>
      <c r="AS220" s="8"/>
      <c r="AT220" s="8"/>
      <c r="AU220" s="8"/>
      <c r="AV220" s="8"/>
      <c r="AW220" s="11"/>
      <c r="AX220" s="11"/>
      <c r="AY220" s="11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11"/>
      <c r="AR221" s="11"/>
      <c r="AS221" s="8"/>
      <c r="AT221" s="8"/>
      <c r="AU221" s="8"/>
      <c r="AV221" s="8"/>
      <c r="AW221" s="11"/>
      <c r="AX221" s="11"/>
      <c r="AY221" s="11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11"/>
      <c r="AR222" s="11"/>
      <c r="AS222" s="8"/>
      <c r="AT222" s="8"/>
      <c r="AU222" s="8"/>
      <c r="AV222" s="8"/>
      <c r="AW222" s="11"/>
      <c r="AX222" s="11"/>
      <c r="AY222" s="11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11"/>
      <c r="AR223" s="11"/>
      <c r="AS223" s="8"/>
      <c r="AT223" s="8"/>
      <c r="AU223" s="8"/>
      <c r="AV223" s="8"/>
      <c r="AW223" s="11"/>
      <c r="AX223" s="11"/>
      <c r="AY223" s="11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11"/>
      <c r="AR224" s="11"/>
      <c r="AS224" s="8"/>
      <c r="AT224" s="8"/>
      <c r="AU224" s="8"/>
      <c r="AV224" s="8"/>
      <c r="AW224" s="11"/>
      <c r="AX224" s="11"/>
      <c r="AY224" s="11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11"/>
      <c r="AR225" s="11"/>
      <c r="AS225" s="8"/>
      <c r="AT225" s="8"/>
      <c r="AU225" s="8"/>
      <c r="AV225" s="8"/>
      <c r="AW225" s="11"/>
      <c r="AX225" s="11"/>
      <c r="AY225" s="11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11"/>
      <c r="AR226" s="11"/>
      <c r="AS226" s="8"/>
      <c r="AT226" s="8"/>
      <c r="AU226" s="8"/>
      <c r="AV226" s="8"/>
      <c r="AW226" s="11"/>
      <c r="AX226" s="11"/>
      <c r="AY226" s="11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11"/>
      <c r="AR227" s="11"/>
      <c r="AS227" s="8"/>
      <c r="AT227" s="8"/>
      <c r="AU227" s="8"/>
      <c r="AV227" s="8"/>
      <c r="AW227" s="11"/>
      <c r="AX227" s="11"/>
      <c r="AY227" s="11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11"/>
      <c r="AR228" s="11"/>
      <c r="AS228" s="8"/>
      <c r="AT228" s="8"/>
      <c r="AU228" s="8"/>
      <c r="AV228" s="8"/>
      <c r="AW228" s="11"/>
      <c r="AX228" s="11"/>
      <c r="AY228" s="11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11"/>
      <c r="AR229" s="11"/>
      <c r="AS229" s="8"/>
      <c r="AT229" s="8"/>
      <c r="AU229" s="8"/>
      <c r="AV229" s="8"/>
      <c r="AW229" s="11"/>
      <c r="AX229" s="11"/>
      <c r="AY229" s="11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11"/>
      <c r="AR230" s="11"/>
      <c r="AS230" s="8"/>
      <c r="AT230" s="8"/>
      <c r="AU230" s="8"/>
      <c r="AV230" s="8"/>
      <c r="AW230" s="11"/>
      <c r="AX230" s="11"/>
      <c r="AY230" s="11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11"/>
      <c r="AR231" s="11"/>
      <c r="AS231" s="8"/>
      <c r="AT231" s="8"/>
      <c r="AU231" s="8"/>
      <c r="AV231" s="8"/>
      <c r="AW231" s="11"/>
      <c r="AX231" s="11"/>
      <c r="AY231" s="11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11"/>
      <c r="AR232" s="11"/>
      <c r="AS232" s="8"/>
      <c r="AT232" s="8"/>
      <c r="AU232" s="8"/>
      <c r="AV232" s="8"/>
      <c r="AW232" s="11"/>
      <c r="AX232" s="11"/>
      <c r="AY232" s="11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11"/>
      <c r="AR233" s="11"/>
      <c r="AS233" s="8"/>
      <c r="AT233" s="8"/>
      <c r="AU233" s="8"/>
      <c r="AV233" s="8"/>
      <c r="AW233" s="11"/>
      <c r="AX233" s="11"/>
      <c r="AY233" s="11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11"/>
      <c r="AR234" s="11"/>
      <c r="AS234" s="8"/>
      <c r="AT234" s="8"/>
      <c r="AU234" s="8"/>
      <c r="AV234" s="8"/>
      <c r="AW234" s="11"/>
      <c r="AX234" s="11"/>
      <c r="AY234" s="11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11"/>
      <c r="AR235" s="11"/>
      <c r="AS235" s="8"/>
      <c r="AT235" s="8"/>
      <c r="AU235" s="8"/>
      <c r="AV235" s="8"/>
      <c r="AW235" s="11"/>
      <c r="AX235" s="11"/>
      <c r="AY235" s="11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11"/>
      <c r="AR236" s="11"/>
      <c r="AS236" s="8"/>
      <c r="AT236" s="8"/>
      <c r="AU236" s="8"/>
      <c r="AV236" s="8"/>
      <c r="AW236" s="11"/>
      <c r="AX236" s="11"/>
      <c r="AY236" s="11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11"/>
      <c r="AR237" s="11"/>
      <c r="AS237" s="8"/>
      <c r="AT237" s="8"/>
      <c r="AU237" s="8"/>
      <c r="AV237" s="8"/>
      <c r="AW237" s="11"/>
      <c r="AX237" s="11"/>
      <c r="AY237" s="11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11"/>
      <c r="AR238" s="11"/>
      <c r="AS238" s="8"/>
      <c r="AT238" s="8"/>
      <c r="AU238" s="8"/>
      <c r="AV238" s="8"/>
      <c r="AW238" s="11"/>
      <c r="AX238" s="11"/>
      <c r="AY238" s="11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11"/>
      <c r="AR239" s="11"/>
      <c r="AS239" s="8"/>
      <c r="AT239" s="8"/>
      <c r="AU239" s="8"/>
      <c r="AV239" s="8"/>
      <c r="AW239" s="11"/>
      <c r="AX239" s="11"/>
      <c r="AY239" s="11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11"/>
      <c r="AR240" s="11"/>
      <c r="AS240" s="8"/>
      <c r="AT240" s="8"/>
      <c r="AU240" s="8"/>
      <c r="AV240" s="8"/>
      <c r="AW240" s="11"/>
      <c r="AX240" s="11"/>
      <c r="AY240" s="11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11"/>
      <c r="AR241" s="11"/>
      <c r="AS241" s="8"/>
      <c r="AT241" s="8"/>
      <c r="AU241" s="8"/>
      <c r="AV241" s="8"/>
      <c r="AW241" s="11"/>
      <c r="AX241" s="11"/>
      <c r="AY241" s="11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11"/>
      <c r="AR242" s="11"/>
      <c r="AS242" s="8"/>
      <c r="AT242" s="8"/>
      <c r="AU242" s="8"/>
      <c r="AV242" s="8"/>
      <c r="AW242" s="11"/>
      <c r="AX242" s="11"/>
      <c r="AY242" s="11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11"/>
      <c r="AR243" s="11"/>
      <c r="AS243" s="8"/>
      <c r="AT243" s="8"/>
      <c r="AU243" s="8"/>
      <c r="AV243" s="8"/>
      <c r="AW243" s="11"/>
      <c r="AX243" s="11"/>
      <c r="AY243" s="11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11"/>
      <c r="AR244" s="11"/>
      <c r="AS244" s="8"/>
      <c r="AT244" s="8"/>
      <c r="AU244" s="8"/>
      <c r="AV244" s="8"/>
      <c r="AW244" s="11"/>
      <c r="AX244" s="11"/>
      <c r="AY244" s="11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11"/>
      <c r="AR245" s="11"/>
      <c r="AS245" s="8"/>
      <c r="AT245" s="8"/>
      <c r="AU245" s="8"/>
      <c r="AV245" s="8"/>
      <c r="AW245" s="11"/>
      <c r="AX245" s="11"/>
      <c r="AY245" s="11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11"/>
      <c r="AR246" s="11"/>
      <c r="AS246" s="8"/>
      <c r="AT246" s="8"/>
      <c r="AU246" s="8"/>
      <c r="AV246" s="8"/>
      <c r="AW246" s="11"/>
      <c r="AX246" s="11"/>
      <c r="AY246" s="11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11"/>
      <c r="AR247" s="11"/>
      <c r="AS247" s="8"/>
      <c r="AT247" s="8"/>
      <c r="AU247" s="8"/>
      <c r="AV247" s="8"/>
      <c r="AW247" s="11"/>
      <c r="AX247" s="11"/>
      <c r="AY247" s="11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11"/>
      <c r="AR248" s="11"/>
      <c r="AS248" s="8"/>
      <c r="AT248" s="8"/>
      <c r="AU248" s="8"/>
      <c r="AV248" s="8"/>
      <c r="AW248" s="11"/>
      <c r="AX248" s="11"/>
      <c r="AY248" s="11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11"/>
      <c r="AR249" s="11"/>
      <c r="AS249" s="8"/>
      <c r="AT249" s="8"/>
      <c r="AU249" s="8"/>
      <c r="AV249" s="8"/>
      <c r="AW249" s="11"/>
      <c r="AX249" s="11"/>
      <c r="AY249" s="11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11"/>
      <c r="AR250" s="11"/>
      <c r="AS250" s="8"/>
      <c r="AT250" s="8"/>
      <c r="AU250" s="8"/>
      <c r="AV250" s="8"/>
      <c r="AW250" s="11"/>
      <c r="AX250" s="11"/>
      <c r="AY250" s="11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11"/>
      <c r="AR251" s="11"/>
      <c r="AS251" s="8"/>
      <c r="AT251" s="8"/>
      <c r="AU251" s="8"/>
      <c r="AV251" s="8"/>
      <c r="AW251" s="11"/>
      <c r="AX251" s="11"/>
      <c r="AY251" s="11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11"/>
      <c r="AR252" s="11"/>
      <c r="AS252" s="8"/>
      <c r="AT252" s="8"/>
      <c r="AU252" s="8"/>
      <c r="AV252" s="8"/>
      <c r="AW252" s="11"/>
      <c r="AX252" s="11"/>
      <c r="AY252" s="11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11"/>
      <c r="AR253" s="11"/>
      <c r="AS253" s="8"/>
      <c r="AT253" s="8"/>
      <c r="AU253" s="8"/>
      <c r="AV253" s="8"/>
      <c r="AW253" s="11"/>
      <c r="AX253" s="11"/>
      <c r="AY253" s="11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11"/>
      <c r="AR254" s="11"/>
      <c r="AS254" s="8"/>
      <c r="AT254" s="8"/>
      <c r="AU254" s="8"/>
      <c r="AV254" s="8"/>
      <c r="AW254" s="11"/>
      <c r="AX254" s="11"/>
      <c r="AY254" s="11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11"/>
      <c r="AR255" s="11"/>
      <c r="AS255" s="8"/>
      <c r="AT255" s="8"/>
      <c r="AU255" s="8"/>
      <c r="AV255" s="8"/>
      <c r="AW255" s="11"/>
      <c r="AX255" s="11"/>
      <c r="AY255" s="11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11"/>
      <c r="AR256" s="11"/>
      <c r="AS256" s="8"/>
      <c r="AT256" s="8"/>
      <c r="AU256" s="8"/>
      <c r="AV256" s="8"/>
      <c r="AW256" s="11"/>
      <c r="AX256" s="11"/>
      <c r="AY256" s="11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11"/>
      <c r="AR257" s="11"/>
      <c r="AS257" s="8"/>
      <c r="AT257" s="8"/>
      <c r="AU257" s="8"/>
      <c r="AV257" s="8"/>
      <c r="AW257" s="11"/>
      <c r="AX257" s="11"/>
      <c r="AY257" s="11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11"/>
      <c r="AR258" s="11"/>
      <c r="AS258" s="8"/>
      <c r="AT258" s="8"/>
      <c r="AU258" s="8"/>
      <c r="AV258" s="8"/>
      <c r="AW258" s="11"/>
      <c r="AX258" s="11"/>
      <c r="AY258" s="11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11"/>
      <c r="AR259" s="11"/>
      <c r="AS259" s="8"/>
      <c r="AT259" s="8"/>
      <c r="AU259" s="8"/>
      <c r="AV259" s="8"/>
      <c r="AW259" s="11"/>
      <c r="AX259" s="11"/>
      <c r="AY259" s="11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11"/>
      <c r="AR260" s="11"/>
      <c r="AS260" s="8"/>
      <c r="AT260" s="8"/>
      <c r="AU260" s="8"/>
      <c r="AV260" s="8"/>
      <c r="AW260" s="11"/>
      <c r="AX260" s="11"/>
      <c r="AY260" s="11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11"/>
      <c r="AR261" s="11"/>
      <c r="AS261" s="8"/>
      <c r="AT261" s="8"/>
      <c r="AU261" s="8"/>
      <c r="AV261" s="8"/>
      <c r="AW261" s="11"/>
      <c r="AX261" s="11"/>
      <c r="AY261" s="11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11"/>
      <c r="AR262" s="11"/>
      <c r="AS262" s="8"/>
      <c r="AT262" s="8"/>
      <c r="AU262" s="8"/>
      <c r="AV262" s="8"/>
      <c r="AW262" s="11"/>
      <c r="AX262" s="11"/>
      <c r="AY262" s="11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11"/>
      <c r="AR263" s="11"/>
      <c r="AS263" s="8"/>
      <c r="AT263" s="8"/>
      <c r="AU263" s="8"/>
      <c r="AV263" s="8"/>
      <c r="AW263" s="11"/>
      <c r="AX263" s="11"/>
      <c r="AY263" s="11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11"/>
      <c r="AR264" s="11"/>
      <c r="AS264" s="8"/>
      <c r="AT264" s="8"/>
      <c r="AU264" s="8"/>
      <c r="AV264" s="8"/>
      <c r="AW264" s="11"/>
      <c r="AX264" s="11"/>
      <c r="AY264" s="11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11"/>
      <c r="AR265" s="11"/>
      <c r="AS265" s="8"/>
      <c r="AT265" s="8"/>
      <c r="AU265" s="8"/>
      <c r="AV265" s="8"/>
      <c r="AW265" s="11"/>
      <c r="AX265" s="11"/>
      <c r="AY265" s="11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11"/>
      <c r="AR266" s="11"/>
      <c r="AS266" s="8"/>
      <c r="AT266" s="8"/>
      <c r="AU266" s="8"/>
      <c r="AV266" s="8"/>
      <c r="AW266" s="11"/>
      <c r="AX266" s="11"/>
      <c r="AY266" s="11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11"/>
      <c r="AR267" s="11"/>
      <c r="AS267" s="8"/>
      <c r="AT267" s="8"/>
      <c r="AU267" s="8"/>
      <c r="AV267" s="8"/>
      <c r="AW267" s="11"/>
      <c r="AX267" s="11"/>
      <c r="AY267" s="11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11"/>
      <c r="AR268" s="11"/>
      <c r="AS268" s="8"/>
      <c r="AT268" s="8"/>
      <c r="AU268" s="8"/>
      <c r="AV268" s="8"/>
      <c r="AW268" s="11"/>
      <c r="AX268" s="11"/>
      <c r="AY268" s="11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11"/>
      <c r="AR269" s="11"/>
      <c r="AS269" s="8"/>
      <c r="AT269" s="8"/>
      <c r="AU269" s="8"/>
      <c r="AV269" s="8"/>
      <c r="AW269" s="11"/>
      <c r="AX269" s="11"/>
      <c r="AY269" s="11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11"/>
      <c r="AR270" s="11"/>
      <c r="AS270" s="8"/>
      <c r="AT270" s="8"/>
      <c r="AU270" s="8"/>
      <c r="AV270" s="8"/>
      <c r="AW270" s="11"/>
      <c r="AX270" s="11"/>
      <c r="AY270" s="11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11"/>
      <c r="AR271" s="11"/>
      <c r="AS271" s="8"/>
      <c r="AT271" s="8"/>
      <c r="AU271" s="8"/>
      <c r="AV271" s="8"/>
      <c r="AW271" s="11"/>
      <c r="AX271" s="11"/>
      <c r="AY271" s="11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11"/>
      <c r="AR272" s="11"/>
      <c r="AS272" s="8"/>
      <c r="AT272" s="8"/>
      <c r="AU272" s="8"/>
      <c r="AV272" s="8"/>
      <c r="AW272" s="11"/>
      <c r="AX272" s="11"/>
      <c r="AY272" s="11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11"/>
      <c r="AR273" s="11"/>
      <c r="AS273" s="8"/>
      <c r="AT273" s="8"/>
      <c r="AU273" s="8"/>
      <c r="AV273" s="8"/>
      <c r="AW273" s="11"/>
      <c r="AX273" s="11"/>
      <c r="AY273" s="11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11"/>
      <c r="AR274" s="11"/>
      <c r="AS274" s="8"/>
      <c r="AT274" s="8"/>
      <c r="AU274" s="8"/>
      <c r="AV274" s="8"/>
      <c r="AW274" s="11"/>
      <c r="AX274" s="11"/>
      <c r="AY274" s="11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11"/>
      <c r="AR275" s="11"/>
      <c r="AS275" s="8"/>
      <c r="AT275" s="8"/>
      <c r="AU275" s="8"/>
      <c r="AV275" s="8"/>
      <c r="AW275" s="11"/>
      <c r="AX275" s="11"/>
      <c r="AY275" s="11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11"/>
      <c r="AR276" s="11"/>
      <c r="AS276" s="8"/>
      <c r="AT276" s="8"/>
      <c r="AU276" s="8"/>
      <c r="AV276" s="8"/>
      <c r="AW276" s="11"/>
      <c r="AX276" s="11"/>
      <c r="AY276" s="11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11"/>
      <c r="AR277" s="11"/>
      <c r="AS277" s="8"/>
      <c r="AT277" s="8"/>
      <c r="AU277" s="8"/>
      <c r="AV277" s="8"/>
      <c r="AW277" s="11"/>
      <c r="AX277" s="11"/>
      <c r="AY277" s="11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11"/>
      <c r="AR278" s="11"/>
      <c r="AS278" s="8"/>
      <c r="AT278" s="8"/>
      <c r="AU278" s="8"/>
      <c r="AV278" s="8"/>
      <c r="AW278" s="11"/>
      <c r="AX278" s="11"/>
      <c r="AY278" s="11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11"/>
      <c r="AR279" s="11"/>
      <c r="AS279" s="8"/>
      <c r="AT279" s="8"/>
      <c r="AU279" s="8"/>
      <c r="AV279" s="8"/>
      <c r="AW279" s="11"/>
      <c r="AX279" s="11"/>
      <c r="AY279" s="11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11"/>
      <c r="AR280" s="11"/>
      <c r="AS280" s="8"/>
      <c r="AT280" s="8"/>
      <c r="AU280" s="8"/>
      <c r="AV280" s="8"/>
      <c r="AW280" s="11"/>
      <c r="AX280" s="11"/>
      <c r="AY280" s="11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11"/>
      <c r="AR281" s="11"/>
      <c r="AS281" s="8"/>
      <c r="AT281" s="8"/>
      <c r="AU281" s="8"/>
      <c r="AV281" s="8"/>
      <c r="AW281" s="11"/>
      <c r="AX281" s="11"/>
      <c r="AY281" s="11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11"/>
      <c r="AR282" s="11"/>
      <c r="AS282" s="8"/>
      <c r="AT282" s="8"/>
      <c r="AU282" s="8"/>
      <c r="AV282" s="8"/>
      <c r="AW282" s="11"/>
      <c r="AX282" s="11"/>
      <c r="AY282" s="11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11"/>
      <c r="AR283" s="11"/>
      <c r="AS283" s="8"/>
      <c r="AT283" s="8"/>
      <c r="AU283" s="8"/>
      <c r="AV283" s="8"/>
      <c r="AW283" s="11"/>
      <c r="AX283" s="11"/>
      <c r="AY283" s="11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11"/>
      <c r="AR284" s="11"/>
      <c r="AS284" s="8"/>
      <c r="AT284" s="8"/>
      <c r="AU284" s="8"/>
      <c r="AV284" s="8"/>
      <c r="AW284" s="11"/>
      <c r="AX284" s="11"/>
      <c r="AY284" s="11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11"/>
      <c r="AR285" s="11"/>
      <c r="AS285" s="8"/>
      <c r="AT285" s="8"/>
      <c r="AU285" s="8"/>
      <c r="AV285" s="8"/>
      <c r="AW285" s="11"/>
      <c r="AX285" s="11"/>
      <c r="AY285" s="11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11"/>
      <c r="AR286" s="11"/>
      <c r="AS286" s="8"/>
      <c r="AT286" s="8"/>
      <c r="AU286" s="8"/>
      <c r="AV286" s="8"/>
      <c r="AW286" s="11"/>
      <c r="AX286" s="11"/>
      <c r="AY286" s="11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11"/>
      <c r="AR287" s="11"/>
      <c r="AS287" s="8"/>
      <c r="AT287" s="8"/>
      <c r="AU287" s="8"/>
      <c r="AV287" s="8"/>
      <c r="AW287" s="11"/>
      <c r="AX287" s="11"/>
      <c r="AY287" s="11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11"/>
      <c r="AR288" s="11"/>
      <c r="AS288" s="8"/>
      <c r="AT288" s="8"/>
      <c r="AU288" s="8"/>
      <c r="AV288" s="8"/>
      <c r="AW288" s="11"/>
      <c r="AX288" s="11"/>
      <c r="AY288" s="11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11"/>
      <c r="AR289" s="11"/>
      <c r="AS289" s="8"/>
      <c r="AT289" s="8"/>
      <c r="AU289" s="8"/>
      <c r="AV289" s="8"/>
      <c r="AW289" s="11"/>
      <c r="AX289" s="11"/>
      <c r="AY289" s="11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11"/>
      <c r="AR290" s="11"/>
      <c r="AS290" s="8"/>
      <c r="AT290" s="8"/>
      <c r="AU290" s="8"/>
      <c r="AV290" s="8"/>
      <c r="AW290" s="11"/>
      <c r="AX290" s="11"/>
      <c r="AY290" s="11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11"/>
      <c r="AR291" s="11"/>
      <c r="AS291" s="8"/>
      <c r="AT291" s="8"/>
      <c r="AU291" s="8"/>
      <c r="AV291" s="8"/>
      <c r="AW291" s="11"/>
      <c r="AX291" s="11"/>
      <c r="AY291" s="11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11"/>
      <c r="AR292" s="11"/>
      <c r="AS292" s="8"/>
      <c r="AT292" s="8"/>
      <c r="AU292" s="8"/>
      <c r="AV292" s="8"/>
      <c r="AW292" s="11"/>
      <c r="AX292" s="11"/>
      <c r="AY292" s="11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11"/>
      <c r="AR293" s="11"/>
      <c r="AS293" s="8"/>
      <c r="AT293" s="8"/>
      <c r="AU293" s="8"/>
      <c r="AV293" s="8"/>
      <c r="AW293" s="11"/>
      <c r="AX293" s="11"/>
      <c r="AY293" s="11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11"/>
      <c r="AR294" s="11"/>
      <c r="AS294" s="8"/>
      <c r="AT294" s="8"/>
      <c r="AU294" s="8"/>
      <c r="AV294" s="8"/>
      <c r="AW294" s="11"/>
      <c r="AX294" s="11"/>
      <c r="AY294" s="11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11"/>
      <c r="AR295" s="11"/>
      <c r="AS295" s="8"/>
      <c r="AT295" s="8"/>
      <c r="AU295" s="8"/>
      <c r="AV295" s="8"/>
      <c r="AW295" s="11"/>
      <c r="AX295" s="11"/>
      <c r="AY295" s="11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11"/>
      <c r="AR296" s="11"/>
      <c r="AS296" s="8"/>
      <c r="AT296" s="8"/>
      <c r="AU296" s="8"/>
      <c r="AV296" s="8"/>
      <c r="AW296" s="11"/>
      <c r="AX296" s="11"/>
      <c r="AY296" s="11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11"/>
      <c r="AR297" s="11"/>
      <c r="AS297" s="8"/>
      <c r="AT297" s="8"/>
      <c r="AU297" s="8"/>
      <c r="AV297" s="8"/>
      <c r="AW297" s="11"/>
      <c r="AX297" s="11"/>
      <c r="AY297" s="11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11"/>
      <c r="AR298" s="11"/>
      <c r="AS298" s="8"/>
      <c r="AT298" s="8"/>
      <c r="AU298" s="8"/>
      <c r="AV298" s="8"/>
      <c r="AW298" s="11"/>
      <c r="AX298" s="11"/>
      <c r="AY298" s="11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11"/>
      <c r="AR299" s="11"/>
      <c r="AS299" s="8"/>
      <c r="AT299" s="8"/>
      <c r="AU299" s="8"/>
      <c r="AV299" s="8"/>
      <c r="AW299" s="11"/>
      <c r="AX299" s="11"/>
      <c r="AY299" s="11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11"/>
      <c r="AR300" s="11"/>
      <c r="AS300" s="8"/>
      <c r="AT300" s="8"/>
      <c r="AU300" s="8"/>
      <c r="AV300" s="8"/>
      <c r="AW300" s="11"/>
      <c r="AX300" s="11"/>
      <c r="AY300" s="11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11"/>
      <c r="AR301" s="11"/>
      <c r="AS301" s="8"/>
      <c r="AT301" s="8"/>
      <c r="AU301" s="8"/>
      <c r="AV301" s="8"/>
      <c r="AW301" s="11"/>
      <c r="AX301" s="11"/>
      <c r="AY301" s="11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11"/>
      <c r="AR302" s="11"/>
      <c r="AS302" s="8"/>
      <c r="AT302" s="8"/>
      <c r="AU302" s="8"/>
      <c r="AV302" s="8"/>
      <c r="AW302" s="11"/>
      <c r="AX302" s="11"/>
      <c r="AY302" s="11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11"/>
      <c r="AR303" s="11"/>
      <c r="AS303" s="8"/>
      <c r="AT303" s="8"/>
      <c r="AU303" s="8"/>
      <c r="AV303" s="8"/>
      <c r="AW303" s="11"/>
      <c r="AX303" s="11"/>
      <c r="AY303" s="11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11"/>
      <c r="AR304" s="11"/>
      <c r="AS304" s="8"/>
      <c r="AT304" s="8"/>
      <c r="AU304" s="8"/>
      <c r="AV304" s="8"/>
      <c r="AW304" s="11"/>
      <c r="AX304" s="11"/>
      <c r="AY304" s="11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11"/>
      <c r="AR305" s="11"/>
      <c r="AS305" s="8"/>
      <c r="AT305" s="8"/>
      <c r="AU305" s="8"/>
      <c r="AV305" s="8"/>
      <c r="AW305" s="11"/>
      <c r="AX305" s="11"/>
      <c r="AY305" s="11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11"/>
      <c r="AR306" s="11"/>
      <c r="AS306" s="8"/>
      <c r="AT306" s="8"/>
      <c r="AU306" s="8"/>
      <c r="AV306" s="8"/>
      <c r="AW306" s="11"/>
      <c r="AX306" s="11"/>
      <c r="AY306" s="11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11"/>
      <c r="AR307" s="11"/>
      <c r="AS307" s="8"/>
      <c r="AT307" s="8"/>
      <c r="AU307" s="8"/>
      <c r="AV307" s="8"/>
      <c r="AW307" s="11"/>
      <c r="AX307" s="11"/>
      <c r="AY307" s="11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11"/>
      <c r="AR308" s="11"/>
      <c r="AS308" s="8"/>
      <c r="AT308" s="8"/>
      <c r="AU308" s="8"/>
      <c r="AV308" s="8"/>
      <c r="AW308" s="11"/>
      <c r="AX308" s="11"/>
      <c r="AY308" s="11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11"/>
      <c r="AR309" s="11"/>
      <c r="AS309" s="8"/>
      <c r="AT309" s="8"/>
      <c r="AU309" s="8"/>
      <c r="AV309" s="8"/>
      <c r="AW309" s="11"/>
      <c r="AX309" s="11"/>
      <c r="AY309" s="11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11"/>
      <c r="AR310" s="11"/>
      <c r="AS310" s="8"/>
      <c r="AT310" s="8"/>
      <c r="AU310" s="8"/>
      <c r="AV310" s="8"/>
      <c r="AW310" s="11"/>
      <c r="AX310" s="11"/>
      <c r="AY310" s="11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11"/>
      <c r="AR311" s="11"/>
      <c r="AS311" s="8"/>
      <c r="AT311" s="8"/>
      <c r="AU311" s="8"/>
      <c r="AV311" s="8"/>
      <c r="AW311" s="11"/>
      <c r="AX311" s="11"/>
      <c r="AY311" s="11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11"/>
      <c r="AR312" s="11"/>
      <c r="AS312" s="8"/>
      <c r="AT312" s="8"/>
      <c r="AU312" s="8"/>
      <c r="AV312" s="8"/>
      <c r="AW312" s="11"/>
      <c r="AX312" s="11"/>
      <c r="AY312" s="11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11"/>
      <c r="AR313" s="11"/>
      <c r="AS313" s="8"/>
      <c r="AT313" s="8"/>
      <c r="AU313" s="8"/>
      <c r="AV313" s="8"/>
      <c r="AW313" s="11"/>
      <c r="AX313" s="11"/>
      <c r="AY313" s="11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11"/>
      <c r="AR314" s="11"/>
      <c r="AS314" s="8"/>
      <c r="AT314" s="8"/>
      <c r="AU314" s="8"/>
      <c r="AV314" s="8"/>
      <c r="AW314" s="11"/>
      <c r="AX314" s="11"/>
      <c r="AY314" s="11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11"/>
      <c r="AR315" s="11"/>
      <c r="AS315" s="8"/>
      <c r="AT315" s="8"/>
      <c r="AU315" s="8"/>
      <c r="AV315" s="8"/>
      <c r="AW315" s="11"/>
      <c r="AX315" s="11"/>
      <c r="AY315" s="11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11"/>
      <c r="AR316" s="11"/>
      <c r="AS316" s="8"/>
      <c r="AT316" s="8"/>
      <c r="AU316" s="8"/>
      <c r="AV316" s="8"/>
      <c r="AW316" s="11"/>
      <c r="AX316" s="11"/>
      <c r="AY316" s="11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11"/>
      <c r="AR317" s="11"/>
      <c r="AS317" s="8"/>
      <c r="AT317" s="8"/>
      <c r="AU317" s="8"/>
      <c r="AV317" s="8"/>
      <c r="AW317" s="11"/>
      <c r="AX317" s="11"/>
      <c r="AY317" s="11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11"/>
      <c r="AR318" s="11"/>
      <c r="AS318" s="8"/>
      <c r="AT318" s="8"/>
      <c r="AU318" s="8"/>
      <c r="AV318" s="8"/>
      <c r="AW318" s="11"/>
      <c r="AX318" s="11"/>
      <c r="AY318" s="11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11"/>
      <c r="AR319" s="11"/>
      <c r="AS319" s="8"/>
      <c r="AT319" s="8"/>
      <c r="AU319" s="8"/>
      <c r="AV319" s="8"/>
      <c r="AW319" s="11"/>
      <c r="AX319" s="11"/>
      <c r="AY319" s="11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11"/>
      <c r="AR320" s="11"/>
      <c r="AS320" s="8"/>
      <c r="AT320" s="8"/>
      <c r="AU320" s="8"/>
      <c r="AV320" s="8"/>
      <c r="AW320" s="11"/>
      <c r="AX320" s="11"/>
      <c r="AY320" s="11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11"/>
      <c r="AR321" s="11"/>
      <c r="AS321" s="8"/>
      <c r="AT321" s="8"/>
      <c r="AU321" s="8"/>
      <c r="AV321" s="8"/>
      <c r="AW321" s="11"/>
      <c r="AX321" s="11"/>
      <c r="AY321" s="11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11"/>
      <c r="AR322" s="11"/>
      <c r="AS322" s="8"/>
      <c r="AT322" s="8"/>
      <c r="AU322" s="8"/>
      <c r="AV322" s="8"/>
      <c r="AW322" s="11"/>
      <c r="AX322" s="11"/>
      <c r="AY322" s="11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11"/>
      <c r="AR323" s="11"/>
      <c r="AS323" s="8"/>
      <c r="AT323" s="8"/>
      <c r="AU323" s="8"/>
      <c r="AV323" s="8"/>
      <c r="AW323" s="11"/>
      <c r="AX323" s="11"/>
      <c r="AY323" s="11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11"/>
      <c r="AR324" s="11"/>
      <c r="AS324" s="8"/>
      <c r="AT324" s="8"/>
      <c r="AU324" s="8"/>
      <c r="AV324" s="8"/>
      <c r="AW324" s="11"/>
      <c r="AX324" s="11"/>
      <c r="AY324" s="11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11"/>
      <c r="AR325" s="11"/>
      <c r="AS325" s="8"/>
      <c r="AT325" s="8"/>
      <c r="AU325" s="8"/>
      <c r="AV325" s="8"/>
      <c r="AW325" s="11"/>
      <c r="AX325" s="11"/>
      <c r="AY325" s="11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11"/>
      <c r="AR326" s="11"/>
      <c r="AS326" s="8"/>
      <c r="AT326" s="8"/>
      <c r="AU326" s="8"/>
      <c r="AV326" s="8"/>
      <c r="AW326" s="11"/>
      <c r="AX326" s="11"/>
      <c r="AY326" s="11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11"/>
      <c r="AR327" s="11"/>
      <c r="AS327" s="8"/>
      <c r="AT327" s="8"/>
      <c r="AU327" s="8"/>
      <c r="AV327" s="8"/>
      <c r="AW327" s="11"/>
      <c r="AX327" s="11"/>
      <c r="AY327" s="11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11"/>
      <c r="AR328" s="11"/>
      <c r="AS328" s="8"/>
      <c r="AT328" s="8"/>
      <c r="AU328" s="8"/>
      <c r="AV328" s="8"/>
      <c r="AW328" s="11"/>
      <c r="AX328" s="11"/>
      <c r="AY328" s="11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11"/>
      <c r="AR329" s="11"/>
      <c r="AS329" s="8"/>
      <c r="AT329" s="8"/>
      <c r="AU329" s="8"/>
      <c r="AV329" s="8"/>
      <c r="AW329" s="11"/>
      <c r="AX329" s="11"/>
      <c r="AY329" s="11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11"/>
      <c r="AR330" s="11"/>
      <c r="AS330" s="8"/>
      <c r="AT330" s="8"/>
      <c r="AU330" s="8"/>
      <c r="AV330" s="8"/>
      <c r="AW330" s="11"/>
      <c r="AX330" s="11"/>
      <c r="AY330" s="11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11"/>
      <c r="AR331" s="11"/>
      <c r="AS331" s="8"/>
      <c r="AT331" s="8"/>
      <c r="AU331" s="8"/>
      <c r="AV331" s="8"/>
      <c r="AW331" s="11"/>
      <c r="AX331" s="11"/>
      <c r="AY331" s="11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11"/>
      <c r="AR332" s="11"/>
      <c r="AS332" s="8"/>
      <c r="AT332" s="8"/>
      <c r="AU332" s="8"/>
      <c r="AV332" s="8"/>
      <c r="AW332" s="11"/>
      <c r="AX332" s="11"/>
      <c r="AY332" s="11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11"/>
      <c r="AR333" s="11"/>
      <c r="AS333" s="8"/>
      <c r="AT333" s="8"/>
      <c r="AU333" s="8"/>
      <c r="AV333" s="8"/>
      <c r="AW333" s="11"/>
      <c r="AX333" s="11"/>
      <c r="AY333" s="11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11"/>
      <c r="AR334" s="11"/>
      <c r="AS334" s="8"/>
      <c r="AT334" s="8"/>
      <c r="AU334" s="8"/>
      <c r="AV334" s="8"/>
      <c r="AW334" s="11"/>
      <c r="AX334" s="11"/>
      <c r="AY334" s="11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11"/>
      <c r="AR335" s="11"/>
      <c r="AS335" s="8"/>
      <c r="AT335" s="8"/>
      <c r="AU335" s="8"/>
      <c r="AV335" s="8"/>
      <c r="AW335" s="11"/>
      <c r="AX335" s="11"/>
      <c r="AY335" s="11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11"/>
      <c r="AR336" s="11"/>
      <c r="AS336" s="8"/>
      <c r="AT336" s="8"/>
      <c r="AU336" s="8"/>
      <c r="AV336" s="8"/>
      <c r="AW336" s="11"/>
      <c r="AX336" s="11"/>
      <c r="AY336" s="11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11"/>
      <c r="AR337" s="11"/>
      <c r="AS337" s="8"/>
      <c r="AT337" s="8"/>
      <c r="AU337" s="8"/>
      <c r="AV337" s="8"/>
      <c r="AW337" s="11"/>
      <c r="AX337" s="11"/>
      <c r="AY337" s="11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11"/>
      <c r="AR338" s="11"/>
      <c r="AS338" s="8"/>
      <c r="AT338" s="8"/>
      <c r="AU338" s="8"/>
      <c r="AV338" s="8"/>
      <c r="AW338" s="11"/>
      <c r="AX338" s="11"/>
      <c r="AY338" s="11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11"/>
      <c r="AR339" s="11"/>
      <c r="AS339" s="8"/>
      <c r="AT339" s="8"/>
      <c r="AU339" s="8"/>
      <c r="AV339" s="8"/>
      <c r="AW339" s="11"/>
      <c r="AX339" s="11"/>
      <c r="AY339" s="11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11"/>
      <c r="AR340" s="11"/>
      <c r="AS340" s="8"/>
      <c r="AT340" s="8"/>
      <c r="AU340" s="8"/>
      <c r="AV340" s="8"/>
      <c r="AW340" s="11"/>
      <c r="AX340" s="11"/>
      <c r="AY340" s="11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11"/>
      <c r="AR341" s="11"/>
      <c r="AS341" s="8"/>
      <c r="AT341" s="8"/>
      <c r="AU341" s="8"/>
      <c r="AV341" s="8"/>
      <c r="AW341" s="11"/>
      <c r="AX341" s="11"/>
      <c r="AY341" s="11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11"/>
      <c r="AR342" s="11"/>
      <c r="AS342" s="8"/>
      <c r="AT342" s="8"/>
      <c r="AU342" s="8"/>
      <c r="AV342" s="8"/>
      <c r="AW342" s="11"/>
      <c r="AX342" s="11"/>
      <c r="AY342" s="11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11"/>
      <c r="AR343" s="11"/>
      <c r="AS343" s="8"/>
      <c r="AT343" s="8"/>
      <c r="AU343" s="8"/>
      <c r="AV343" s="8"/>
      <c r="AW343" s="11"/>
      <c r="AX343" s="11"/>
      <c r="AY343" s="11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11"/>
      <c r="AR344" s="11"/>
      <c r="AS344" s="8"/>
      <c r="AT344" s="8"/>
      <c r="AU344" s="8"/>
      <c r="AV344" s="8"/>
      <c r="AW344" s="11"/>
      <c r="AX344" s="11"/>
      <c r="AY344" s="11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11"/>
      <c r="AR345" s="11"/>
      <c r="AS345" s="8"/>
      <c r="AT345" s="8"/>
      <c r="AU345" s="8"/>
      <c r="AV345" s="8"/>
      <c r="AW345" s="11"/>
      <c r="AX345" s="11"/>
      <c r="AY345" s="11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11"/>
      <c r="AR346" s="11"/>
      <c r="AS346" s="8"/>
      <c r="AT346" s="8"/>
      <c r="AU346" s="8"/>
      <c r="AV346" s="8"/>
      <c r="AW346" s="11"/>
      <c r="AX346" s="11"/>
      <c r="AY346" s="11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11"/>
      <c r="AR347" s="11"/>
      <c r="AS347" s="8"/>
      <c r="AT347" s="8"/>
      <c r="AU347" s="8"/>
      <c r="AV347" s="8"/>
      <c r="AW347" s="11"/>
      <c r="AX347" s="11"/>
      <c r="AY347" s="11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11"/>
      <c r="AR348" s="11"/>
      <c r="AS348" s="8"/>
      <c r="AT348" s="8"/>
      <c r="AU348" s="8"/>
      <c r="AV348" s="8"/>
      <c r="AW348" s="11"/>
      <c r="AX348" s="11"/>
      <c r="AY348" s="11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11"/>
      <c r="AR349" s="11"/>
      <c r="AS349" s="8"/>
      <c r="AT349" s="8"/>
      <c r="AU349" s="8"/>
      <c r="AV349" s="8"/>
      <c r="AW349" s="11"/>
      <c r="AX349" s="11"/>
      <c r="AY349" s="11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11"/>
      <c r="AR350" s="11"/>
      <c r="AS350" s="8"/>
      <c r="AT350" s="8"/>
      <c r="AU350" s="8"/>
      <c r="AV350" s="8"/>
      <c r="AW350" s="11"/>
      <c r="AX350" s="11"/>
      <c r="AY350" s="11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11"/>
      <c r="AR351" s="11"/>
      <c r="AS351" s="8"/>
      <c r="AT351" s="8"/>
      <c r="AU351" s="8"/>
      <c r="AV351" s="8"/>
      <c r="AW351" s="11"/>
      <c r="AX351" s="11"/>
      <c r="AY351" s="11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11"/>
      <c r="AR352" s="11"/>
      <c r="AS352" s="8"/>
      <c r="AT352" s="8"/>
      <c r="AU352" s="8"/>
      <c r="AV352" s="8"/>
      <c r="AW352" s="11"/>
      <c r="AX352" s="11"/>
      <c r="AY352" s="11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11"/>
      <c r="AR353" s="11"/>
      <c r="AS353" s="8"/>
      <c r="AT353" s="8"/>
      <c r="AU353" s="8"/>
      <c r="AV353" s="8"/>
      <c r="AW353" s="11"/>
      <c r="AX353" s="11"/>
      <c r="AY353" s="11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11"/>
      <c r="AR354" s="11"/>
      <c r="AS354" s="8"/>
      <c r="AT354" s="8"/>
      <c r="AU354" s="8"/>
      <c r="AV354" s="8"/>
      <c r="AW354" s="11"/>
      <c r="AX354" s="11"/>
      <c r="AY354" s="11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11"/>
      <c r="AR355" s="11"/>
      <c r="AS355" s="8"/>
      <c r="AT355" s="8"/>
      <c r="AU355" s="8"/>
      <c r="AV355" s="8"/>
      <c r="AW355" s="11"/>
      <c r="AX355" s="11"/>
      <c r="AY355" s="11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11"/>
      <c r="AR356" s="11"/>
      <c r="AS356" s="8"/>
      <c r="AT356" s="8"/>
      <c r="AU356" s="8"/>
      <c r="AV356" s="8"/>
      <c r="AW356" s="11"/>
      <c r="AX356" s="11"/>
      <c r="AY356" s="11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11"/>
      <c r="AR357" s="11"/>
      <c r="AS357" s="8"/>
      <c r="AT357" s="8"/>
      <c r="AU357" s="8"/>
      <c r="AV357" s="8"/>
      <c r="AW357" s="11"/>
      <c r="AX357" s="11"/>
      <c r="AY357" s="11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11"/>
      <c r="AR358" s="11"/>
      <c r="AS358" s="8"/>
      <c r="AT358" s="8"/>
      <c r="AU358" s="8"/>
      <c r="AV358" s="8"/>
      <c r="AW358" s="11"/>
      <c r="AX358" s="11"/>
      <c r="AY358" s="11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11"/>
      <c r="AR359" s="11"/>
      <c r="AS359" s="8"/>
      <c r="AT359" s="8"/>
      <c r="AU359" s="8"/>
      <c r="AV359" s="8"/>
      <c r="AW359" s="11"/>
      <c r="AX359" s="11"/>
      <c r="AY359" s="11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11"/>
      <c r="AR360" s="11"/>
      <c r="AS360" s="8"/>
      <c r="AT360" s="8"/>
      <c r="AU360" s="8"/>
      <c r="AV360" s="8"/>
      <c r="AW360" s="11"/>
      <c r="AX360" s="11"/>
      <c r="AY360" s="11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11"/>
      <c r="AR361" s="11"/>
      <c r="AS361" s="8"/>
      <c r="AT361" s="8"/>
      <c r="AU361" s="8"/>
      <c r="AV361" s="8"/>
      <c r="AW361" s="11"/>
      <c r="AX361" s="11"/>
      <c r="AY361" s="11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11"/>
      <c r="AR362" s="11"/>
      <c r="AS362" s="8"/>
      <c r="AT362" s="8"/>
      <c r="AU362" s="8"/>
      <c r="AV362" s="8"/>
      <c r="AW362" s="11"/>
      <c r="AX362" s="11"/>
      <c r="AY362" s="11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11"/>
      <c r="AR363" s="11"/>
      <c r="AS363" s="8"/>
      <c r="AT363" s="8"/>
      <c r="AU363" s="8"/>
      <c r="AV363" s="8"/>
      <c r="AW363" s="11"/>
      <c r="AX363" s="11"/>
      <c r="AY363" s="11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11"/>
      <c r="AR364" s="11"/>
      <c r="AS364" s="8"/>
      <c r="AT364" s="8"/>
      <c r="AU364" s="8"/>
      <c r="AV364" s="8"/>
      <c r="AW364" s="11"/>
      <c r="AX364" s="11"/>
      <c r="AY364" s="11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11"/>
      <c r="AR365" s="11"/>
      <c r="AS365" s="8"/>
      <c r="AT365" s="8"/>
      <c r="AU365" s="8"/>
      <c r="AV365" s="8"/>
      <c r="AW365" s="11"/>
      <c r="AX365" s="11"/>
      <c r="AY365" s="11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11"/>
      <c r="AR366" s="11"/>
      <c r="AS366" s="8"/>
      <c r="AT366" s="8"/>
      <c r="AU366" s="8"/>
      <c r="AV366" s="8"/>
      <c r="AW366" s="11"/>
      <c r="AX366" s="11"/>
      <c r="AY366" s="11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11"/>
      <c r="AR367" s="11"/>
      <c r="AS367" s="8"/>
      <c r="AT367" s="8"/>
      <c r="AU367" s="8"/>
      <c r="AV367" s="8"/>
      <c r="AW367" s="11"/>
      <c r="AX367" s="11"/>
      <c r="AY367" s="11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11"/>
      <c r="AR368" s="11"/>
      <c r="AS368" s="8"/>
      <c r="AT368" s="8"/>
      <c r="AU368" s="8"/>
      <c r="AV368" s="8"/>
      <c r="AW368" s="11"/>
      <c r="AX368" s="11"/>
      <c r="AY368" s="11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11"/>
      <c r="AR369" s="11"/>
      <c r="AS369" s="8"/>
      <c r="AT369" s="8"/>
      <c r="AU369" s="8"/>
      <c r="AV369" s="8"/>
      <c r="AW369" s="11"/>
      <c r="AX369" s="11"/>
      <c r="AY369" s="11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11"/>
      <c r="AR370" s="11"/>
      <c r="AS370" s="8"/>
      <c r="AT370" s="8"/>
      <c r="AU370" s="8"/>
      <c r="AV370" s="8"/>
      <c r="AW370" s="11"/>
      <c r="AX370" s="11"/>
      <c r="AY370" s="11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11"/>
      <c r="AR371" s="11"/>
      <c r="AS371" s="8"/>
      <c r="AT371" s="8"/>
      <c r="AU371" s="8"/>
      <c r="AV371" s="8"/>
      <c r="AW371" s="11"/>
      <c r="AX371" s="11"/>
      <c r="AY371" s="11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11"/>
      <c r="AR372" s="11"/>
      <c r="AS372" s="8"/>
      <c r="AT372" s="8"/>
      <c r="AU372" s="8"/>
      <c r="AV372" s="8"/>
      <c r="AW372" s="11"/>
      <c r="AX372" s="11"/>
      <c r="AY372" s="11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11"/>
      <c r="AR373" s="11"/>
      <c r="AS373" s="8"/>
      <c r="AT373" s="8"/>
      <c r="AU373" s="8"/>
      <c r="AV373" s="8"/>
      <c r="AW373" s="11"/>
      <c r="AX373" s="11"/>
      <c r="AY373" s="11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11"/>
      <c r="AR374" s="11"/>
      <c r="AS374" s="8"/>
      <c r="AT374" s="8"/>
      <c r="AU374" s="8"/>
      <c r="AV374" s="8"/>
      <c r="AW374" s="11"/>
      <c r="AX374" s="11"/>
      <c r="AY374" s="11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11"/>
      <c r="AR375" s="11"/>
      <c r="AS375" s="8"/>
      <c r="AT375" s="8"/>
      <c r="AU375" s="8"/>
      <c r="AV375" s="8"/>
      <c r="AW375" s="11"/>
      <c r="AX375" s="11"/>
      <c r="AY375" s="11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11"/>
      <c r="AR376" s="11"/>
      <c r="AS376" s="8"/>
      <c r="AT376" s="8"/>
      <c r="AU376" s="8"/>
      <c r="AV376" s="8"/>
      <c r="AW376" s="11"/>
      <c r="AX376" s="11"/>
      <c r="AY376" s="11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11"/>
      <c r="AR377" s="11"/>
      <c r="AS377" s="8"/>
      <c r="AT377" s="8"/>
      <c r="AU377" s="8"/>
      <c r="AV377" s="8"/>
      <c r="AW377" s="11"/>
      <c r="AX377" s="11"/>
      <c r="AY377" s="11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11"/>
      <c r="AR378" s="11"/>
      <c r="AS378" s="8"/>
      <c r="AT378" s="8"/>
      <c r="AU378" s="8"/>
      <c r="AV378" s="8"/>
      <c r="AW378" s="11"/>
      <c r="AX378" s="11"/>
      <c r="AY378" s="11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11"/>
      <c r="AR379" s="11"/>
      <c r="AS379" s="8"/>
      <c r="AT379" s="8"/>
      <c r="AU379" s="8"/>
      <c r="AV379" s="8"/>
      <c r="AW379" s="11"/>
      <c r="AX379" s="11"/>
      <c r="AY379" s="11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11"/>
      <c r="AR380" s="11"/>
      <c r="AS380" s="8"/>
      <c r="AT380" s="8"/>
      <c r="AU380" s="8"/>
      <c r="AV380" s="8"/>
      <c r="AW380" s="11"/>
      <c r="AX380" s="11"/>
      <c r="AY380" s="11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11"/>
      <c r="AR381" s="11"/>
      <c r="AS381" s="8"/>
      <c r="AT381" s="8"/>
      <c r="AU381" s="8"/>
      <c r="AV381" s="8"/>
      <c r="AW381" s="11"/>
      <c r="AX381" s="11"/>
      <c r="AY381" s="11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11"/>
      <c r="AR382" s="11"/>
      <c r="AS382" s="8"/>
      <c r="AT382" s="8"/>
      <c r="AU382" s="8"/>
      <c r="AV382" s="8"/>
      <c r="AW382" s="11"/>
      <c r="AX382" s="11"/>
      <c r="AY382" s="11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11"/>
      <c r="AR383" s="11"/>
      <c r="AS383" s="8"/>
      <c r="AT383" s="8"/>
      <c r="AU383" s="8"/>
      <c r="AV383" s="8"/>
      <c r="AW383" s="11"/>
      <c r="AX383" s="11"/>
      <c r="AY383" s="11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11"/>
      <c r="AR384" s="11"/>
      <c r="AS384" s="8"/>
      <c r="AT384" s="8"/>
      <c r="AU384" s="8"/>
      <c r="AV384" s="8"/>
      <c r="AW384" s="11"/>
      <c r="AX384" s="11"/>
      <c r="AY384" s="11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11"/>
      <c r="AR385" s="11"/>
      <c r="AS385" s="8"/>
      <c r="AT385" s="8"/>
      <c r="AU385" s="8"/>
      <c r="AV385" s="8"/>
      <c r="AW385" s="11"/>
      <c r="AX385" s="11"/>
      <c r="AY385" s="11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11"/>
      <c r="AR386" s="11"/>
      <c r="AS386" s="8"/>
      <c r="AT386" s="8"/>
      <c r="AU386" s="8"/>
      <c r="AV386" s="8"/>
      <c r="AW386" s="11"/>
      <c r="AX386" s="11"/>
      <c r="AY386" s="11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11"/>
      <c r="AR387" s="11"/>
      <c r="AS387" s="8"/>
      <c r="AT387" s="8"/>
      <c r="AU387" s="8"/>
      <c r="AV387" s="8"/>
      <c r="AW387" s="11"/>
      <c r="AX387" s="11"/>
      <c r="AY387" s="11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11"/>
      <c r="AR388" s="11"/>
      <c r="AS388" s="8"/>
      <c r="AT388" s="8"/>
      <c r="AU388" s="8"/>
      <c r="AV388" s="8"/>
      <c r="AW388" s="11"/>
      <c r="AX388" s="11"/>
      <c r="AY388" s="11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11"/>
      <c r="AR389" s="11"/>
      <c r="AS389" s="8"/>
      <c r="AT389" s="8"/>
      <c r="AU389" s="8"/>
      <c r="AV389" s="8"/>
      <c r="AW389" s="11"/>
      <c r="AX389" s="11"/>
      <c r="AY389" s="11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11"/>
      <c r="AR390" s="11"/>
      <c r="AS390" s="8"/>
      <c r="AT390" s="8"/>
      <c r="AU390" s="8"/>
      <c r="AV390" s="8"/>
      <c r="AW390" s="11"/>
      <c r="AX390" s="11"/>
      <c r="AY390" s="11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11"/>
      <c r="AR391" s="11"/>
      <c r="AS391" s="8"/>
      <c r="AT391" s="8"/>
      <c r="AU391" s="8"/>
      <c r="AV391" s="8"/>
      <c r="AW391" s="11"/>
      <c r="AX391" s="11"/>
      <c r="AY391" s="11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11"/>
      <c r="AR392" s="11"/>
      <c r="AS392" s="8"/>
      <c r="AT392" s="8"/>
      <c r="AU392" s="8"/>
      <c r="AV392" s="8"/>
      <c r="AW392" s="11"/>
      <c r="AX392" s="11"/>
      <c r="AY392" s="11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11"/>
      <c r="AR393" s="11"/>
      <c r="AS393" s="8"/>
      <c r="AT393" s="8"/>
      <c r="AU393" s="8"/>
      <c r="AV393" s="8"/>
      <c r="AW393" s="11"/>
      <c r="AX393" s="11"/>
      <c r="AY393" s="11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11"/>
      <c r="AR394" s="11"/>
      <c r="AS394" s="8"/>
      <c r="AT394" s="8"/>
      <c r="AU394" s="8"/>
      <c r="AV394" s="8"/>
      <c r="AW394" s="11"/>
      <c r="AX394" s="11"/>
      <c r="AY394" s="11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11"/>
      <c r="AR395" s="11"/>
      <c r="AS395" s="8"/>
      <c r="AT395" s="8"/>
      <c r="AU395" s="8"/>
      <c r="AV395" s="8"/>
      <c r="AW395" s="11"/>
      <c r="AX395" s="11"/>
      <c r="AY395" s="11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11"/>
      <c r="AR396" s="11"/>
      <c r="AS396" s="8"/>
      <c r="AT396" s="8"/>
      <c r="AU396" s="8"/>
      <c r="AV396" s="8"/>
      <c r="AW396" s="11"/>
      <c r="AX396" s="11"/>
      <c r="AY396" s="11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11"/>
      <c r="AR397" s="11"/>
      <c r="AS397" s="8"/>
      <c r="AT397" s="8"/>
      <c r="AU397" s="8"/>
      <c r="AV397" s="8"/>
      <c r="AW397" s="11"/>
      <c r="AX397" s="11"/>
      <c r="AY397" s="11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11"/>
      <c r="AR398" s="11"/>
      <c r="AS398" s="8"/>
      <c r="AT398" s="8"/>
      <c r="AU398" s="8"/>
      <c r="AV398" s="8"/>
      <c r="AW398" s="11"/>
      <c r="AX398" s="11"/>
      <c r="AY398" s="11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11"/>
      <c r="AR399" s="11"/>
      <c r="AS399" s="8"/>
      <c r="AT399" s="8"/>
      <c r="AU399" s="8"/>
      <c r="AV399" s="8"/>
      <c r="AW399" s="11"/>
      <c r="AX399" s="11"/>
      <c r="AY399" s="11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11"/>
      <c r="AR400" s="11"/>
      <c r="AS400" s="8"/>
      <c r="AT400" s="8"/>
      <c r="AU400" s="8"/>
      <c r="AV400" s="8"/>
      <c r="AW400" s="11"/>
      <c r="AX400" s="11"/>
      <c r="AY400" s="11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11"/>
      <c r="AR401" s="11"/>
      <c r="AS401" s="8"/>
      <c r="AT401" s="8"/>
      <c r="AU401" s="8"/>
      <c r="AV401" s="8"/>
      <c r="AW401" s="11"/>
      <c r="AX401" s="11"/>
      <c r="AY401" s="11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11"/>
      <c r="AR402" s="11"/>
      <c r="AS402" s="8"/>
      <c r="AT402" s="8"/>
      <c r="AU402" s="8"/>
      <c r="AV402" s="8"/>
      <c r="AW402" s="11"/>
      <c r="AX402" s="11"/>
      <c r="AY402" s="11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11"/>
      <c r="AR403" s="11"/>
      <c r="AS403" s="8"/>
      <c r="AT403" s="8"/>
      <c r="AU403" s="8"/>
      <c r="AV403" s="8"/>
      <c r="AW403" s="11"/>
      <c r="AX403" s="11"/>
      <c r="AY403" s="11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11"/>
      <c r="AR404" s="11"/>
      <c r="AS404" s="8"/>
      <c r="AT404" s="8"/>
      <c r="AU404" s="8"/>
      <c r="AV404" s="8"/>
      <c r="AW404" s="11"/>
      <c r="AX404" s="11"/>
      <c r="AY404" s="11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11"/>
      <c r="AR405" s="11"/>
      <c r="AS405" s="8"/>
      <c r="AT405" s="8"/>
      <c r="AU405" s="8"/>
      <c r="AV405" s="8"/>
      <c r="AW405" s="11"/>
      <c r="AX405" s="11"/>
      <c r="AY405" s="11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11"/>
      <c r="AR406" s="11"/>
      <c r="AS406" s="8"/>
      <c r="AT406" s="8"/>
      <c r="AU406" s="8"/>
      <c r="AV406" s="8"/>
      <c r="AW406" s="11"/>
      <c r="AX406" s="11"/>
      <c r="AY406" s="11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11"/>
      <c r="AR407" s="11"/>
      <c r="AS407" s="8"/>
      <c r="AT407" s="8"/>
      <c r="AU407" s="8"/>
      <c r="AV407" s="8"/>
      <c r="AW407" s="11"/>
      <c r="AX407" s="11"/>
      <c r="AY407" s="11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11"/>
      <c r="AR408" s="11"/>
      <c r="AS408" s="8"/>
      <c r="AT408" s="8"/>
      <c r="AU408" s="8"/>
      <c r="AV408" s="8"/>
      <c r="AW408" s="11"/>
      <c r="AX408" s="11"/>
      <c r="AY408" s="11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11"/>
      <c r="AR409" s="11"/>
      <c r="AS409" s="8"/>
      <c r="AT409" s="8"/>
      <c r="AU409" s="8"/>
      <c r="AV409" s="8"/>
      <c r="AW409" s="11"/>
      <c r="AX409" s="11"/>
      <c r="AY409" s="11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11"/>
      <c r="AR410" s="11"/>
      <c r="AS410" s="8"/>
      <c r="AT410" s="8"/>
      <c r="AU410" s="8"/>
      <c r="AV410" s="8"/>
      <c r="AW410" s="11"/>
      <c r="AX410" s="11"/>
      <c r="AY410" s="11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11"/>
      <c r="AR411" s="11"/>
      <c r="AS411" s="8"/>
      <c r="AT411" s="8"/>
      <c r="AU411" s="8"/>
      <c r="AV411" s="8"/>
      <c r="AW411" s="11"/>
      <c r="AX411" s="11"/>
      <c r="AY411" s="11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11"/>
      <c r="AR412" s="11"/>
      <c r="AS412" s="8"/>
      <c r="AT412" s="8"/>
      <c r="AU412" s="8"/>
      <c r="AV412" s="8"/>
      <c r="AW412" s="11"/>
      <c r="AX412" s="11"/>
      <c r="AY412" s="11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11"/>
      <c r="AR413" s="11"/>
      <c r="AS413" s="8"/>
      <c r="AT413" s="8"/>
      <c r="AU413" s="8"/>
      <c r="AV413" s="8"/>
      <c r="AW413" s="11"/>
      <c r="AX413" s="11"/>
      <c r="AY413" s="11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11"/>
      <c r="AR414" s="11"/>
      <c r="AS414" s="8"/>
      <c r="AT414" s="8"/>
      <c r="AU414" s="8"/>
      <c r="AV414" s="8"/>
      <c r="AW414" s="11"/>
      <c r="AX414" s="11"/>
      <c r="AY414" s="11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11"/>
      <c r="AR415" s="11"/>
      <c r="AS415" s="8"/>
      <c r="AT415" s="8"/>
      <c r="AU415" s="8"/>
      <c r="AV415" s="8"/>
      <c r="AW415" s="11"/>
      <c r="AX415" s="11"/>
      <c r="AY415" s="11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11"/>
      <c r="AR416" s="11"/>
      <c r="AS416" s="8"/>
      <c r="AT416" s="8"/>
      <c r="AU416" s="8"/>
      <c r="AV416" s="8"/>
      <c r="AW416" s="11"/>
      <c r="AX416" s="11"/>
      <c r="AY416" s="11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11"/>
      <c r="AR417" s="11"/>
      <c r="AS417" s="8"/>
      <c r="AT417" s="8"/>
      <c r="AU417" s="8"/>
      <c r="AV417" s="8"/>
      <c r="AW417" s="11"/>
      <c r="AX417" s="11"/>
      <c r="AY417" s="11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11"/>
      <c r="AR418" s="11"/>
      <c r="AS418" s="8"/>
      <c r="AT418" s="8"/>
      <c r="AU418" s="8"/>
      <c r="AV418" s="8"/>
      <c r="AW418" s="11"/>
      <c r="AX418" s="11"/>
      <c r="AY418" s="11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11"/>
      <c r="AR419" s="11"/>
      <c r="AS419" s="8"/>
      <c r="AT419" s="8"/>
      <c r="AU419" s="8"/>
      <c r="AV419" s="8"/>
      <c r="AW419" s="11"/>
      <c r="AX419" s="11"/>
      <c r="AY419" s="11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11"/>
      <c r="AR420" s="11"/>
      <c r="AS420" s="8"/>
      <c r="AT420" s="8"/>
      <c r="AU420" s="8"/>
      <c r="AV420" s="8"/>
      <c r="AW420" s="11"/>
      <c r="AX420" s="11"/>
      <c r="AY420" s="11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11"/>
      <c r="AR421" s="11"/>
      <c r="AS421" s="8"/>
      <c r="AT421" s="8"/>
      <c r="AU421" s="8"/>
      <c r="AV421" s="8"/>
      <c r="AW421" s="11"/>
      <c r="AX421" s="11"/>
      <c r="AY421" s="11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11"/>
      <c r="AR422" s="11"/>
      <c r="AS422" s="8"/>
      <c r="AT422" s="8"/>
      <c r="AU422" s="8"/>
      <c r="AV422" s="8"/>
      <c r="AW422" s="11"/>
      <c r="AX422" s="11"/>
      <c r="AY422" s="11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11"/>
      <c r="AR423" s="11"/>
      <c r="AS423" s="8"/>
      <c r="AT423" s="8"/>
      <c r="AU423" s="8"/>
      <c r="AV423" s="8"/>
      <c r="AW423" s="11"/>
      <c r="AX423" s="11"/>
      <c r="AY423" s="11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11"/>
      <c r="AR424" s="11"/>
      <c r="AS424" s="8"/>
      <c r="AT424" s="8"/>
      <c r="AU424" s="8"/>
      <c r="AV424" s="8"/>
      <c r="AW424" s="11"/>
      <c r="AX424" s="11"/>
      <c r="AY424" s="11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11"/>
      <c r="AR425" s="11"/>
      <c r="AS425" s="8"/>
      <c r="AT425" s="8"/>
      <c r="AU425" s="8"/>
      <c r="AV425" s="8"/>
      <c r="AW425" s="11"/>
      <c r="AX425" s="11"/>
      <c r="AY425" s="11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11"/>
      <c r="AR426" s="11"/>
      <c r="AS426" s="8"/>
      <c r="AT426" s="8"/>
      <c r="AU426" s="8"/>
      <c r="AV426" s="8"/>
      <c r="AW426" s="11"/>
      <c r="AX426" s="11"/>
      <c r="AY426" s="11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11"/>
      <c r="AR427" s="11"/>
      <c r="AS427" s="8"/>
      <c r="AT427" s="8"/>
      <c r="AU427" s="8"/>
      <c r="AV427" s="8"/>
      <c r="AW427" s="11"/>
      <c r="AX427" s="11"/>
      <c r="AY427" s="11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11"/>
      <c r="AR428" s="11"/>
      <c r="AS428" s="8"/>
      <c r="AT428" s="8"/>
      <c r="AU428" s="8"/>
      <c r="AV428" s="8"/>
      <c r="AW428" s="11"/>
      <c r="AX428" s="11"/>
      <c r="AY428" s="11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11"/>
      <c r="AR429" s="11"/>
      <c r="AS429" s="8"/>
      <c r="AT429" s="8"/>
      <c r="AU429" s="8"/>
      <c r="AV429" s="8"/>
      <c r="AW429" s="11"/>
      <c r="AX429" s="11"/>
      <c r="AY429" s="11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11"/>
      <c r="AR430" s="11"/>
      <c r="AS430" s="8"/>
      <c r="AT430" s="8"/>
      <c r="AU430" s="8"/>
      <c r="AV430" s="8"/>
      <c r="AW430" s="11"/>
      <c r="AX430" s="11"/>
      <c r="AY430" s="11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11"/>
      <c r="AR431" s="11"/>
      <c r="AS431" s="8"/>
      <c r="AT431" s="8"/>
      <c r="AU431" s="8"/>
      <c r="AV431" s="8"/>
      <c r="AW431" s="11"/>
      <c r="AX431" s="11"/>
      <c r="AY431" s="11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11"/>
      <c r="AR432" s="11"/>
      <c r="AS432" s="8"/>
      <c r="AT432" s="8"/>
      <c r="AU432" s="8"/>
      <c r="AV432" s="8"/>
      <c r="AW432" s="11"/>
      <c r="AX432" s="11"/>
      <c r="AY432" s="11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11"/>
      <c r="AR433" s="11"/>
      <c r="AS433" s="8"/>
      <c r="AT433" s="8"/>
      <c r="AU433" s="8"/>
      <c r="AV433" s="8"/>
      <c r="AW433" s="11"/>
      <c r="AX433" s="11"/>
      <c r="AY433" s="11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11"/>
      <c r="AR434" s="11"/>
      <c r="AS434" s="8"/>
      <c r="AT434" s="8"/>
      <c r="AU434" s="8"/>
      <c r="AV434" s="8"/>
      <c r="AW434" s="11"/>
      <c r="AX434" s="11"/>
      <c r="AY434" s="11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11"/>
      <c r="AR435" s="11"/>
      <c r="AS435" s="8"/>
      <c r="AT435" s="8"/>
      <c r="AU435" s="8"/>
      <c r="AV435" s="8"/>
      <c r="AW435" s="11"/>
      <c r="AX435" s="11"/>
      <c r="AY435" s="11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11"/>
      <c r="AR436" s="11"/>
      <c r="AS436" s="8"/>
      <c r="AT436" s="8"/>
      <c r="AU436" s="8"/>
      <c r="AV436" s="8"/>
      <c r="AW436" s="11"/>
      <c r="AX436" s="11"/>
      <c r="AY436" s="11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11"/>
      <c r="AR437" s="11"/>
      <c r="AS437" s="8"/>
      <c r="AT437" s="8"/>
      <c r="AU437" s="8"/>
      <c r="AV437" s="8"/>
      <c r="AW437" s="11"/>
      <c r="AX437" s="11"/>
      <c r="AY437" s="11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11"/>
      <c r="AR438" s="11"/>
      <c r="AS438" s="8"/>
      <c r="AT438" s="8"/>
      <c r="AU438" s="8"/>
      <c r="AV438" s="8"/>
      <c r="AW438" s="11"/>
      <c r="AX438" s="11"/>
      <c r="AY438" s="11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11"/>
      <c r="AR439" s="11"/>
      <c r="AS439" s="8"/>
      <c r="AT439" s="8"/>
      <c r="AU439" s="8"/>
      <c r="AV439" s="8"/>
      <c r="AW439" s="11"/>
      <c r="AX439" s="11"/>
      <c r="AY439" s="11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11"/>
      <c r="AR440" s="11"/>
      <c r="AS440" s="8"/>
      <c r="AT440" s="8"/>
      <c r="AU440" s="8"/>
      <c r="AV440" s="8"/>
      <c r="AW440" s="11"/>
      <c r="AX440" s="11"/>
      <c r="AY440" s="11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11"/>
      <c r="AR441" s="11"/>
      <c r="AS441" s="8"/>
      <c r="AT441" s="8"/>
      <c r="AU441" s="8"/>
      <c r="AV441" s="8"/>
      <c r="AW441" s="11"/>
      <c r="AX441" s="11"/>
      <c r="AY441" s="11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11"/>
      <c r="AR442" s="11"/>
      <c r="AS442" s="8"/>
      <c r="AT442" s="8"/>
      <c r="AU442" s="8"/>
      <c r="AV442" s="8"/>
      <c r="AW442" s="11"/>
      <c r="AX442" s="11"/>
      <c r="AY442" s="11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11"/>
      <c r="AR443" s="11"/>
      <c r="AS443" s="8"/>
      <c r="AT443" s="8"/>
      <c r="AU443" s="8"/>
      <c r="AV443" s="8"/>
      <c r="AW443" s="11"/>
      <c r="AX443" s="11"/>
      <c r="AY443" s="11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11"/>
      <c r="AR444" s="11"/>
      <c r="AS444" s="8"/>
      <c r="AT444" s="8"/>
      <c r="AU444" s="8"/>
      <c r="AV444" s="8"/>
      <c r="AW444" s="11"/>
      <c r="AX444" s="11"/>
      <c r="AY444" s="11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11"/>
      <c r="AR445" s="11"/>
      <c r="AS445" s="8"/>
      <c r="AT445" s="8"/>
      <c r="AU445" s="8"/>
      <c r="AV445" s="8"/>
      <c r="AW445" s="11"/>
      <c r="AX445" s="11"/>
      <c r="AY445" s="11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11"/>
      <c r="AR446" s="11"/>
      <c r="AS446" s="8"/>
      <c r="AT446" s="8"/>
      <c r="AU446" s="8"/>
      <c r="AV446" s="8"/>
      <c r="AW446" s="11"/>
      <c r="AX446" s="11"/>
      <c r="AY446" s="11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11"/>
      <c r="AR447" s="11"/>
      <c r="AS447" s="8"/>
      <c r="AT447" s="8"/>
      <c r="AU447" s="8"/>
      <c r="AV447" s="8"/>
      <c r="AW447" s="11"/>
      <c r="AX447" s="11"/>
      <c r="AY447" s="11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11"/>
      <c r="AR448" s="11"/>
      <c r="AS448" s="8"/>
      <c r="AT448" s="8"/>
      <c r="AU448" s="8"/>
      <c r="AV448" s="8"/>
      <c r="AW448" s="11"/>
      <c r="AX448" s="11"/>
      <c r="AY448" s="11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11"/>
      <c r="AR449" s="11"/>
      <c r="AS449" s="8"/>
      <c r="AT449" s="8"/>
      <c r="AU449" s="8"/>
      <c r="AV449" s="8"/>
      <c r="AW449" s="11"/>
      <c r="AX449" s="11"/>
      <c r="AY449" s="11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11"/>
      <c r="AR450" s="11"/>
      <c r="AS450" s="8"/>
      <c r="AT450" s="8"/>
      <c r="AU450" s="8"/>
      <c r="AV450" s="8"/>
      <c r="AW450" s="11"/>
      <c r="AX450" s="11"/>
      <c r="AY450" s="11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11"/>
      <c r="AR451" s="11"/>
      <c r="AS451" s="8"/>
      <c r="AT451" s="8"/>
      <c r="AU451" s="8"/>
      <c r="AV451" s="8"/>
      <c r="AW451" s="11"/>
      <c r="AX451" s="11"/>
      <c r="AY451" s="11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11"/>
      <c r="AR452" s="11"/>
      <c r="AS452" s="8"/>
      <c r="AT452" s="8"/>
      <c r="AU452" s="8"/>
      <c r="AV452" s="8"/>
      <c r="AW452" s="11"/>
      <c r="AX452" s="11"/>
      <c r="AY452" s="11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11"/>
      <c r="AR453" s="11"/>
      <c r="AS453" s="8"/>
      <c r="AT453" s="8"/>
      <c r="AU453" s="8"/>
      <c r="AV453" s="8"/>
      <c r="AW453" s="11"/>
      <c r="AX453" s="11"/>
      <c r="AY453" s="11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11"/>
      <c r="AR454" s="11"/>
      <c r="AS454" s="8"/>
      <c r="AT454" s="8"/>
      <c r="AU454" s="8"/>
      <c r="AV454" s="8"/>
      <c r="AW454" s="11"/>
      <c r="AX454" s="11"/>
      <c r="AY454" s="11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11"/>
      <c r="AR455" s="11"/>
      <c r="AS455" s="8"/>
      <c r="AT455" s="8"/>
      <c r="AU455" s="8"/>
      <c r="AV455" s="8"/>
      <c r="AW455" s="11"/>
      <c r="AX455" s="11"/>
      <c r="AY455" s="11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11"/>
      <c r="AR456" s="11"/>
      <c r="AS456" s="8"/>
      <c r="AT456" s="8"/>
      <c r="AU456" s="8"/>
      <c r="AV456" s="8"/>
      <c r="AW456" s="11"/>
      <c r="AX456" s="11"/>
      <c r="AY456" s="11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11"/>
      <c r="AR457" s="11"/>
      <c r="AS457" s="8"/>
      <c r="AT457" s="8"/>
      <c r="AU457" s="8"/>
      <c r="AV457" s="8"/>
      <c r="AW457" s="11"/>
      <c r="AX457" s="11"/>
      <c r="AY457" s="11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11"/>
      <c r="AR458" s="11"/>
      <c r="AS458" s="8"/>
      <c r="AT458" s="8"/>
      <c r="AU458" s="8"/>
      <c r="AV458" s="8"/>
      <c r="AW458" s="11"/>
      <c r="AX458" s="11"/>
      <c r="AY458" s="11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11"/>
      <c r="AR459" s="11"/>
      <c r="AS459" s="8"/>
      <c r="AT459" s="8"/>
      <c r="AU459" s="8"/>
      <c r="AV459" s="8"/>
      <c r="AW459" s="11"/>
      <c r="AX459" s="11"/>
      <c r="AY459" s="11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11"/>
      <c r="AR460" s="11"/>
      <c r="AS460" s="8"/>
      <c r="AT460" s="8"/>
      <c r="AU460" s="8"/>
      <c r="AV460" s="8"/>
      <c r="AW460" s="11"/>
      <c r="AX460" s="11"/>
      <c r="AY460" s="11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11"/>
      <c r="AR461" s="11"/>
      <c r="AS461" s="8"/>
      <c r="AT461" s="8"/>
      <c r="AU461" s="8"/>
      <c r="AV461" s="8"/>
      <c r="AW461" s="11"/>
      <c r="AX461" s="11"/>
      <c r="AY461" s="11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11"/>
      <c r="AR462" s="11"/>
      <c r="AS462" s="8"/>
      <c r="AT462" s="8"/>
      <c r="AU462" s="8"/>
      <c r="AV462" s="8"/>
      <c r="AW462" s="11"/>
      <c r="AX462" s="11"/>
      <c r="AY462" s="11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11"/>
      <c r="AR463" s="11"/>
      <c r="AS463" s="8"/>
      <c r="AT463" s="8"/>
      <c r="AU463" s="8"/>
      <c r="AV463" s="8"/>
      <c r="AW463" s="11"/>
      <c r="AX463" s="11"/>
      <c r="AY463" s="11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11"/>
      <c r="AR464" s="11"/>
      <c r="AS464" s="8"/>
      <c r="AT464" s="8"/>
      <c r="AU464" s="8"/>
      <c r="AV464" s="8"/>
      <c r="AW464" s="11"/>
      <c r="AX464" s="11"/>
      <c r="AY464" s="11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11"/>
      <c r="AR465" s="11"/>
      <c r="AS465" s="8"/>
      <c r="AT465" s="8"/>
      <c r="AU465" s="8"/>
      <c r="AV465" s="8"/>
      <c r="AW465" s="11"/>
      <c r="AX465" s="11"/>
      <c r="AY465" s="11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11"/>
      <c r="AR466" s="11"/>
      <c r="AS466" s="8"/>
      <c r="AT466" s="8"/>
      <c r="AU466" s="8"/>
      <c r="AV466" s="8"/>
      <c r="AW466" s="11"/>
      <c r="AX466" s="11"/>
      <c r="AY466" s="11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11"/>
      <c r="AR467" s="11"/>
      <c r="AS467" s="8"/>
      <c r="AT467" s="8"/>
      <c r="AU467" s="8"/>
      <c r="AV467" s="8"/>
      <c r="AW467" s="11"/>
      <c r="AX467" s="11"/>
      <c r="AY467" s="11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11"/>
      <c r="AR468" s="11"/>
      <c r="AS468" s="8"/>
      <c r="AT468" s="8"/>
      <c r="AU468" s="8"/>
      <c r="AV468" s="8"/>
      <c r="AW468" s="11"/>
      <c r="AX468" s="11"/>
      <c r="AY468" s="11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11"/>
      <c r="AR469" s="11"/>
      <c r="AS469" s="8"/>
      <c r="AT469" s="8"/>
      <c r="AU469" s="8"/>
      <c r="AV469" s="8"/>
      <c r="AW469" s="11"/>
      <c r="AX469" s="11"/>
      <c r="AY469" s="11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11"/>
      <c r="AR470" s="11"/>
      <c r="AS470" s="8"/>
      <c r="AT470" s="8"/>
      <c r="AU470" s="8"/>
      <c r="AV470" s="8"/>
      <c r="AW470" s="11"/>
      <c r="AX470" s="11"/>
      <c r="AY470" s="11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11"/>
      <c r="AR471" s="11"/>
      <c r="AS471" s="8"/>
      <c r="AT471" s="8"/>
      <c r="AU471" s="8"/>
      <c r="AV471" s="8"/>
      <c r="AW471" s="11"/>
      <c r="AX471" s="11"/>
      <c r="AY471" s="11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11"/>
      <c r="AR472" s="11"/>
      <c r="AS472" s="8"/>
      <c r="AT472" s="8"/>
      <c r="AU472" s="8"/>
      <c r="AV472" s="8"/>
      <c r="AW472" s="11"/>
      <c r="AX472" s="11"/>
      <c r="AY472" s="11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11"/>
      <c r="AR473" s="11"/>
      <c r="AS473" s="8"/>
      <c r="AT473" s="8"/>
      <c r="AU473" s="8"/>
      <c r="AV473" s="8"/>
      <c r="AW473" s="11"/>
      <c r="AX473" s="11"/>
      <c r="AY473" s="11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11"/>
      <c r="AR474" s="11"/>
      <c r="AS474" s="8"/>
      <c r="AT474" s="8"/>
      <c r="AU474" s="8"/>
      <c r="AV474" s="8"/>
      <c r="AW474" s="11"/>
      <c r="AX474" s="11"/>
      <c r="AY474" s="11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11"/>
      <c r="AR475" s="11"/>
      <c r="AS475" s="8"/>
      <c r="AT475" s="8"/>
      <c r="AU475" s="8"/>
      <c r="AV475" s="8"/>
      <c r="AW475" s="11"/>
      <c r="AX475" s="11"/>
      <c r="AY475" s="11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11"/>
      <c r="AR476" s="11"/>
      <c r="AS476" s="8"/>
      <c r="AT476" s="8"/>
      <c r="AU476" s="8"/>
      <c r="AV476" s="8"/>
      <c r="AW476" s="11"/>
      <c r="AX476" s="11"/>
      <c r="AY476" s="11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11"/>
      <c r="AR477" s="11"/>
      <c r="AS477" s="8"/>
      <c r="AT477" s="8"/>
      <c r="AU477" s="8"/>
      <c r="AV477" s="8"/>
      <c r="AW477" s="11"/>
      <c r="AX477" s="11"/>
      <c r="AY477" s="11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11"/>
      <c r="AR478" s="11"/>
      <c r="AS478" s="8"/>
      <c r="AT478" s="8"/>
      <c r="AU478" s="8"/>
      <c r="AV478" s="8"/>
      <c r="AW478" s="11"/>
      <c r="AX478" s="11"/>
      <c r="AY478" s="11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11"/>
      <c r="AR479" s="11"/>
      <c r="AS479" s="8"/>
      <c r="AT479" s="8"/>
      <c r="AU479" s="8"/>
      <c r="AV479" s="8"/>
      <c r="AW479" s="11"/>
      <c r="AX479" s="11"/>
      <c r="AY479" s="11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11"/>
      <c r="AR480" s="11"/>
      <c r="AS480" s="8"/>
      <c r="AT480" s="8"/>
      <c r="AU480" s="8"/>
      <c r="AV480" s="8"/>
      <c r="AW480" s="11"/>
      <c r="AX480" s="11"/>
      <c r="AY480" s="11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11"/>
      <c r="AR481" s="11"/>
      <c r="AS481" s="8"/>
      <c r="AT481" s="8"/>
      <c r="AU481" s="8"/>
      <c r="AV481" s="8"/>
      <c r="AW481" s="11"/>
      <c r="AX481" s="11"/>
      <c r="AY481" s="11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11"/>
      <c r="AR482" s="11"/>
      <c r="AS482" s="8"/>
      <c r="AT482" s="8"/>
      <c r="AU482" s="8"/>
      <c r="AV482" s="8"/>
      <c r="AW482" s="11"/>
      <c r="AX482" s="11"/>
      <c r="AY482" s="11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11"/>
      <c r="AR483" s="11"/>
      <c r="AS483" s="8"/>
      <c r="AT483" s="8"/>
      <c r="AU483" s="8"/>
      <c r="AV483" s="8"/>
      <c r="AW483" s="11"/>
      <c r="AX483" s="11"/>
      <c r="AY483" s="11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11"/>
      <c r="AR484" s="11"/>
      <c r="AS484" s="8"/>
      <c r="AT484" s="8"/>
      <c r="AU484" s="8"/>
      <c r="AV484" s="8"/>
      <c r="AW484" s="11"/>
      <c r="AX484" s="11"/>
      <c r="AY484" s="11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11"/>
      <c r="AR485" s="11"/>
      <c r="AS485" s="8"/>
      <c r="AT485" s="8"/>
      <c r="AU485" s="8"/>
      <c r="AV485" s="8"/>
      <c r="AW485" s="11"/>
      <c r="AX485" s="11"/>
      <c r="AY485" s="11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11"/>
      <c r="AR486" s="11"/>
      <c r="AS486" s="8"/>
      <c r="AT486" s="8"/>
      <c r="AU486" s="8"/>
      <c r="AV486" s="8"/>
      <c r="AW486" s="11"/>
      <c r="AX486" s="11"/>
      <c r="AY486" s="11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11"/>
      <c r="AR487" s="11"/>
      <c r="AS487" s="8"/>
      <c r="AT487" s="8"/>
      <c r="AU487" s="8"/>
      <c r="AV487" s="8"/>
      <c r="AW487" s="11"/>
      <c r="AX487" s="11"/>
      <c r="AY487" s="11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11"/>
      <c r="AR488" s="11"/>
      <c r="AS488" s="8"/>
      <c r="AT488" s="8"/>
      <c r="AU488" s="8"/>
      <c r="AV488" s="8"/>
      <c r="AW488" s="11"/>
      <c r="AX488" s="11"/>
      <c r="AY488" s="11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11"/>
      <c r="AR489" s="11"/>
      <c r="AS489" s="8"/>
      <c r="AT489" s="8"/>
      <c r="AU489" s="8"/>
      <c r="AV489" s="8"/>
      <c r="AW489" s="11"/>
      <c r="AX489" s="11"/>
      <c r="AY489" s="11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11"/>
      <c r="AR490" s="11"/>
      <c r="AS490" s="8"/>
      <c r="AT490" s="8"/>
      <c r="AU490" s="8"/>
      <c r="AV490" s="8"/>
      <c r="AW490" s="11"/>
      <c r="AX490" s="11"/>
      <c r="AY490" s="11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11"/>
      <c r="AR491" s="11"/>
      <c r="AS491" s="8"/>
      <c r="AT491" s="8"/>
      <c r="AU491" s="8"/>
      <c r="AV491" s="8"/>
      <c r="AW491" s="11"/>
      <c r="AX491" s="11"/>
      <c r="AY491" s="11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11"/>
      <c r="AR492" s="11"/>
      <c r="AS492" s="8"/>
      <c r="AT492" s="8"/>
      <c r="AU492" s="8"/>
      <c r="AV492" s="8"/>
      <c r="AW492" s="11"/>
      <c r="AX492" s="11"/>
      <c r="AY492" s="11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11"/>
      <c r="AR493" s="11"/>
      <c r="AS493" s="8"/>
      <c r="AT493" s="8"/>
      <c r="AU493" s="8"/>
      <c r="AV493" s="8"/>
      <c r="AW493" s="11"/>
      <c r="AX493" s="11"/>
      <c r="AY493" s="11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11"/>
      <c r="AR494" s="11"/>
      <c r="AS494" s="8"/>
      <c r="AT494" s="8"/>
      <c r="AU494" s="8"/>
      <c r="AV494" s="8"/>
      <c r="AW494" s="11"/>
      <c r="AX494" s="11"/>
      <c r="AY494" s="11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11"/>
      <c r="AR495" s="11"/>
      <c r="AS495" s="8"/>
      <c r="AT495" s="8"/>
      <c r="AU495" s="8"/>
      <c r="AV495" s="8"/>
      <c r="AW495" s="11"/>
      <c r="AX495" s="11"/>
      <c r="AY495" s="11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11"/>
      <c r="AR496" s="11"/>
      <c r="AS496" s="8"/>
      <c r="AT496" s="8"/>
      <c r="AU496" s="8"/>
      <c r="AV496" s="8"/>
      <c r="AW496" s="11"/>
      <c r="AX496" s="11"/>
      <c r="AY496" s="11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11"/>
      <c r="AR497" s="11"/>
      <c r="AS497" s="8"/>
      <c r="AT497" s="8"/>
      <c r="AU497" s="8"/>
      <c r="AV497" s="8"/>
      <c r="AW497" s="11"/>
      <c r="AX497" s="11"/>
      <c r="AY497" s="11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11"/>
      <c r="AR498" s="11"/>
      <c r="AS498" s="8"/>
      <c r="AT498" s="8"/>
      <c r="AU498" s="8"/>
      <c r="AV498" s="8"/>
      <c r="AW498" s="11"/>
      <c r="AX498" s="11"/>
      <c r="AY498" s="11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11"/>
      <c r="AR499" s="11"/>
      <c r="AS499" s="8"/>
      <c r="AT499" s="8"/>
      <c r="AU499" s="8"/>
      <c r="AV499" s="8"/>
      <c r="AW499" s="11"/>
      <c r="AX499" s="11"/>
      <c r="AY499" s="11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11"/>
      <c r="AR500" s="11"/>
      <c r="AS500" s="8"/>
      <c r="AT500" s="8"/>
      <c r="AU500" s="8"/>
      <c r="AV500" s="8"/>
      <c r="AW500" s="11"/>
      <c r="AX500" s="11"/>
      <c r="AY500" s="11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11"/>
      <c r="AR501" s="11"/>
      <c r="AS501" s="8"/>
      <c r="AT501" s="8"/>
      <c r="AU501" s="8"/>
      <c r="AV501" s="8"/>
      <c r="AW501" s="11"/>
      <c r="AX501" s="11"/>
      <c r="AY501" s="11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11"/>
      <c r="AR502" s="11"/>
      <c r="AS502" s="8"/>
      <c r="AT502" s="8"/>
      <c r="AU502" s="8"/>
      <c r="AV502" s="8"/>
      <c r="AW502" s="11"/>
      <c r="AX502" s="11"/>
      <c r="AY502" s="11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11"/>
      <c r="AR503" s="11"/>
      <c r="AS503" s="8"/>
      <c r="AT503" s="8"/>
      <c r="AU503" s="8"/>
      <c r="AV503" s="8"/>
      <c r="AW503" s="11"/>
      <c r="AX503" s="11"/>
      <c r="AY503" s="11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11"/>
      <c r="AR504" s="11"/>
      <c r="AS504" s="8"/>
      <c r="AT504" s="8"/>
      <c r="AU504" s="8"/>
      <c r="AV504" s="8"/>
      <c r="AW504" s="11"/>
      <c r="AX504" s="11"/>
      <c r="AY504" s="11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11"/>
      <c r="AR505" s="11"/>
      <c r="AS505" s="8"/>
      <c r="AT505" s="8"/>
      <c r="AU505" s="8"/>
      <c r="AV505" s="8"/>
      <c r="AW505" s="11"/>
      <c r="AX505" s="11"/>
      <c r="AY505" s="11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11"/>
      <c r="AR506" s="11"/>
      <c r="AS506" s="8"/>
      <c r="AT506" s="8"/>
      <c r="AU506" s="8"/>
      <c r="AV506" s="8"/>
      <c r="AW506" s="11"/>
      <c r="AX506" s="11"/>
      <c r="AY506" s="11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11"/>
      <c r="AR507" s="11"/>
      <c r="AS507" s="8"/>
      <c r="AT507" s="8"/>
      <c r="AU507" s="8"/>
      <c r="AV507" s="8"/>
      <c r="AW507" s="11"/>
      <c r="AX507" s="11"/>
      <c r="AY507" s="11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11"/>
      <c r="AR508" s="11"/>
      <c r="AS508" s="8"/>
      <c r="AT508" s="8"/>
      <c r="AU508" s="8"/>
      <c r="AV508" s="8"/>
      <c r="AW508" s="11"/>
      <c r="AX508" s="11"/>
      <c r="AY508" s="11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11"/>
      <c r="AR509" s="11"/>
      <c r="AS509" s="8"/>
      <c r="AT509" s="8"/>
      <c r="AU509" s="8"/>
      <c r="AV509" s="8"/>
      <c r="AW509" s="11"/>
      <c r="AX509" s="11"/>
      <c r="AY509" s="11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11"/>
      <c r="AR510" s="11"/>
      <c r="AS510" s="8"/>
      <c r="AT510" s="8"/>
      <c r="AU510" s="8"/>
      <c r="AV510" s="8"/>
      <c r="AW510" s="11"/>
      <c r="AX510" s="11"/>
      <c r="AY510" s="11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11"/>
      <c r="AR511" s="11"/>
      <c r="AS511" s="8"/>
      <c r="AT511" s="8"/>
      <c r="AU511" s="8"/>
      <c r="AV511" s="8"/>
      <c r="AW511" s="11"/>
      <c r="AX511" s="11"/>
      <c r="AY511" s="11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11"/>
      <c r="AR512" s="11"/>
      <c r="AS512" s="8"/>
      <c r="AT512" s="8"/>
      <c r="AU512" s="8"/>
      <c r="AV512" s="8"/>
      <c r="AW512" s="11"/>
      <c r="AX512" s="11"/>
      <c r="AY512" s="11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11"/>
      <c r="AR513" s="11"/>
      <c r="AS513" s="8"/>
      <c r="AT513" s="8"/>
      <c r="AU513" s="8"/>
      <c r="AV513" s="8"/>
      <c r="AW513" s="11"/>
      <c r="AX513" s="11"/>
      <c r="AY513" s="11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11"/>
      <c r="AR514" s="11"/>
      <c r="AS514" s="8"/>
      <c r="AT514" s="8"/>
      <c r="AU514" s="8"/>
      <c r="AV514" s="8"/>
      <c r="AW514" s="11"/>
      <c r="AX514" s="11"/>
      <c r="AY514" s="11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11"/>
      <c r="AR515" s="11"/>
      <c r="AS515" s="8"/>
      <c r="AT515" s="8"/>
      <c r="AU515" s="8"/>
      <c r="AV515" s="8"/>
      <c r="AW515" s="11"/>
      <c r="AX515" s="11"/>
      <c r="AY515" s="11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11"/>
      <c r="AR516" s="11"/>
      <c r="AS516" s="8"/>
      <c r="AT516" s="8"/>
      <c r="AU516" s="8"/>
      <c r="AV516" s="8"/>
      <c r="AW516" s="11"/>
      <c r="AX516" s="11"/>
      <c r="AY516" s="11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11"/>
      <c r="AR517" s="11"/>
      <c r="AS517" s="8"/>
      <c r="AT517" s="8"/>
      <c r="AU517" s="8"/>
      <c r="AV517" s="8"/>
      <c r="AW517" s="11"/>
      <c r="AX517" s="11"/>
      <c r="AY517" s="11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11"/>
      <c r="AR518" s="11"/>
      <c r="AS518" s="8"/>
      <c r="AT518" s="8"/>
      <c r="AU518" s="8"/>
      <c r="AV518" s="8"/>
      <c r="AW518" s="11"/>
      <c r="AX518" s="11"/>
      <c r="AY518" s="11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11"/>
      <c r="AR519" s="11"/>
      <c r="AS519" s="8"/>
      <c r="AT519" s="8"/>
      <c r="AU519" s="8"/>
      <c r="AV519" s="8"/>
      <c r="AW519" s="11"/>
      <c r="AX519" s="11"/>
      <c r="AY519" s="11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11"/>
      <c r="AR520" s="11"/>
      <c r="AS520" s="8"/>
      <c r="AT520" s="8"/>
      <c r="AU520" s="8"/>
      <c r="AV520" s="8"/>
      <c r="AW520" s="11"/>
      <c r="AX520" s="11"/>
      <c r="AY520" s="11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11"/>
      <c r="AR521" s="11"/>
      <c r="AS521" s="8"/>
      <c r="AT521" s="8"/>
      <c r="AU521" s="8"/>
      <c r="AV521" s="8"/>
      <c r="AW521" s="11"/>
      <c r="AX521" s="11"/>
      <c r="AY521" s="11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11"/>
      <c r="AR522" s="11"/>
      <c r="AS522" s="8"/>
      <c r="AT522" s="8"/>
      <c r="AU522" s="8"/>
      <c r="AV522" s="8"/>
      <c r="AW522" s="11"/>
      <c r="AX522" s="11"/>
      <c r="AY522" s="11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11"/>
      <c r="AR523" s="11"/>
      <c r="AS523" s="8"/>
      <c r="AT523" s="8"/>
      <c r="AU523" s="8"/>
      <c r="AV523" s="8"/>
      <c r="AW523" s="11"/>
      <c r="AX523" s="11"/>
      <c r="AY523" s="11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11"/>
      <c r="AR524" s="11"/>
      <c r="AS524" s="8"/>
      <c r="AT524" s="8"/>
      <c r="AU524" s="8"/>
      <c r="AV524" s="8"/>
      <c r="AW524" s="11"/>
      <c r="AX524" s="11"/>
      <c r="AY524" s="11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11"/>
      <c r="AR525" s="11"/>
      <c r="AS525" s="8"/>
      <c r="AT525" s="8"/>
      <c r="AU525" s="8"/>
      <c r="AV525" s="8"/>
      <c r="AW525" s="11"/>
      <c r="AX525" s="11"/>
      <c r="AY525" s="11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11"/>
      <c r="AR526" s="11"/>
      <c r="AS526" s="8"/>
      <c r="AT526" s="8"/>
      <c r="AU526" s="8"/>
      <c r="AV526" s="8"/>
      <c r="AW526" s="11"/>
      <c r="AX526" s="11"/>
      <c r="AY526" s="11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11"/>
      <c r="AR527" s="11"/>
      <c r="AS527" s="8"/>
      <c r="AT527" s="8"/>
      <c r="AU527" s="8"/>
      <c r="AV527" s="8"/>
      <c r="AW527" s="11"/>
      <c r="AX527" s="11"/>
      <c r="AY527" s="11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11"/>
      <c r="AR528" s="11"/>
      <c r="AS528" s="8"/>
      <c r="AT528" s="8"/>
      <c r="AU528" s="8"/>
      <c r="AV528" s="8"/>
      <c r="AW528" s="11"/>
      <c r="AX528" s="11"/>
      <c r="AY528" s="11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11"/>
      <c r="AR529" s="11"/>
      <c r="AS529" s="8"/>
      <c r="AT529" s="8"/>
      <c r="AU529" s="8"/>
      <c r="AV529" s="8"/>
      <c r="AW529" s="11"/>
      <c r="AX529" s="11"/>
      <c r="AY529" s="11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11"/>
      <c r="AR530" s="11"/>
      <c r="AS530" s="8"/>
      <c r="AT530" s="8"/>
      <c r="AU530" s="8"/>
      <c r="AV530" s="8"/>
      <c r="AW530" s="11"/>
      <c r="AX530" s="11"/>
      <c r="AY530" s="11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11"/>
      <c r="AR531" s="11"/>
      <c r="AS531" s="8"/>
      <c r="AT531" s="8"/>
      <c r="AU531" s="8"/>
      <c r="AV531" s="8"/>
      <c r="AW531" s="11"/>
      <c r="AX531" s="11"/>
      <c r="AY531" s="11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11"/>
      <c r="AR532" s="11"/>
      <c r="AS532" s="8"/>
      <c r="AT532" s="8"/>
      <c r="AU532" s="8"/>
      <c r="AV532" s="8"/>
      <c r="AW532" s="11"/>
      <c r="AX532" s="11"/>
      <c r="AY532" s="11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11"/>
      <c r="AR533" s="11"/>
      <c r="AS533" s="8"/>
      <c r="AT533" s="8"/>
      <c r="AU533" s="8"/>
      <c r="AV533" s="8"/>
      <c r="AW533" s="11"/>
      <c r="AX533" s="11"/>
      <c r="AY533" s="11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11"/>
      <c r="AR534" s="11"/>
      <c r="AS534" s="8"/>
      <c r="AT534" s="8"/>
      <c r="AU534" s="8"/>
      <c r="AV534" s="8"/>
      <c r="AW534" s="11"/>
      <c r="AX534" s="11"/>
      <c r="AY534" s="11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11"/>
      <c r="AR535" s="11"/>
      <c r="AS535" s="8"/>
      <c r="AT535" s="8"/>
      <c r="AU535" s="8"/>
      <c r="AV535" s="8"/>
      <c r="AW535" s="11"/>
      <c r="AX535" s="11"/>
      <c r="AY535" s="11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11"/>
      <c r="AR536" s="11"/>
      <c r="AS536" s="8"/>
      <c r="AT536" s="8"/>
      <c r="AU536" s="8"/>
      <c r="AV536" s="8"/>
      <c r="AW536" s="11"/>
      <c r="AX536" s="11"/>
      <c r="AY536" s="11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11"/>
      <c r="AR537" s="11"/>
      <c r="AS537" s="8"/>
      <c r="AT537" s="8"/>
      <c r="AU537" s="8"/>
      <c r="AV537" s="8"/>
      <c r="AW537" s="11"/>
      <c r="AX537" s="11"/>
      <c r="AY537" s="11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11"/>
      <c r="AR538" s="11"/>
      <c r="AS538" s="8"/>
      <c r="AT538" s="8"/>
      <c r="AU538" s="8"/>
      <c r="AV538" s="8"/>
      <c r="AW538" s="11"/>
      <c r="AX538" s="11"/>
      <c r="AY538" s="11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11"/>
      <c r="AR539" s="11"/>
      <c r="AS539" s="8"/>
      <c r="AT539" s="8"/>
      <c r="AU539" s="8"/>
      <c r="AV539" s="8"/>
      <c r="AW539" s="11"/>
      <c r="AX539" s="11"/>
      <c r="AY539" s="11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11"/>
      <c r="AR540" s="11"/>
      <c r="AS540" s="8"/>
      <c r="AT540" s="8"/>
      <c r="AU540" s="8"/>
      <c r="AV540" s="8"/>
      <c r="AW540" s="11"/>
      <c r="AX540" s="11"/>
      <c r="AY540" s="11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11"/>
      <c r="AR541" s="11"/>
      <c r="AS541" s="8"/>
      <c r="AT541" s="8"/>
      <c r="AU541" s="8"/>
      <c r="AV541" s="8"/>
      <c r="AW541" s="11"/>
      <c r="AX541" s="11"/>
      <c r="AY541" s="11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11"/>
      <c r="AR542" s="11"/>
      <c r="AS542" s="8"/>
      <c r="AT542" s="8"/>
      <c r="AU542" s="8"/>
      <c r="AV542" s="8"/>
      <c r="AW542" s="11"/>
      <c r="AX542" s="11"/>
      <c r="AY542" s="11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11"/>
      <c r="AR543" s="11"/>
      <c r="AS543" s="8"/>
      <c r="AT543" s="8"/>
      <c r="AU543" s="8"/>
      <c r="AV543" s="8"/>
      <c r="AW543" s="11"/>
      <c r="AX543" s="11"/>
      <c r="AY543" s="11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11"/>
      <c r="AR544" s="11"/>
      <c r="AS544" s="8"/>
      <c r="AT544" s="8"/>
      <c r="AU544" s="8"/>
      <c r="AV544" s="8"/>
      <c r="AW544" s="11"/>
      <c r="AX544" s="11"/>
      <c r="AY544" s="11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11"/>
      <c r="AR545" s="11"/>
      <c r="AS545" s="8"/>
      <c r="AT545" s="8"/>
      <c r="AU545" s="8"/>
      <c r="AV545" s="8"/>
      <c r="AW545" s="11"/>
      <c r="AX545" s="11"/>
      <c r="AY545" s="11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11"/>
      <c r="AR546" s="11"/>
      <c r="AS546" s="8"/>
      <c r="AT546" s="8"/>
      <c r="AU546" s="8"/>
      <c r="AV546" s="8"/>
      <c r="AW546" s="11"/>
      <c r="AX546" s="11"/>
      <c r="AY546" s="11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11"/>
      <c r="AR547" s="11"/>
      <c r="AS547" s="8"/>
      <c r="AT547" s="8"/>
      <c r="AU547" s="8"/>
      <c r="AV547" s="8"/>
      <c r="AW547" s="11"/>
      <c r="AX547" s="11"/>
      <c r="AY547" s="11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11"/>
      <c r="AR548" s="11"/>
      <c r="AS548" s="8"/>
      <c r="AT548" s="8"/>
      <c r="AU548" s="8"/>
      <c r="AV548" s="8"/>
      <c r="AW548" s="11"/>
      <c r="AX548" s="11"/>
      <c r="AY548" s="11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11"/>
      <c r="AR549" s="11"/>
      <c r="AS549" s="8"/>
      <c r="AT549" s="8"/>
      <c r="AU549" s="8"/>
      <c r="AV549" s="8"/>
      <c r="AW549" s="11"/>
      <c r="AX549" s="11"/>
      <c r="AY549" s="11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11"/>
      <c r="AR550" s="11"/>
      <c r="AS550" s="8"/>
      <c r="AT550" s="8"/>
      <c r="AU550" s="8"/>
      <c r="AV550" s="8"/>
      <c r="AW550" s="11"/>
      <c r="AX550" s="11"/>
      <c r="AY550" s="11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11"/>
      <c r="AR551" s="11"/>
      <c r="AS551" s="8"/>
      <c r="AT551" s="8"/>
      <c r="AU551" s="8"/>
      <c r="AV551" s="8"/>
      <c r="AW551" s="11"/>
      <c r="AX551" s="11"/>
      <c r="AY551" s="11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11"/>
      <c r="AR552" s="11"/>
      <c r="AS552" s="8"/>
      <c r="AT552" s="8"/>
      <c r="AU552" s="8"/>
      <c r="AV552" s="8"/>
      <c r="AW552" s="11"/>
      <c r="AX552" s="11"/>
      <c r="AY552" s="11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11"/>
      <c r="AR553" s="11"/>
      <c r="AS553" s="8"/>
      <c r="AT553" s="8"/>
      <c r="AU553" s="8"/>
      <c r="AV553" s="8"/>
      <c r="AW553" s="11"/>
      <c r="AX553" s="11"/>
      <c r="AY553" s="11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11"/>
      <c r="AR554" s="11"/>
      <c r="AS554" s="8"/>
      <c r="AT554" s="8"/>
      <c r="AU554" s="8"/>
      <c r="AV554" s="8"/>
      <c r="AW554" s="11"/>
      <c r="AX554" s="11"/>
      <c r="AY554" s="11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11"/>
      <c r="AR555" s="11"/>
      <c r="AS555" s="8"/>
      <c r="AT555" s="8"/>
      <c r="AU555" s="8"/>
      <c r="AV555" s="8"/>
      <c r="AW555" s="11"/>
      <c r="AX555" s="11"/>
      <c r="AY555" s="11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11"/>
      <c r="AR556" s="11"/>
      <c r="AS556" s="8"/>
      <c r="AT556" s="8"/>
      <c r="AU556" s="8"/>
      <c r="AV556" s="8"/>
      <c r="AW556" s="11"/>
      <c r="AX556" s="11"/>
      <c r="AY556" s="11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11"/>
      <c r="AR557" s="11"/>
      <c r="AS557" s="8"/>
      <c r="AT557" s="8"/>
      <c r="AU557" s="8"/>
      <c r="AV557" s="8"/>
      <c r="AW557" s="11"/>
      <c r="AX557" s="11"/>
      <c r="AY557" s="11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11"/>
      <c r="AR558" s="11"/>
      <c r="AS558" s="8"/>
      <c r="AT558" s="8"/>
      <c r="AU558" s="8"/>
      <c r="AV558" s="8"/>
      <c r="AW558" s="11"/>
      <c r="AX558" s="11"/>
      <c r="AY558" s="11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11"/>
      <c r="AR559" s="11"/>
      <c r="AS559" s="8"/>
      <c r="AT559" s="8"/>
      <c r="AU559" s="8"/>
      <c r="AV559" s="8"/>
      <c r="AW559" s="11"/>
      <c r="AX559" s="11"/>
      <c r="AY559" s="11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11"/>
      <c r="AR560" s="11"/>
      <c r="AS560" s="8"/>
      <c r="AT560" s="8"/>
      <c r="AU560" s="8"/>
      <c r="AV560" s="8"/>
      <c r="AW560" s="11"/>
      <c r="AX560" s="11"/>
      <c r="AY560" s="11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11"/>
      <c r="AR561" s="11"/>
      <c r="AS561" s="8"/>
      <c r="AT561" s="8"/>
      <c r="AU561" s="8"/>
      <c r="AV561" s="8"/>
      <c r="AW561" s="11"/>
      <c r="AX561" s="11"/>
      <c r="AY561" s="11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11"/>
      <c r="AR562" s="11"/>
      <c r="AS562" s="8"/>
      <c r="AT562" s="8"/>
      <c r="AU562" s="8"/>
      <c r="AV562" s="8"/>
      <c r="AW562" s="11"/>
      <c r="AX562" s="11"/>
      <c r="AY562" s="11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11"/>
      <c r="AR563" s="11"/>
      <c r="AS563" s="8"/>
      <c r="AT563" s="8"/>
      <c r="AU563" s="8"/>
      <c r="AV563" s="8"/>
      <c r="AW563" s="11"/>
      <c r="AX563" s="11"/>
      <c r="AY563" s="11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11"/>
      <c r="AR564" s="11"/>
      <c r="AS564" s="8"/>
      <c r="AT564" s="8"/>
      <c r="AU564" s="8"/>
      <c r="AV564" s="8"/>
      <c r="AW564" s="11"/>
      <c r="AX564" s="11"/>
      <c r="AY564" s="11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11"/>
      <c r="AR565" s="11"/>
      <c r="AS565" s="8"/>
      <c r="AT565" s="8"/>
      <c r="AU565" s="8"/>
      <c r="AV565" s="8"/>
      <c r="AW565" s="11"/>
      <c r="AX565" s="11"/>
      <c r="AY565" s="11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11"/>
      <c r="AR566" s="11"/>
      <c r="AS566" s="8"/>
      <c r="AT566" s="8"/>
      <c r="AU566" s="8"/>
      <c r="AV566" s="8"/>
      <c r="AW566" s="11"/>
      <c r="AX566" s="11"/>
      <c r="AY566" s="11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11"/>
      <c r="AR567" s="11"/>
      <c r="AS567" s="8"/>
      <c r="AT567" s="8"/>
      <c r="AU567" s="8"/>
      <c r="AV567" s="8"/>
      <c r="AW567" s="11"/>
      <c r="AX567" s="11"/>
      <c r="AY567" s="11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11"/>
      <c r="AR568" s="11"/>
      <c r="AS568" s="8"/>
      <c r="AT568" s="8"/>
      <c r="AU568" s="8"/>
      <c r="AV568" s="8"/>
      <c r="AW568" s="11"/>
      <c r="AX568" s="11"/>
      <c r="AY568" s="11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11"/>
      <c r="AR569" s="11"/>
      <c r="AS569" s="8"/>
      <c r="AT569" s="8"/>
      <c r="AU569" s="8"/>
      <c r="AV569" s="8"/>
      <c r="AW569" s="11"/>
      <c r="AX569" s="11"/>
      <c r="AY569" s="11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11"/>
      <c r="AR570" s="11"/>
      <c r="AS570" s="8"/>
      <c r="AT570" s="8"/>
      <c r="AU570" s="8"/>
      <c r="AV570" s="8"/>
      <c r="AW570" s="11"/>
      <c r="AX570" s="11"/>
      <c r="AY570" s="11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11"/>
      <c r="AR571" s="11"/>
      <c r="AS571" s="8"/>
      <c r="AT571" s="8"/>
      <c r="AU571" s="8"/>
      <c r="AV571" s="8"/>
      <c r="AW571" s="11"/>
      <c r="AX571" s="11"/>
      <c r="AY571" s="11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11"/>
      <c r="AR572" s="11"/>
      <c r="AS572" s="8"/>
      <c r="AT572" s="8"/>
      <c r="AU572" s="8"/>
      <c r="AV572" s="8"/>
      <c r="AW572" s="11"/>
      <c r="AX572" s="11"/>
      <c r="AY572" s="11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11"/>
      <c r="AR573" s="11"/>
      <c r="AS573" s="8"/>
      <c r="AT573" s="8"/>
      <c r="AU573" s="8"/>
      <c r="AV573" s="8"/>
      <c r="AW573" s="11"/>
      <c r="AX573" s="11"/>
      <c r="AY573" s="11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11"/>
      <c r="AR574" s="11"/>
      <c r="AS574" s="8"/>
      <c r="AT574" s="8"/>
      <c r="AU574" s="8"/>
      <c r="AV574" s="8"/>
      <c r="AW574" s="11"/>
      <c r="AX574" s="11"/>
      <c r="AY574" s="11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11"/>
      <c r="AR575" s="11"/>
      <c r="AS575" s="8"/>
      <c r="AT575" s="8"/>
      <c r="AU575" s="8"/>
      <c r="AV575" s="8"/>
      <c r="AW575" s="11"/>
      <c r="AX575" s="11"/>
      <c r="AY575" s="11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11"/>
      <c r="AR576" s="11"/>
      <c r="AS576" s="8"/>
      <c r="AT576" s="8"/>
      <c r="AU576" s="8"/>
      <c r="AV576" s="8"/>
      <c r="AW576" s="11"/>
      <c r="AX576" s="11"/>
      <c r="AY576" s="11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11"/>
      <c r="AR577" s="11"/>
      <c r="AS577" s="8"/>
      <c r="AT577" s="8"/>
      <c r="AU577" s="8"/>
      <c r="AV577" s="8"/>
      <c r="AW577" s="11"/>
      <c r="AX577" s="11"/>
      <c r="AY577" s="11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11"/>
      <c r="AR578" s="11"/>
      <c r="AS578" s="8"/>
      <c r="AT578" s="8"/>
      <c r="AU578" s="8"/>
      <c r="AV578" s="8"/>
      <c r="AW578" s="11"/>
      <c r="AX578" s="11"/>
      <c r="AY578" s="11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11"/>
      <c r="AR579" s="11"/>
      <c r="AS579" s="8"/>
      <c r="AT579" s="8"/>
      <c r="AU579" s="8"/>
      <c r="AV579" s="8"/>
      <c r="AW579" s="11"/>
      <c r="AX579" s="11"/>
      <c r="AY579" s="11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11"/>
      <c r="AR580" s="11"/>
      <c r="AS580" s="8"/>
      <c r="AT580" s="8"/>
      <c r="AU580" s="8"/>
      <c r="AV580" s="8"/>
      <c r="AW580" s="11"/>
      <c r="AX580" s="11"/>
      <c r="AY580" s="11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11"/>
      <c r="AR581" s="11"/>
      <c r="AS581" s="8"/>
      <c r="AT581" s="8"/>
      <c r="AU581" s="8"/>
      <c r="AV581" s="8"/>
      <c r="AW581" s="11"/>
      <c r="AX581" s="11"/>
      <c r="AY581" s="11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11"/>
      <c r="AR582" s="11"/>
      <c r="AS582" s="8"/>
      <c r="AT582" s="8"/>
      <c r="AU582" s="8"/>
      <c r="AV582" s="8"/>
      <c r="AW582" s="11"/>
      <c r="AX582" s="11"/>
      <c r="AY582" s="11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11"/>
      <c r="AR583" s="11"/>
      <c r="AS583" s="8"/>
      <c r="AT583" s="8"/>
      <c r="AU583" s="8"/>
      <c r="AV583" s="8"/>
      <c r="AW583" s="11"/>
      <c r="AX583" s="11"/>
      <c r="AY583" s="11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11"/>
      <c r="AR584" s="11"/>
      <c r="AS584" s="8"/>
      <c r="AT584" s="8"/>
      <c r="AU584" s="8"/>
      <c r="AV584" s="8"/>
      <c r="AW584" s="11"/>
      <c r="AX584" s="11"/>
      <c r="AY584" s="11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11"/>
      <c r="AR585" s="11"/>
      <c r="AS585" s="8"/>
      <c r="AT585" s="8"/>
      <c r="AU585" s="8"/>
      <c r="AV585" s="8"/>
      <c r="AW585" s="11"/>
      <c r="AX585" s="11"/>
      <c r="AY585" s="11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11"/>
      <c r="AR586" s="11"/>
      <c r="AS586" s="8"/>
      <c r="AT586" s="8"/>
      <c r="AU586" s="8"/>
      <c r="AV586" s="8"/>
      <c r="AW586" s="11"/>
      <c r="AX586" s="11"/>
      <c r="AY586" s="11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11"/>
      <c r="AR587" s="11"/>
      <c r="AS587" s="8"/>
      <c r="AT587" s="8"/>
      <c r="AU587" s="8"/>
      <c r="AV587" s="8"/>
      <c r="AW587" s="11"/>
      <c r="AX587" s="11"/>
      <c r="AY587" s="11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11"/>
      <c r="AR588" s="11"/>
      <c r="AS588" s="8"/>
      <c r="AT588" s="8"/>
      <c r="AU588" s="8"/>
      <c r="AV588" s="8"/>
      <c r="AW588" s="11"/>
      <c r="AX588" s="11"/>
      <c r="AY588" s="11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11"/>
      <c r="AR589" s="11"/>
      <c r="AS589" s="8"/>
      <c r="AT589" s="8"/>
      <c r="AU589" s="8"/>
      <c r="AV589" s="8"/>
      <c r="AW589" s="11"/>
      <c r="AX589" s="11"/>
      <c r="AY589" s="11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11"/>
      <c r="AR590" s="11"/>
      <c r="AS590" s="8"/>
      <c r="AT590" s="8"/>
      <c r="AU590" s="8"/>
      <c r="AV590" s="8"/>
      <c r="AW590" s="11"/>
      <c r="AX590" s="11"/>
      <c r="AY590" s="11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11"/>
      <c r="AR591" s="11"/>
      <c r="AS591" s="8"/>
      <c r="AT591" s="8"/>
      <c r="AU591" s="8"/>
      <c r="AV591" s="8"/>
      <c r="AW591" s="11"/>
      <c r="AX591" s="11"/>
      <c r="AY591" s="11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11"/>
      <c r="AR592" s="11"/>
      <c r="AS592" s="8"/>
      <c r="AT592" s="8"/>
      <c r="AU592" s="8"/>
      <c r="AV592" s="8"/>
      <c r="AW592" s="11"/>
      <c r="AX592" s="11"/>
      <c r="AY592" s="11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11"/>
      <c r="AR593" s="11"/>
      <c r="AS593" s="8"/>
      <c r="AT593" s="8"/>
      <c r="AU593" s="8"/>
      <c r="AV593" s="8"/>
      <c r="AW593" s="11"/>
      <c r="AX593" s="11"/>
      <c r="AY593" s="11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11"/>
      <c r="AR594" s="11"/>
      <c r="AS594" s="8"/>
      <c r="AT594" s="8"/>
      <c r="AU594" s="8"/>
      <c r="AV594" s="8"/>
      <c r="AW594" s="11"/>
      <c r="AX594" s="11"/>
      <c r="AY594" s="11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11"/>
      <c r="AR595" s="11"/>
      <c r="AS595" s="8"/>
      <c r="AT595" s="8"/>
      <c r="AU595" s="8"/>
      <c r="AV595" s="8"/>
      <c r="AW595" s="11"/>
      <c r="AX595" s="11"/>
      <c r="AY595" s="11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11"/>
      <c r="AR596" s="11"/>
      <c r="AS596" s="8"/>
      <c r="AT596" s="8"/>
      <c r="AU596" s="8"/>
      <c r="AV596" s="8"/>
      <c r="AW596" s="11"/>
      <c r="AX596" s="11"/>
      <c r="AY596" s="11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11"/>
      <c r="AR597" s="11"/>
      <c r="AS597" s="8"/>
      <c r="AT597" s="8"/>
      <c r="AU597" s="8"/>
      <c r="AV597" s="8"/>
      <c r="AW597" s="11"/>
      <c r="AX597" s="11"/>
      <c r="AY597" s="11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11"/>
      <c r="AR598" s="11"/>
      <c r="AS598" s="8"/>
      <c r="AT598" s="8"/>
      <c r="AU598" s="8"/>
      <c r="AV598" s="8"/>
      <c r="AW598" s="11"/>
      <c r="AX598" s="11"/>
      <c r="AY598" s="11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11"/>
      <c r="AR599" s="11"/>
      <c r="AS599" s="8"/>
      <c r="AT599" s="8"/>
      <c r="AU599" s="8"/>
      <c r="AV599" s="8"/>
      <c r="AW599" s="11"/>
      <c r="AX599" s="11"/>
      <c r="AY599" s="11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11"/>
      <c r="AR600" s="11"/>
      <c r="AS600" s="8"/>
      <c r="AT600" s="8"/>
      <c r="AU600" s="8"/>
      <c r="AV600" s="8"/>
      <c r="AW600" s="11"/>
      <c r="AX600" s="11"/>
      <c r="AY600" s="11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11"/>
      <c r="AR601" s="11"/>
      <c r="AS601" s="8"/>
      <c r="AT601" s="8"/>
      <c r="AU601" s="8"/>
      <c r="AV601" s="8"/>
      <c r="AW601" s="11"/>
      <c r="AX601" s="11"/>
      <c r="AY601" s="11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11"/>
      <c r="AR602" s="11"/>
      <c r="AS602" s="8"/>
      <c r="AT602" s="8"/>
      <c r="AU602" s="8"/>
      <c r="AV602" s="8"/>
      <c r="AW602" s="11"/>
      <c r="AX602" s="11"/>
      <c r="AY602" s="11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11"/>
      <c r="AR603" s="11"/>
      <c r="AS603" s="8"/>
      <c r="AT603" s="8"/>
      <c r="AU603" s="8"/>
      <c r="AV603" s="8"/>
      <c r="AW603" s="11"/>
      <c r="AX603" s="11"/>
      <c r="AY603" s="11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11"/>
      <c r="AR604" s="11"/>
      <c r="AS604" s="8"/>
      <c r="AT604" s="8"/>
      <c r="AU604" s="8"/>
      <c r="AV604" s="8"/>
      <c r="AW604" s="11"/>
      <c r="AX604" s="11"/>
      <c r="AY604" s="11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11"/>
      <c r="AR605" s="11"/>
      <c r="AS605" s="8"/>
      <c r="AT605" s="8"/>
      <c r="AU605" s="8"/>
      <c r="AV605" s="8"/>
      <c r="AW605" s="11"/>
      <c r="AX605" s="11"/>
      <c r="AY605" s="11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11"/>
      <c r="AR606" s="11"/>
      <c r="AS606" s="8"/>
      <c r="AT606" s="8"/>
      <c r="AU606" s="8"/>
      <c r="AV606" s="8"/>
      <c r="AW606" s="11"/>
      <c r="AX606" s="11"/>
      <c r="AY606" s="11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11"/>
      <c r="AR607" s="11"/>
      <c r="AS607" s="8"/>
      <c r="AT607" s="8"/>
      <c r="AU607" s="8"/>
      <c r="AV607" s="8"/>
      <c r="AW607" s="11"/>
      <c r="AX607" s="11"/>
      <c r="AY607" s="11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11"/>
      <c r="AR608" s="11"/>
      <c r="AS608" s="8"/>
      <c r="AT608" s="8"/>
      <c r="AU608" s="8"/>
      <c r="AV608" s="8"/>
      <c r="AW608" s="11"/>
      <c r="AX608" s="11"/>
      <c r="AY608" s="11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11"/>
      <c r="AR609" s="11"/>
      <c r="AS609" s="8"/>
      <c r="AT609" s="8"/>
      <c r="AU609" s="8"/>
      <c r="AV609" s="8"/>
      <c r="AW609" s="11"/>
      <c r="AX609" s="11"/>
      <c r="AY609" s="11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11"/>
      <c r="AR610" s="11"/>
      <c r="AS610" s="8"/>
      <c r="AT610" s="8"/>
      <c r="AU610" s="8"/>
      <c r="AV610" s="8"/>
      <c r="AW610" s="11"/>
      <c r="AX610" s="11"/>
      <c r="AY610" s="11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11"/>
      <c r="AR611" s="11"/>
      <c r="AS611" s="8"/>
      <c r="AT611" s="8"/>
      <c r="AU611" s="8"/>
      <c r="AV611" s="8"/>
      <c r="AW611" s="11"/>
      <c r="AX611" s="11"/>
      <c r="AY611" s="11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11"/>
      <c r="AR612" s="11"/>
      <c r="AS612" s="8"/>
      <c r="AT612" s="8"/>
      <c r="AU612" s="8"/>
      <c r="AV612" s="8"/>
      <c r="AW612" s="11"/>
      <c r="AX612" s="11"/>
      <c r="AY612" s="11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11"/>
      <c r="AR613" s="11"/>
      <c r="AS613" s="8"/>
      <c r="AT613" s="8"/>
      <c r="AU613" s="8"/>
      <c r="AV613" s="8"/>
      <c r="AW613" s="11"/>
      <c r="AX613" s="11"/>
      <c r="AY613" s="11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11"/>
      <c r="AR614" s="11"/>
      <c r="AS614" s="8"/>
      <c r="AT614" s="8"/>
      <c r="AU614" s="8"/>
      <c r="AV614" s="8"/>
      <c r="AW614" s="11"/>
      <c r="AX614" s="11"/>
      <c r="AY614" s="11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11"/>
      <c r="AR615" s="11"/>
      <c r="AS615" s="8"/>
      <c r="AT615" s="8"/>
      <c r="AU615" s="8"/>
      <c r="AV615" s="8"/>
      <c r="AW615" s="11"/>
      <c r="AX615" s="11"/>
      <c r="AY615" s="11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11"/>
      <c r="AR616" s="11"/>
      <c r="AS616" s="8"/>
      <c r="AT616" s="8"/>
      <c r="AU616" s="8"/>
      <c r="AV616" s="8"/>
      <c r="AW616" s="11"/>
      <c r="AX616" s="11"/>
      <c r="AY616" s="11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11"/>
      <c r="AR617" s="11"/>
      <c r="AS617" s="8"/>
      <c r="AT617" s="8"/>
      <c r="AU617" s="8"/>
      <c r="AV617" s="8"/>
      <c r="AW617" s="11"/>
      <c r="AX617" s="11"/>
      <c r="AY617" s="11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11"/>
      <c r="AR618" s="11"/>
      <c r="AS618" s="8"/>
      <c r="AT618" s="8"/>
      <c r="AU618" s="8"/>
      <c r="AV618" s="8"/>
      <c r="AW618" s="11"/>
      <c r="AX618" s="11"/>
      <c r="AY618" s="11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11"/>
      <c r="AR619" s="11"/>
      <c r="AS619" s="8"/>
      <c r="AT619" s="8"/>
      <c r="AU619" s="8"/>
      <c r="AV619" s="8"/>
      <c r="AW619" s="11"/>
      <c r="AX619" s="11"/>
      <c r="AY619" s="11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11"/>
      <c r="AR620" s="11"/>
      <c r="AS620" s="8"/>
      <c r="AT620" s="8"/>
      <c r="AU620" s="8"/>
      <c r="AV620" s="8"/>
      <c r="AW620" s="11"/>
      <c r="AX620" s="11"/>
      <c r="AY620" s="11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11"/>
      <c r="AR621" s="11"/>
      <c r="AS621" s="8"/>
      <c r="AT621" s="8"/>
      <c r="AU621" s="8"/>
      <c r="AV621" s="8"/>
      <c r="AW621" s="11"/>
      <c r="AX621" s="11"/>
      <c r="AY621" s="11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11"/>
      <c r="AR622" s="11"/>
      <c r="AS622" s="8"/>
      <c r="AT622" s="8"/>
      <c r="AU622" s="8"/>
      <c r="AV622" s="8"/>
      <c r="AW622" s="11"/>
      <c r="AX622" s="11"/>
      <c r="AY622" s="11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11"/>
      <c r="AR623" s="11"/>
      <c r="AS623" s="8"/>
      <c r="AT623" s="8"/>
      <c r="AU623" s="8"/>
      <c r="AV623" s="8"/>
      <c r="AW623" s="11"/>
      <c r="AX623" s="11"/>
      <c r="AY623" s="11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11"/>
      <c r="AR624" s="11"/>
      <c r="AS624" s="8"/>
      <c r="AT624" s="8"/>
      <c r="AU624" s="8"/>
      <c r="AV624" s="8"/>
      <c r="AW624" s="11"/>
      <c r="AX624" s="11"/>
      <c r="AY624" s="11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11"/>
      <c r="AR625" s="11"/>
      <c r="AS625" s="8"/>
      <c r="AT625" s="8"/>
      <c r="AU625" s="8"/>
      <c r="AV625" s="8"/>
      <c r="AW625" s="11"/>
      <c r="AX625" s="11"/>
      <c r="AY625" s="11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11"/>
      <c r="AR626" s="11"/>
      <c r="AS626" s="8"/>
      <c r="AT626" s="8"/>
      <c r="AU626" s="8"/>
      <c r="AV626" s="8"/>
      <c r="AW626" s="11"/>
      <c r="AX626" s="11"/>
      <c r="AY626" s="11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11"/>
      <c r="AR627" s="11"/>
      <c r="AS627" s="8"/>
      <c r="AT627" s="8"/>
      <c r="AU627" s="8"/>
      <c r="AV627" s="8"/>
      <c r="AW627" s="11"/>
      <c r="AX627" s="11"/>
      <c r="AY627" s="11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11"/>
      <c r="AR628" s="11"/>
      <c r="AS628" s="8"/>
      <c r="AT628" s="8"/>
      <c r="AU628" s="8"/>
      <c r="AV628" s="8"/>
      <c r="AW628" s="11"/>
      <c r="AX628" s="11"/>
      <c r="AY628" s="11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11"/>
      <c r="AR629" s="11"/>
      <c r="AS629" s="8"/>
      <c r="AT629" s="8"/>
      <c r="AU629" s="8"/>
      <c r="AV629" s="8"/>
      <c r="AW629" s="11"/>
      <c r="AX629" s="11"/>
      <c r="AY629" s="11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11"/>
      <c r="AR630" s="11"/>
      <c r="AS630" s="8"/>
      <c r="AT630" s="8"/>
      <c r="AU630" s="8"/>
      <c r="AV630" s="8"/>
      <c r="AW630" s="11"/>
      <c r="AX630" s="11"/>
      <c r="AY630" s="11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11"/>
      <c r="AR631" s="11"/>
      <c r="AS631" s="8"/>
      <c r="AT631" s="8"/>
      <c r="AU631" s="8"/>
      <c r="AV631" s="8"/>
      <c r="AW631" s="11"/>
      <c r="AX631" s="11"/>
      <c r="AY631" s="11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11"/>
      <c r="AR632" s="11"/>
      <c r="AS632" s="8"/>
      <c r="AT632" s="8"/>
      <c r="AU632" s="8"/>
      <c r="AV632" s="8"/>
      <c r="AW632" s="11"/>
      <c r="AX632" s="11"/>
      <c r="AY632" s="11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11"/>
      <c r="AR633" s="11"/>
      <c r="AS633" s="8"/>
      <c r="AT633" s="8"/>
      <c r="AU633" s="8"/>
      <c r="AV633" s="8"/>
      <c r="AW633" s="11"/>
      <c r="AX633" s="11"/>
      <c r="AY633" s="11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11"/>
      <c r="AR634" s="11"/>
      <c r="AS634" s="8"/>
      <c r="AT634" s="8"/>
      <c r="AU634" s="8"/>
      <c r="AV634" s="8"/>
      <c r="AW634" s="11"/>
      <c r="AX634" s="11"/>
      <c r="AY634" s="11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11"/>
      <c r="AR635" s="11"/>
      <c r="AS635" s="8"/>
      <c r="AT635" s="8"/>
      <c r="AU635" s="8"/>
      <c r="AV635" s="8"/>
      <c r="AW635" s="11"/>
      <c r="AX635" s="11"/>
      <c r="AY635" s="11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11"/>
      <c r="AR636" s="11"/>
      <c r="AS636" s="8"/>
      <c r="AT636" s="8"/>
      <c r="AU636" s="8"/>
      <c r="AV636" s="8"/>
      <c r="AW636" s="11"/>
      <c r="AX636" s="11"/>
      <c r="AY636" s="11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11"/>
      <c r="AR637" s="11"/>
      <c r="AS637" s="8"/>
      <c r="AT637" s="8"/>
      <c r="AU637" s="8"/>
      <c r="AV637" s="8"/>
      <c r="AW637" s="11"/>
      <c r="AX637" s="11"/>
      <c r="AY637" s="11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11"/>
      <c r="AR638" s="11"/>
      <c r="AS638" s="8"/>
      <c r="AT638" s="8"/>
      <c r="AU638" s="8"/>
      <c r="AV638" s="8"/>
      <c r="AW638" s="11"/>
      <c r="AX638" s="11"/>
      <c r="AY638" s="11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11"/>
      <c r="AR639" s="11"/>
      <c r="AS639" s="8"/>
      <c r="AT639" s="8"/>
      <c r="AU639" s="8"/>
      <c r="AV639" s="8"/>
      <c r="AW639" s="11"/>
      <c r="AX639" s="11"/>
      <c r="AY639" s="11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11"/>
      <c r="AR640" s="11"/>
      <c r="AS640" s="8"/>
      <c r="AT640" s="8"/>
      <c r="AU640" s="8"/>
      <c r="AV640" s="8"/>
      <c r="AW640" s="11"/>
      <c r="AX640" s="11"/>
      <c r="AY640" s="11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11"/>
      <c r="AR641" s="11"/>
      <c r="AS641" s="8"/>
      <c r="AT641" s="8"/>
      <c r="AU641" s="8"/>
      <c r="AV641" s="8"/>
      <c r="AW641" s="11"/>
      <c r="AX641" s="11"/>
      <c r="AY641" s="11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11"/>
      <c r="AR642" s="11"/>
      <c r="AS642" s="8"/>
      <c r="AT642" s="8"/>
      <c r="AU642" s="8"/>
      <c r="AV642" s="8"/>
      <c r="AW642" s="11"/>
      <c r="AX642" s="11"/>
      <c r="AY642" s="11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11"/>
      <c r="AR643" s="11"/>
      <c r="AS643" s="8"/>
      <c r="AT643" s="8"/>
      <c r="AU643" s="8"/>
      <c r="AV643" s="8"/>
      <c r="AW643" s="11"/>
      <c r="AX643" s="11"/>
      <c r="AY643" s="11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11"/>
      <c r="AR644" s="11"/>
      <c r="AS644" s="8"/>
      <c r="AT644" s="8"/>
      <c r="AU644" s="8"/>
      <c r="AV644" s="8"/>
      <c r="AW644" s="11"/>
      <c r="AX644" s="11"/>
      <c r="AY644" s="11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11"/>
      <c r="AR645" s="11"/>
      <c r="AS645" s="8"/>
      <c r="AT645" s="8"/>
      <c r="AU645" s="8"/>
      <c r="AV645" s="8"/>
      <c r="AW645" s="11"/>
      <c r="AX645" s="11"/>
      <c r="AY645" s="11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11"/>
      <c r="AR646" s="11"/>
      <c r="AS646" s="8"/>
      <c r="AT646" s="8"/>
      <c r="AU646" s="8"/>
      <c r="AV646" s="8"/>
      <c r="AW646" s="11"/>
      <c r="AX646" s="11"/>
      <c r="AY646" s="11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11"/>
      <c r="AR647" s="11"/>
      <c r="AS647" s="8"/>
      <c r="AT647" s="8"/>
      <c r="AU647" s="8"/>
      <c r="AV647" s="8"/>
      <c r="AW647" s="11"/>
      <c r="AX647" s="11"/>
      <c r="AY647" s="11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11"/>
      <c r="AR648" s="11"/>
      <c r="AS648" s="8"/>
      <c r="AT648" s="8"/>
      <c r="AU648" s="8"/>
      <c r="AV648" s="8"/>
      <c r="AW648" s="11"/>
      <c r="AX648" s="11"/>
      <c r="AY648" s="11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11"/>
      <c r="AR649" s="11"/>
      <c r="AS649" s="8"/>
      <c r="AT649" s="8"/>
      <c r="AU649" s="8"/>
      <c r="AV649" s="8"/>
      <c r="AW649" s="11"/>
      <c r="AX649" s="11"/>
      <c r="AY649" s="11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11"/>
      <c r="AR650" s="11"/>
      <c r="AS650" s="8"/>
      <c r="AT650" s="8"/>
      <c r="AU650" s="8"/>
      <c r="AV650" s="8"/>
      <c r="AW650" s="11"/>
      <c r="AX650" s="11"/>
      <c r="AY650" s="11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11"/>
      <c r="AR651" s="11"/>
      <c r="AS651" s="8"/>
      <c r="AT651" s="8"/>
      <c r="AU651" s="8"/>
      <c r="AV651" s="8"/>
      <c r="AW651" s="11"/>
      <c r="AX651" s="11"/>
      <c r="AY651" s="11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11"/>
      <c r="AR652" s="11"/>
      <c r="AS652" s="8"/>
      <c r="AT652" s="8"/>
      <c r="AU652" s="8"/>
      <c r="AV652" s="8"/>
      <c r="AW652" s="11"/>
      <c r="AX652" s="11"/>
      <c r="AY652" s="11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11"/>
      <c r="AR653" s="11"/>
      <c r="AS653" s="8"/>
      <c r="AT653" s="8"/>
      <c r="AU653" s="8"/>
      <c r="AV653" s="8"/>
      <c r="AW653" s="11"/>
      <c r="AX653" s="11"/>
      <c r="AY653" s="11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11"/>
      <c r="AR654" s="11"/>
      <c r="AS654" s="8"/>
      <c r="AT654" s="8"/>
      <c r="AU654" s="8"/>
      <c r="AV654" s="8"/>
      <c r="AW654" s="11"/>
      <c r="AX654" s="11"/>
      <c r="AY654" s="11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11"/>
      <c r="AR655" s="11"/>
      <c r="AS655" s="8"/>
      <c r="AT655" s="8"/>
      <c r="AU655" s="8"/>
      <c r="AV655" s="8"/>
      <c r="AW655" s="11"/>
      <c r="AX655" s="11"/>
      <c r="AY655" s="11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11"/>
      <c r="AR656" s="11"/>
      <c r="AS656" s="8"/>
      <c r="AT656" s="8"/>
      <c r="AU656" s="8"/>
      <c r="AV656" s="8"/>
      <c r="AW656" s="11"/>
      <c r="AX656" s="11"/>
      <c r="AY656" s="11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11"/>
      <c r="AR657" s="11"/>
      <c r="AS657" s="8"/>
      <c r="AT657" s="8"/>
      <c r="AU657" s="8"/>
      <c r="AV657" s="8"/>
      <c r="AW657" s="11"/>
      <c r="AX657" s="11"/>
      <c r="AY657" s="11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11"/>
      <c r="AR658" s="11"/>
      <c r="AS658" s="8"/>
      <c r="AT658" s="8"/>
      <c r="AU658" s="8"/>
      <c r="AV658" s="8"/>
      <c r="AW658" s="11"/>
      <c r="AX658" s="11"/>
      <c r="AY658" s="11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11"/>
      <c r="AR659" s="11"/>
      <c r="AS659" s="8"/>
      <c r="AT659" s="8"/>
      <c r="AU659" s="8"/>
      <c r="AV659" s="8"/>
      <c r="AW659" s="11"/>
      <c r="AX659" s="11"/>
      <c r="AY659" s="11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11"/>
      <c r="AR660" s="11"/>
      <c r="AS660" s="8"/>
      <c r="AT660" s="8"/>
      <c r="AU660" s="8"/>
      <c r="AV660" s="8"/>
      <c r="AW660" s="11"/>
      <c r="AX660" s="11"/>
      <c r="AY660" s="11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11"/>
      <c r="AR661" s="11"/>
      <c r="AS661" s="8"/>
      <c r="AT661" s="8"/>
      <c r="AU661" s="8"/>
      <c r="AV661" s="8"/>
      <c r="AW661" s="11"/>
      <c r="AX661" s="11"/>
      <c r="AY661" s="11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11"/>
      <c r="AR662" s="11"/>
      <c r="AS662" s="8"/>
      <c r="AT662" s="8"/>
      <c r="AU662" s="8"/>
      <c r="AV662" s="8"/>
      <c r="AW662" s="11"/>
      <c r="AX662" s="11"/>
      <c r="AY662" s="11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11"/>
      <c r="AR663" s="11"/>
      <c r="AS663" s="8"/>
      <c r="AT663" s="8"/>
      <c r="AU663" s="8"/>
      <c r="AV663" s="8"/>
      <c r="AW663" s="11"/>
      <c r="AX663" s="11"/>
      <c r="AY663" s="11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11"/>
      <c r="AR664" s="11"/>
      <c r="AS664" s="8"/>
      <c r="AT664" s="8"/>
      <c r="AU664" s="8"/>
      <c r="AV664" s="8"/>
      <c r="AW664" s="11"/>
      <c r="AX664" s="11"/>
      <c r="AY664" s="11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11"/>
      <c r="AR665" s="11"/>
      <c r="AS665" s="8"/>
      <c r="AT665" s="8"/>
      <c r="AU665" s="8"/>
      <c r="AV665" s="8"/>
      <c r="AW665" s="11"/>
      <c r="AX665" s="11"/>
      <c r="AY665" s="11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11"/>
      <c r="AR666" s="11"/>
      <c r="AS666" s="8"/>
      <c r="AT666" s="8"/>
      <c r="AU666" s="8"/>
      <c r="AV666" s="8"/>
      <c r="AW666" s="11"/>
      <c r="AX666" s="11"/>
      <c r="AY666" s="11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11"/>
      <c r="AR667" s="11"/>
      <c r="AS667" s="8"/>
      <c r="AT667" s="8"/>
      <c r="AU667" s="8"/>
      <c r="AV667" s="8"/>
      <c r="AW667" s="11"/>
      <c r="AX667" s="11"/>
      <c r="AY667" s="11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11"/>
      <c r="AR668" s="11"/>
      <c r="AS668" s="8"/>
      <c r="AT668" s="8"/>
      <c r="AU668" s="8"/>
      <c r="AV668" s="8"/>
      <c r="AW668" s="11"/>
      <c r="AX668" s="11"/>
      <c r="AY668" s="11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11"/>
      <c r="AR669" s="11"/>
      <c r="AS669" s="8"/>
      <c r="AT669" s="8"/>
      <c r="AU669" s="8"/>
      <c r="AV669" s="8"/>
      <c r="AW669" s="11"/>
      <c r="AX669" s="11"/>
      <c r="AY669" s="11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11"/>
      <c r="AR670" s="11"/>
      <c r="AS670" s="8"/>
      <c r="AT670" s="8"/>
      <c r="AU670" s="8"/>
      <c r="AV670" s="8"/>
      <c r="AW670" s="11"/>
      <c r="AX670" s="11"/>
      <c r="AY670" s="11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11"/>
      <c r="AR671" s="11"/>
      <c r="AS671" s="8"/>
      <c r="AT671" s="8"/>
      <c r="AU671" s="8"/>
      <c r="AV671" s="8"/>
      <c r="AW671" s="11"/>
      <c r="AX671" s="11"/>
      <c r="AY671" s="11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11"/>
      <c r="AR672" s="11"/>
      <c r="AS672" s="8"/>
      <c r="AT672" s="8"/>
      <c r="AU672" s="8"/>
      <c r="AV672" s="8"/>
      <c r="AW672" s="11"/>
      <c r="AX672" s="11"/>
      <c r="AY672" s="11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11"/>
      <c r="AR673" s="11"/>
      <c r="AS673" s="8"/>
      <c r="AT673" s="8"/>
      <c r="AU673" s="8"/>
      <c r="AV673" s="8"/>
      <c r="AW673" s="11"/>
      <c r="AX673" s="11"/>
      <c r="AY673" s="11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11"/>
      <c r="AR674" s="11"/>
      <c r="AS674" s="8"/>
      <c r="AT674" s="8"/>
      <c r="AU674" s="8"/>
      <c r="AV674" s="8"/>
      <c r="AW674" s="11"/>
      <c r="AX674" s="11"/>
      <c r="AY674" s="11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11"/>
      <c r="AR675" s="11"/>
      <c r="AS675" s="8"/>
      <c r="AT675" s="8"/>
      <c r="AU675" s="8"/>
      <c r="AV675" s="8"/>
      <c r="AW675" s="11"/>
      <c r="AX675" s="11"/>
      <c r="AY675" s="11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11"/>
      <c r="AR676" s="11"/>
      <c r="AS676" s="8"/>
      <c r="AT676" s="8"/>
      <c r="AU676" s="8"/>
      <c r="AV676" s="8"/>
      <c r="AW676" s="11"/>
      <c r="AX676" s="11"/>
      <c r="AY676" s="11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11"/>
      <c r="AR677" s="11"/>
      <c r="AS677" s="8"/>
      <c r="AT677" s="8"/>
      <c r="AU677" s="8"/>
      <c r="AV677" s="8"/>
      <c r="AW677" s="11"/>
      <c r="AX677" s="11"/>
      <c r="AY677" s="11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11"/>
      <c r="AR678" s="11"/>
      <c r="AS678" s="8"/>
      <c r="AT678" s="8"/>
      <c r="AU678" s="8"/>
      <c r="AV678" s="8"/>
      <c r="AW678" s="11"/>
      <c r="AX678" s="11"/>
      <c r="AY678" s="11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11"/>
      <c r="AR679" s="11"/>
      <c r="AS679" s="8"/>
      <c r="AT679" s="8"/>
      <c r="AU679" s="8"/>
      <c r="AV679" s="8"/>
      <c r="AW679" s="11"/>
      <c r="AX679" s="11"/>
      <c r="AY679" s="11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11"/>
      <c r="AR680" s="11"/>
      <c r="AS680" s="8"/>
      <c r="AT680" s="8"/>
      <c r="AU680" s="8"/>
      <c r="AV680" s="8"/>
      <c r="AW680" s="11"/>
      <c r="AX680" s="11"/>
      <c r="AY680" s="11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11"/>
      <c r="AR681" s="11"/>
      <c r="AS681" s="8"/>
      <c r="AT681" s="8"/>
      <c r="AU681" s="8"/>
      <c r="AV681" s="8"/>
      <c r="AW681" s="11"/>
      <c r="AX681" s="11"/>
      <c r="AY681" s="11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11"/>
      <c r="AR682" s="11"/>
      <c r="AS682" s="8"/>
      <c r="AT682" s="8"/>
      <c r="AU682" s="8"/>
      <c r="AV682" s="8"/>
      <c r="AW682" s="11"/>
      <c r="AX682" s="11"/>
      <c r="AY682" s="11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11"/>
      <c r="AR683" s="11"/>
      <c r="AS683" s="8"/>
      <c r="AT683" s="8"/>
      <c r="AU683" s="8"/>
      <c r="AV683" s="8"/>
      <c r="AW683" s="11"/>
      <c r="AX683" s="11"/>
      <c r="AY683" s="11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11"/>
      <c r="AR684" s="11"/>
      <c r="AS684" s="8"/>
      <c r="AT684" s="8"/>
      <c r="AU684" s="8"/>
      <c r="AV684" s="8"/>
      <c r="AW684" s="11"/>
      <c r="AX684" s="11"/>
      <c r="AY684" s="11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11"/>
      <c r="AR685" s="11"/>
      <c r="AS685" s="8"/>
      <c r="AT685" s="8"/>
      <c r="AU685" s="8"/>
      <c r="AV685" s="8"/>
      <c r="AW685" s="11"/>
      <c r="AX685" s="11"/>
      <c r="AY685" s="11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11"/>
      <c r="AR686" s="11"/>
      <c r="AS686" s="8"/>
      <c r="AT686" s="8"/>
      <c r="AU686" s="8"/>
      <c r="AV686" s="8"/>
      <c r="AW686" s="11"/>
      <c r="AX686" s="11"/>
      <c r="AY686" s="11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11"/>
      <c r="AR687" s="11"/>
      <c r="AS687" s="8"/>
      <c r="AT687" s="8"/>
      <c r="AU687" s="8"/>
      <c r="AV687" s="8"/>
      <c r="AW687" s="11"/>
      <c r="AX687" s="11"/>
      <c r="AY687" s="11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11"/>
      <c r="AR688" s="11"/>
      <c r="AS688" s="8"/>
      <c r="AT688" s="8"/>
      <c r="AU688" s="8"/>
      <c r="AV688" s="8"/>
      <c r="AW688" s="11"/>
      <c r="AX688" s="11"/>
      <c r="AY688" s="11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11"/>
      <c r="AR689" s="11"/>
      <c r="AS689" s="8"/>
      <c r="AT689" s="8"/>
      <c r="AU689" s="8"/>
      <c r="AV689" s="8"/>
      <c r="AW689" s="11"/>
      <c r="AX689" s="11"/>
      <c r="AY689" s="11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11"/>
      <c r="AR690" s="11"/>
      <c r="AS690" s="8"/>
      <c r="AT690" s="8"/>
      <c r="AU690" s="8"/>
      <c r="AV690" s="8"/>
      <c r="AW690" s="11"/>
      <c r="AX690" s="11"/>
      <c r="AY690" s="11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11"/>
      <c r="AR691" s="11"/>
      <c r="AS691" s="8"/>
      <c r="AT691" s="8"/>
      <c r="AU691" s="8"/>
      <c r="AV691" s="8"/>
      <c r="AW691" s="11"/>
      <c r="AX691" s="11"/>
      <c r="AY691" s="11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11"/>
      <c r="AR692" s="11"/>
      <c r="AS692" s="8"/>
      <c r="AT692" s="8"/>
      <c r="AU692" s="8"/>
      <c r="AV692" s="8"/>
      <c r="AW692" s="11"/>
      <c r="AX692" s="11"/>
      <c r="AY692" s="11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11"/>
      <c r="AR693" s="11"/>
      <c r="AS693" s="8"/>
      <c r="AT693" s="8"/>
      <c r="AU693" s="8"/>
      <c r="AV693" s="8"/>
      <c r="AW693" s="11"/>
      <c r="AX693" s="11"/>
      <c r="AY693" s="11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11"/>
      <c r="AR694" s="11"/>
      <c r="AS694" s="8"/>
      <c r="AT694" s="8"/>
      <c r="AU694" s="8"/>
      <c r="AV694" s="8"/>
      <c r="AW694" s="11"/>
      <c r="AX694" s="11"/>
      <c r="AY694" s="11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11"/>
      <c r="AR695" s="11"/>
      <c r="AS695" s="8"/>
      <c r="AT695" s="8"/>
      <c r="AU695" s="8"/>
      <c r="AV695" s="8"/>
      <c r="AW695" s="11"/>
      <c r="AX695" s="11"/>
      <c r="AY695" s="11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11"/>
      <c r="AR696" s="11"/>
      <c r="AS696" s="8"/>
      <c r="AT696" s="8"/>
      <c r="AU696" s="8"/>
      <c r="AV696" s="8"/>
      <c r="AW696" s="11"/>
      <c r="AX696" s="11"/>
      <c r="AY696" s="11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11"/>
      <c r="AR697" s="11"/>
      <c r="AS697" s="8"/>
      <c r="AT697" s="8"/>
      <c r="AU697" s="8"/>
      <c r="AV697" s="8"/>
      <c r="AW697" s="11"/>
      <c r="AX697" s="11"/>
      <c r="AY697" s="11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11"/>
      <c r="AR698" s="11"/>
      <c r="AS698" s="8"/>
      <c r="AT698" s="8"/>
      <c r="AU698" s="8"/>
      <c r="AV698" s="8"/>
      <c r="AW698" s="11"/>
      <c r="AX698" s="11"/>
      <c r="AY698" s="11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11"/>
      <c r="AR699" s="11"/>
      <c r="AS699" s="8"/>
      <c r="AT699" s="8"/>
      <c r="AU699" s="8"/>
      <c r="AV699" s="8"/>
      <c r="AW699" s="11"/>
      <c r="AX699" s="11"/>
      <c r="AY699" s="11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11"/>
      <c r="AR700" s="11"/>
      <c r="AS700" s="8"/>
      <c r="AT700" s="8"/>
      <c r="AU700" s="8"/>
      <c r="AV700" s="8"/>
      <c r="AW700" s="11"/>
      <c r="AX700" s="11"/>
      <c r="AY700" s="11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11"/>
      <c r="AR701" s="11"/>
      <c r="AS701" s="8"/>
      <c r="AT701" s="8"/>
      <c r="AU701" s="8"/>
      <c r="AV701" s="8"/>
      <c r="AW701" s="11"/>
      <c r="AX701" s="11"/>
      <c r="AY701" s="11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11"/>
      <c r="AR702" s="11"/>
      <c r="AS702" s="8"/>
      <c r="AT702" s="8"/>
      <c r="AU702" s="8"/>
      <c r="AV702" s="8"/>
      <c r="AW702" s="11"/>
      <c r="AX702" s="11"/>
      <c r="AY702" s="11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11"/>
      <c r="AR703" s="11"/>
      <c r="AS703" s="8"/>
      <c r="AT703" s="8"/>
      <c r="AU703" s="8"/>
      <c r="AV703" s="8"/>
      <c r="AW703" s="11"/>
      <c r="AX703" s="11"/>
      <c r="AY703" s="11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11"/>
      <c r="AR704" s="11"/>
      <c r="AS704" s="8"/>
      <c r="AT704" s="8"/>
      <c r="AU704" s="8"/>
      <c r="AV704" s="8"/>
      <c r="AW704" s="11"/>
      <c r="AX704" s="11"/>
      <c r="AY704" s="11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11"/>
      <c r="AR705" s="11"/>
      <c r="AS705" s="8"/>
      <c r="AT705" s="8"/>
      <c r="AU705" s="8"/>
      <c r="AV705" s="8"/>
      <c r="AW705" s="11"/>
      <c r="AX705" s="11"/>
      <c r="AY705" s="11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11"/>
      <c r="AR706" s="11"/>
      <c r="AS706" s="8"/>
      <c r="AT706" s="8"/>
      <c r="AU706" s="8"/>
      <c r="AV706" s="8"/>
      <c r="AW706" s="11"/>
      <c r="AX706" s="11"/>
      <c r="AY706" s="11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11"/>
      <c r="AR707" s="11"/>
      <c r="AS707" s="8"/>
      <c r="AT707" s="8"/>
      <c r="AU707" s="8"/>
      <c r="AV707" s="8"/>
      <c r="AW707" s="11"/>
      <c r="AX707" s="11"/>
      <c r="AY707" s="11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11"/>
      <c r="AR708" s="11"/>
      <c r="AS708" s="8"/>
      <c r="AT708" s="8"/>
      <c r="AU708" s="8"/>
      <c r="AV708" s="8"/>
      <c r="AW708" s="11"/>
      <c r="AX708" s="11"/>
      <c r="AY708" s="11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11"/>
      <c r="AR709" s="11"/>
      <c r="AS709" s="8"/>
      <c r="AT709" s="8"/>
      <c r="AU709" s="8"/>
      <c r="AV709" s="8"/>
      <c r="AW709" s="11"/>
      <c r="AX709" s="11"/>
      <c r="AY709" s="11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11"/>
      <c r="AR710" s="11"/>
      <c r="AS710" s="8"/>
      <c r="AT710" s="8"/>
      <c r="AU710" s="8"/>
      <c r="AV710" s="8"/>
      <c r="AW710" s="11"/>
      <c r="AX710" s="11"/>
      <c r="AY710" s="11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11"/>
      <c r="AR711" s="11"/>
      <c r="AS711" s="8"/>
      <c r="AT711" s="8"/>
      <c r="AU711" s="8"/>
      <c r="AV711" s="8"/>
      <c r="AW711" s="11"/>
      <c r="AX711" s="11"/>
      <c r="AY711" s="11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11"/>
      <c r="AR712" s="11"/>
      <c r="AS712" s="8"/>
      <c r="AT712" s="8"/>
      <c r="AU712" s="8"/>
      <c r="AV712" s="8"/>
      <c r="AW712" s="11"/>
      <c r="AX712" s="11"/>
      <c r="AY712" s="11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11"/>
      <c r="AR713" s="11"/>
      <c r="AS713" s="8"/>
      <c r="AT713" s="8"/>
      <c r="AU713" s="8"/>
      <c r="AV713" s="8"/>
      <c r="AW713" s="11"/>
      <c r="AX713" s="11"/>
      <c r="AY713" s="11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11"/>
      <c r="AR714" s="11"/>
      <c r="AS714" s="8"/>
      <c r="AT714" s="8"/>
      <c r="AU714" s="8"/>
      <c r="AV714" s="8"/>
      <c r="AW714" s="11"/>
      <c r="AX714" s="11"/>
      <c r="AY714" s="11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11"/>
      <c r="AR715" s="11"/>
      <c r="AS715" s="8"/>
      <c r="AT715" s="8"/>
      <c r="AU715" s="8"/>
      <c r="AV715" s="8"/>
      <c r="AW715" s="11"/>
      <c r="AX715" s="11"/>
      <c r="AY715" s="11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11"/>
      <c r="AR716" s="11"/>
      <c r="AS716" s="8"/>
      <c r="AT716" s="8"/>
      <c r="AU716" s="8"/>
      <c r="AV716" s="8"/>
      <c r="AW716" s="11"/>
      <c r="AX716" s="11"/>
      <c r="AY716" s="11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11"/>
      <c r="AR717" s="11"/>
      <c r="AS717" s="8"/>
      <c r="AT717" s="8"/>
      <c r="AU717" s="8"/>
      <c r="AV717" s="8"/>
      <c r="AW717" s="11"/>
      <c r="AX717" s="11"/>
      <c r="AY717" s="11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11"/>
      <c r="AR718" s="11"/>
      <c r="AS718" s="8"/>
      <c r="AT718" s="8"/>
      <c r="AU718" s="8"/>
      <c r="AV718" s="8"/>
      <c r="AW718" s="11"/>
      <c r="AX718" s="11"/>
      <c r="AY718" s="11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11"/>
      <c r="AR719" s="11"/>
      <c r="AS719" s="8"/>
      <c r="AT719" s="8"/>
      <c r="AU719" s="8"/>
      <c r="AV719" s="8"/>
      <c r="AW719" s="11"/>
      <c r="AX719" s="11"/>
      <c r="AY719" s="11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11"/>
      <c r="AR720" s="11"/>
      <c r="AS720" s="8"/>
      <c r="AT720" s="8"/>
      <c r="AU720" s="8"/>
      <c r="AV720" s="8"/>
      <c r="AW720" s="11"/>
      <c r="AX720" s="11"/>
      <c r="AY720" s="11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11"/>
      <c r="AR721" s="11"/>
      <c r="AS721" s="8"/>
      <c r="AT721" s="8"/>
      <c r="AU721" s="8"/>
      <c r="AV721" s="8"/>
      <c r="AW721" s="11"/>
      <c r="AX721" s="11"/>
      <c r="AY721" s="11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11"/>
      <c r="AR722" s="11"/>
      <c r="AS722" s="8"/>
      <c r="AT722" s="8"/>
      <c r="AU722" s="8"/>
      <c r="AV722" s="8"/>
      <c r="AW722" s="11"/>
      <c r="AX722" s="11"/>
      <c r="AY722" s="11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11"/>
      <c r="AR723" s="11"/>
      <c r="AS723" s="8"/>
      <c r="AT723" s="8"/>
      <c r="AU723" s="8"/>
      <c r="AV723" s="8"/>
      <c r="AW723" s="11"/>
      <c r="AX723" s="11"/>
      <c r="AY723" s="11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11"/>
      <c r="AR724" s="11"/>
      <c r="AS724" s="8"/>
      <c r="AT724" s="8"/>
      <c r="AU724" s="8"/>
      <c r="AV724" s="8"/>
      <c r="AW724" s="11"/>
      <c r="AX724" s="11"/>
      <c r="AY724" s="11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11"/>
      <c r="AR725" s="11"/>
      <c r="AS725" s="8"/>
      <c r="AT725" s="8"/>
      <c r="AU725" s="8"/>
      <c r="AV725" s="8"/>
      <c r="AW725" s="11"/>
      <c r="AX725" s="11"/>
      <c r="AY725" s="11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11"/>
      <c r="AR726" s="11"/>
      <c r="AS726" s="8"/>
      <c r="AT726" s="8"/>
      <c r="AU726" s="8"/>
      <c r="AV726" s="8"/>
      <c r="AW726" s="11"/>
      <c r="AX726" s="11"/>
      <c r="AY726" s="11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11"/>
      <c r="AR727" s="11"/>
      <c r="AS727" s="8"/>
      <c r="AT727" s="8"/>
      <c r="AU727" s="8"/>
      <c r="AV727" s="8"/>
      <c r="AW727" s="11"/>
      <c r="AX727" s="11"/>
      <c r="AY727" s="11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11"/>
      <c r="AR728" s="11"/>
      <c r="AS728" s="8"/>
      <c r="AT728" s="8"/>
      <c r="AU728" s="8"/>
      <c r="AV728" s="8"/>
      <c r="AW728" s="11"/>
      <c r="AX728" s="11"/>
      <c r="AY728" s="11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11"/>
      <c r="AR729" s="11"/>
      <c r="AS729" s="8"/>
      <c r="AT729" s="8"/>
      <c r="AU729" s="8"/>
      <c r="AV729" s="8"/>
      <c r="AW729" s="11"/>
      <c r="AX729" s="11"/>
      <c r="AY729" s="11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11"/>
      <c r="AR730" s="11"/>
      <c r="AS730" s="8"/>
      <c r="AT730" s="8"/>
      <c r="AU730" s="8"/>
      <c r="AV730" s="8"/>
      <c r="AW730" s="11"/>
      <c r="AX730" s="11"/>
      <c r="AY730" s="11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11"/>
      <c r="AR731" s="11"/>
      <c r="AS731" s="8"/>
      <c r="AT731" s="8"/>
      <c r="AU731" s="8"/>
      <c r="AV731" s="8"/>
      <c r="AW731" s="11"/>
      <c r="AX731" s="11"/>
      <c r="AY731" s="11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11"/>
      <c r="AR732" s="11"/>
      <c r="AS732" s="8"/>
      <c r="AT732" s="8"/>
      <c r="AU732" s="8"/>
      <c r="AV732" s="8"/>
      <c r="AW732" s="11"/>
      <c r="AX732" s="11"/>
      <c r="AY732" s="11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11"/>
      <c r="AR733" s="11"/>
      <c r="AS733" s="8"/>
      <c r="AT733" s="8"/>
      <c r="AU733" s="8"/>
      <c r="AV733" s="8"/>
      <c r="AW733" s="11"/>
      <c r="AX733" s="11"/>
      <c r="AY733" s="11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11"/>
      <c r="AR734" s="11"/>
      <c r="AS734" s="8"/>
      <c r="AT734" s="8"/>
      <c r="AU734" s="8"/>
      <c r="AV734" s="8"/>
      <c r="AW734" s="11"/>
      <c r="AX734" s="11"/>
      <c r="AY734" s="11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11"/>
      <c r="AR735" s="11"/>
      <c r="AS735" s="8"/>
      <c r="AT735" s="8"/>
      <c r="AU735" s="8"/>
      <c r="AV735" s="8"/>
      <c r="AW735" s="11"/>
      <c r="AX735" s="11"/>
      <c r="AY735" s="11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11"/>
      <c r="AR736" s="11"/>
      <c r="AS736" s="8"/>
      <c r="AT736" s="8"/>
      <c r="AU736" s="8"/>
      <c r="AV736" s="8"/>
      <c r="AW736" s="11"/>
      <c r="AX736" s="11"/>
      <c r="AY736" s="11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11"/>
      <c r="AR737" s="11"/>
      <c r="AS737" s="8"/>
      <c r="AT737" s="8"/>
      <c r="AU737" s="8"/>
      <c r="AV737" s="8"/>
      <c r="AW737" s="11"/>
      <c r="AX737" s="11"/>
      <c r="AY737" s="11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11"/>
      <c r="AR738" s="11"/>
      <c r="AS738" s="8"/>
      <c r="AT738" s="8"/>
      <c r="AU738" s="8"/>
      <c r="AV738" s="8"/>
      <c r="AW738" s="11"/>
      <c r="AX738" s="11"/>
      <c r="AY738" s="11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11"/>
      <c r="AR739" s="11"/>
      <c r="AS739" s="8"/>
      <c r="AT739" s="8"/>
      <c r="AU739" s="8"/>
      <c r="AV739" s="8"/>
      <c r="AW739" s="11"/>
      <c r="AX739" s="11"/>
      <c r="AY739" s="11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11"/>
      <c r="AR740" s="11"/>
      <c r="AS740" s="8"/>
      <c r="AT740" s="8"/>
      <c r="AU740" s="8"/>
      <c r="AV740" s="8"/>
      <c r="AW740" s="11"/>
      <c r="AX740" s="11"/>
      <c r="AY740" s="11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11"/>
      <c r="AR741" s="11"/>
      <c r="AS741" s="8"/>
      <c r="AT741" s="8"/>
      <c r="AU741" s="8"/>
      <c r="AV741" s="8"/>
      <c r="AW741" s="11"/>
      <c r="AX741" s="11"/>
      <c r="AY741" s="11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11"/>
      <c r="AR742" s="11"/>
      <c r="AS742" s="8"/>
      <c r="AT742" s="8"/>
      <c r="AU742" s="8"/>
      <c r="AV742" s="8"/>
      <c r="AW742" s="11"/>
      <c r="AX742" s="11"/>
      <c r="AY742" s="11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11"/>
      <c r="AR743" s="11"/>
      <c r="AS743" s="8"/>
      <c r="AT743" s="8"/>
      <c r="AU743" s="8"/>
      <c r="AV743" s="8"/>
      <c r="AW743" s="11"/>
      <c r="AX743" s="11"/>
      <c r="AY743" s="11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11"/>
      <c r="AR744" s="11"/>
      <c r="AS744" s="8"/>
      <c r="AT744" s="8"/>
      <c r="AU744" s="8"/>
      <c r="AV744" s="8"/>
      <c r="AW744" s="11"/>
      <c r="AX744" s="11"/>
      <c r="AY744" s="11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11"/>
      <c r="AR745" s="11"/>
      <c r="AS745" s="8"/>
      <c r="AT745" s="8"/>
      <c r="AU745" s="8"/>
      <c r="AV745" s="8"/>
      <c r="AW745" s="11"/>
      <c r="AX745" s="11"/>
      <c r="AY745" s="11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11"/>
      <c r="AR746" s="11"/>
      <c r="AS746" s="8"/>
      <c r="AT746" s="8"/>
      <c r="AU746" s="8"/>
      <c r="AV746" s="8"/>
      <c r="AW746" s="11"/>
      <c r="AX746" s="11"/>
      <c r="AY746" s="11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11"/>
      <c r="AR747" s="11"/>
      <c r="AS747" s="8"/>
      <c r="AT747" s="8"/>
      <c r="AU747" s="8"/>
      <c r="AV747" s="8"/>
      <c r="AW747" s="11"/>
      <c r="AX747" s="11"/>
      <c r="AY747" s="11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11"/>
      <c r="AR748" s="11"/>
      <c r="AS748" s="8"/>
      <c r="AT748" s="8"/>
      <c r="AU748" s="8"/>
      <c r="AV748" s="8"/>
      <c r="AW748" s="11"/>
      <c r="AX748" s="11"/>
      <c r="AY748" s="11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11"/>
      <c r="AR749" s="11"/>
      <c r="AS749" s="8"/>
      <c r="AT749" s="8"/>
      <c r="AU749" s="8"/>
      <c r="AV749" s="8"/>
      <c r="AW749" s="11"/>
      <c r="AX749" s="11"/>
      <c r="AY749" s="11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11"/>
      <c r="AR750" s="11"/>
      <c r="AS750" s="8"/>
      <c r="AT750" s="8"/>
      <c r="AU750" s="8"/>
      <c r="AV750" s="8"/>
      <c r="AW750" s="11"/>
      <c r="AX750" s="11"/>
      <c r="AY750" s="11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11"/>
      <c r="AR751" s="11"/>
      <c r="AS751" s="8"/>
      <c r="AT751" s="8"/>
      <c r="AU751" s="8"/>
      <c r="AV751" s="8"/>
      <c r="AW751" s="11"/>
      <c r="AX751" s="11"/>
      <c r="AY751" s="11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11"/>
      <c r="AR752" s="11"/>
      <c r="AS752" s="8"/>
      <c r="AT752" s="8"/>
      <c r="AU752" s="8"/>
      <c r="AV752" s="8"/>
      <c r="AW752" s="11"/>
      <c r="AX752" s="11"/>
      <c r="AY752" s="11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11"/>
      <c r="AR753" s="11"/>
      <c r="AS753" s="8"/>
      <c r="AT753" s="8"/>
      <c r="AU753" s="8"/>
      <c r="AV753" s="8"/>
      <c r="AW753" s="11"/>
      <c r="AX753" s="11"/>
      <c r="AY753" s="11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11"/>
      <c r="AR754" s="11"/>
      <c r="AS754" s="8"/>
      <c r="AT754" s="8"/>
      <c r="AU754" s="8"/>
      <c r="AV754" s="8"/>
      <c r="AW754" s="11"/>
      <c r="AX754" s="11"/>
      <c r="AY754" s="11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11"/>
      <c r="AR755" s="11"/>
      <c r="AS755" s="8"/>
      <c r="AT755" s="8"/>
      <c r="AU755" s="8"/>
      <c r="AV755" s="8"/>
      <c r="AW755" s="11"/>
      <c r="AX755" s="11"/>
      <c r="AY755" s="11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11"/>
      <c r="AR756" s="11"/>
      <c r="AS756" s="8"/>
      <c r="AT756" s="8"/>
      <c r="AU756" s="8"/>
      <c r="AV756" s="8"/>
      <c r="AW756" s="11"/>
      <c r="AX756" s="11"/>
      <c r="AY756" s="11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11"/>
      <c r="AR757" s="11"/>
      <c r="AS757" s="8"/>
      <c r="AT757" s="8"/>
      <c r="AU757" s="8"/>
      <c r="AV757" s="8"/>
      <c r="AW757" s="11"/>
      <c r="AX757" s="11"/>
      <c r="AY757" s="11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11"/>
      <c r="AR758" s="11"/>
      <c r="AS758" s="8"/>
      <c r="AT758" s="8"/>
      <c r="AU758" s="8"/>
      <c r="AV758" s="8"/>
      <c r="AW758" s="11"/>
      <c r="AX758" s="11"/>
      <c r="AY758" s="11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11"/>
      <c r="AR759" s="11"/>
      <c r="AS759" s="8"/>
      <c r="AT759" s="8"/>
      <c r="AU759" s="8"/>
      <c r="AV759" s="8"/>
      <c r="AW759" s="11"/>
      <c r="AX759" s="11"/>
      <c r="AY759" s="11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11"/>
      <c r="AR760" s="11"/>
      <c r="AS760" s="8"/>
      <c r="AT760" s="8"/>
      <c r="AU760" s="8"/>
      <c r="AV760" s="8"/>
      <c r="AW760" s="11"/>
      <c r="AX760" s="11"/>
      <c r="AY760" s="11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11"/>
      <c r="AR761" s="11"/>
      <c r="AS761" s="8"/>
      <c r="AT761" s="8"/>
      <c r="AU761" s="8"/>
      <c r="AV761" s="8"/>
      <c r="AW761" s="11"/>
      <c r="AX761" s="11"/>
      <c r="AY761" s="11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11"/>
      <c r="AR762" s="11"/>
      <c r="AS762" s="8"/>
      <c r="AT762" s="8"/>
      <c r="AU762" s="8"/>
      <c r="AV762" s="8"/>
      <c r="AW762" s="11"/>
      <c r="AX762" s="11"/>
      <c r="AY762" s="11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11"/>
      <c r="AR763" s="11"/>
      <c r="AS763" s="8"/>
      <c r="AT763" s="8"/>
      <c r="AU763" s="8"/>
      <c r="AV763" s="8"/>
      <c r="AW763" s="11"/>
      <c r="AX763" s="11"/>
      <c r="AY763" s="11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11"/>
      <c r="AR764" s="11"/>
      <c r="AS764" s="8"/>
      <c r="AT764" s="8"/>
      <c r="AU764" s="8"/>
      <c r="AV764" s="8"/>
      <c r="AW764" s="11"/>
      <c r="AX764" s="11"/>
      <c r="AY764" s="11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11"/>
      <c r="AR765" s="11"/>
      <c r="AS765" s="8"/>
      <c r="AT765" s="8"/>
      <c r="AU765" s="8"/>
      <c r="AV765" s="8"/>
      <c r="AW765" s="11"/>
      <c r="AX765" s="11"/>
      <c r="AY765" s="11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11"/>
      <c r="AR766" s="11"/>
      <c r="AS766" s="8"/>
      <c r="AT766" s="8"/>
      <c r="AU766" s="8"/>
      <c r="AV766" s="8"/>
      <c r="AW766" s="11"/>
      <c r="AX766" s="11"/>
      <c r="AY766" s="11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11"/>
      <c r="AR767" s="11"/>
      <c r="AS767" s="8"/>
      <c r="AT767" s="8"/>
      <c r="AU767" s="8"/>
      <c r="AV767" s="8"/>
      <c r="AW767" s="11"/>
      <c r="AX767" s="11"/>
      <c r="AY767" s="11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11"/>
      <c r="AR768" s="11"/>
      <c r="AS768" s="8"/>
      <c r="AT768" s="8"/>
      <c r="AU768" s="8"/>
      <c r="AV768" s="8"/>
      <c r="AW768" s="11"/>
      <c r="AX768" s="11"/>
      <c r="AY768" s="11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11"/>
      <c r="AR769" s="11"/>
      <c r="AS769" s="8"/>
      <c r="AT769" s="8"/>
      <c r="AU769" s="8"/>
      <c r="AV769" s="8"/>
      <c r="AW769" s="11"/>
      <c r="AX769" s="11"/>
      <c r="AY769" s="11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11"/>
      <c r="AR770" s="11"/>
      <c r="AS770" s="8"/>
      <c r="AT770" s="8"/>
      <c r="AU770" s="8"/>
      <c r="AV770" s="8"/>
      <c r="AW770" s="11"/>
      <c r="AX770" s="11"/>
      <c r="AY770" s="11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11"/>
      <c r="AR771" s="11"/>
      <c r="AS771" s="8"/>
      <c r="AT771" s="8"/>
      <c r="AU771" s="8"/>
      <c r="AV771" s="8"/>
      <c r="AW771" s="11"/>
      <c r="AX771" s="11"/>
      <c r="AY771" s="11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11"/>
      <c r="AR772" s="11"/>
      <c r="AS772" s="8"/>
      <c r="AT772" s="8"/>
      <c r="AU772" s="8"/>
      <c r="AV772" s="8"/>
      <c r="AW772" s="11"/>
      <c r="AX772" s="11"/>
      <c r="AY772" s="11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11"/>
      <c r="AR773" s="11"/>
      <c r="AS773" s="8"/>
      <c r="AT773" s="8"/>
      <c r="AU773" s="8"/>
      <c r="AV773" s="8"/>
      <c r="AW773" s="11"/>
      <c r="AX773" s="11"/>
      <c r="AY773" s="11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11"/>
      <c r="AR774" s="11"/>
      <c r="AS774" s="8"/>
      <c r="AT774" s="8"/>
      <c r="AU774" s="8"/>
      <c r="AV774" s="8"/>
      <c r="AW774" s="11"/>
      <c r="AX774" s="11"/>
      <c r="AY774" s="11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11"/>
      <c r="AR775" s="11"/>
      <c r="AS775" s="8"/>
      <c r="AT775" s="8"/>
      <c r="AU775" s="8"/>
      <c r="AV775" s="8"/>
      <c r="AW775" s="11"/>
      <c r="AX775" s="11"/>
      <c r="AY775" s="11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11"/>
      <c r="AR776" s="11"/>
      <c r="AS776" s="8"/>
      <c r="AT776" s="8"/>
      <c r="AU776" s="8"/>
      <c r="AV776" s="8"/>
      <c r="AW776" s="11"/>
      <c r="AX776" s="11"/>
      <c r="AY776" s="11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11"/>
      <c r="AR777" s="11"/>
      <c r="AS777" s="8"/>
      <c r="AT777" s="8"/>
      <c r="AU777" s="8"/>
      <c r="AV777" s="8"/>
      <c r="AW777" s="11"/>
      <c r="AX777" s="11"/>
      <c r="AY777" s="11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11"/>
      <c r="AR778" s="11"/>
      <c r="AS778" s="8"/>
      <c r="AT778" s="8"/>
      <c r="AU778" s="8"/>
      <c r="AV778" s="8"/>
      <c r="AW778" s="11"/>
      <c r="AX778" s="11"/>
      <c r="AY778" s="11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11"/>
      <c r="AR779" s="11"/>
      <c r="AS779" s="8"/>
      <c r="AT779" s="8"/>
      <c r="AU779" s="8"/>
      <c r="AV779" s="8"/>
      <c r="AW779" s="11"/>
      <c r="AX779" s="11"/>
      <c r="AY779" s="11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11"/>
      <c r="AR780" s="11"/>
      <c r="AS780" s="8"/>
      <c r="AT780" s="8"/>
      <c r="AU780" s="8"/>
      <c r="AV780" s="8"/>
      <c r="AW780" s="11"/>
      <c r="AX780" s="11"/>
      <c r="AY780" s="11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11"/>
      <c r="AR781" s="11"/>
      <c r="AS781" s="8"/>
      <c r="AT781" s="8"/>
      <c r="AU781" s="8"/>
      <c r="AV781" s="8"/>
      <c r="AW781" s="11"/>
      <c r="AX781" s="11"/>
      <c r="AY781" s="11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11"/>
      <c r="AR782" s="11"/>
      <c r="AS782" s="8"/>
      <c r="AT782" s="8"/>
      <c r="AU782" s="8"/>
      <c r="AV782" s="8"/>
      <c r="AW782" s="11"/>
      <c r="AX782" s="11"/>
      <c r="AY782" s="11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11"/>
      <c r="AR783" s="11"/>
      <c r="AS783" s="8"/>
      <c r="AT783" s="8"/>
      <c r="AU783" s="8"/>
      <c r="AV783" s="8"/>
      <c r="AW783" s="11"/>
      <c r="AX783" s="11"/>
      <c r="AY783" s="11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11"/>
      <c r="AR784" s="11"/>
      <c r="AS784" s="8"/>
      <c r="AT784" s="8"/>
      <c r="AU784" s="8"/>
      <c r="AV784" s="8"/>
      <c r="AW784" s="11"/>
      <c r="AX784" s="11"/>
      <c r="AY784" s="11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11"/>
      <c r="AR785" s="11"/>
      <c r="AS785" s="8"/>
      <c r="AT785" s="8"/>
      <c r="AU785" s="8"/>
      <c r="AV785" s="8"/>
      <c r="AW785" s="11"/>
      <c r="AX785" s="11"/>
      <c r="AY785" s="11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11"/>
      <c r="AR786" s="11"/>
      <c r="AS786" s="8"/>
      <c r="AT786" s="8"/>
      <c r="AU786" s="8"/>
      <c r="AV786" s="8"/>
      <c r="AW786" s="11"/>
      <c r="AX786" s="11"/>
      <c r="AY786" s="11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11"/>
      <c r="AR787" s="11"/>
      <c r="AS787" s="8"/>
      <c r="AT787" s="8"/>
      <c r="AU787" s="8"/>
      <c r="AV787" s="8"/>
      <c r="AW787" s="11"/>
      <c r="AX787" s="11"/>
      <c r="AY787" s="11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11"/>
      <c r="AR788" s="11"/>
      <c r="AS788" s="8"/>
      <c r="AT788" s="8"/>
      <c r="AU788" s="8"/>
      <c r="AV788" s="8"/>
      <c r="AW788" s="11"/>
      <c r="AX788" s="11"/>
      <c r="AY788" s="11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11"/>
      <c r="AR789" s="11"/>
      <c r="AS789" s="8"/>
      <c r="AT789" s="8"/>
      <c r="AU789" s="8"/>
      <c r="AV789" s="8"/>
      <c r="AW789" s="11"/>
      <c r="AX789" s="11"/>
      <c r="AY789" s="11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11"/>
      <c r="AR790" s="11"/>
      <c r="AS790" s="8"/>
      <c r="AT790" s="8"/>
      <c r="AU790" s="8"/>
      <c r="AV790" s="8"/>
      <c r="AW790" s="11"/>
      <c r="AX790" s="11"/>
      <c r="AY790" s="11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11"/>
      <c r="AR791" s="11"/>
      <c r="AS791" s="8"/>
      <c r="AT791" s="8"/>
      <c r="AU791" s="8"/>
      <c r="AV791" s="8"/>
      <c r="AW791" s="11"/>
      <c r="AX791" s="11"/>
      <c r="AY791" s="11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11"/>
      <c r="AR792" s="11"/>
      <c r="AS792" s="8"/>
      <c r="AT792" s="8"/>
      <c r="AU792" s="8"/>
      <c r="AV792" s="8"/>
      <c r="AW792" s="11"/>
      <c r="AX792" s="11"/>
      <c r="AY792" s="11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11"/>
      <c r="AR793" s="11"/>
      <c r="AS793" s="8"/>
      <c r="AT793" s="8"/>
      <c r="AU793" s="8"/>
      <c r="AV793" s="8"/>
      <c r="AW793" s="11"/>
      <c r="AX793" s="11"/>
      <c r="AY793" s="11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11"/>
      <c r="AR794" s="11"/>
      <c r="AS794" s="8"/>
      <c r="AT794" s="8"/>
      <c r="AU794" s="8"/>
      <c r="AV794" s="8"/>
      <c r="AW794" s="11"/>
      <c r="AX794" s="11"/>
      <c r="AY794" s="11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11"/>
      <c r="AR795" s="11"/>
      <c r="AS795" s="8"/>
      <c r="AT795" s="8"/>
      <c r="AU795" s="8"/>
      <c r="AV795" s="8"/>
      <c r="AW795" s="11"/>
      <c r="AX795" s="11"/>
      <c r="AY795" s="11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11"/>
      <c r="AR796" s="11"/>
      <c r="AS796" s="8"/>
      <c r="AT796" s="8"/>
      <c r="AU796" s="8"/>
      <c r="AV796" s="8"/>
      <c r="AW796" s="11"/>
      <c r="AX796" s="11"/>
      <c r="AY796" s="11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11"/>
      <c r="AR797" s="11"/>
      <c r="AS797" s="8"/>
      <c r="AT797" s="8"/>
      <c r="AU797" s="8"/>
      <c r="AV797" s="8"/>
      <c r="AW797" s="11"/>
      <c r="AX797" s="11"/>
      <c r="AY797" s="11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11"/>
      <c r="AR798" s="11"/>
      <c r="AS798" s="8"/>
      <c r="AT798" s="8"/>
      <c r="AU798" s="8"/>
      <c r="AV798" s="8"/>
      <c r="AW798" s="11"/>
      <c r="AX798" s="11"/>
      <c r="AY798" s="11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11"/>
      <c r="AR799" s="11"/>
      <c r="AS799" s="8"/>
      <c r="AT799" s="8"/>
      <c r="AU799" s="8"/>
      <c r="AV799" s="8"/>
      <c r="AW799" s="11"/>
      <c r="AX799" s="11"/>
      <c r="AY799" s="11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11"/>
      <c r="AR800" s="11"/>
      <c r="AS800" s="8"/>
      <c r="AT800" s="8"/>
      <c r="AU800" s="8"/>
      <c r="AV800" s="8"/>
      <c r="AW800" s="11"/>
      <c r="AX800" s="11"/>
      <c r="AY800" s="11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11"/>
      <c r="AR801" s="11"/>
      <c r="AS801" s="8"/>
      <c r="AT801" s="8"/>
      <c r="AU801" s="8"/>
      <c r="AV801" s="8"/>
      <c r="AW801" s="11"/>
      <c r="AX801" s="11"/>
      <c r="AY801" s="11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11"/>
      <c r="AR802" s="11"/>
      <c r="AS802" s="8"/>
      <c r="AT802" s="8"/>
      <c r="AU802" s="8"/>
      <c r="AV802" s="8"/>
      <c r="AW802" s="11"/>
      <c r="AX802" s="11"/>
      <c r="AY802" s="11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11"/>
      <c r="AR803" s="11"/>
      <c r="AS803" s="8"/>
      <c r="AT803" s="8"/>
      <c r="AU803" s="8"/>
      <c r="AV803" s="8"/>
      <c r="AW803" s="11"/>
      <c r="AX803" s="11"/>
      <c r="AY803" s="11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11"/>
      <c r="AR804" s="11"/>
      <c r="AS804" s="8"/>
      <c r="AT804" s="8"/>
      <c r="AU804" s="8"/>
      <c r="AV804" s="8"/>
      <c r="AW804" s="11"/>
      <c r="AX804" s="11"/>
      <c r="AY804" s="11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11"/>
      <c r="AR805" s="11"/>
      <c r="AS805" s="8"/>
      <c r="AT805" s="8"/>
      <c r="AU805" s="8"/>
      <c r="AV805" s="8"/>
      <c r="AW805" s="11"/>
      <c r="AX805" s="11"/>
      <c r="AY805" s="11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11"/>
      <c r="AR806" s="11"/>
      <c r="AS806" s="8"/>
      <c r="AT806" s="8"/>
      <c r="AU806" s="8"/>
      <c r="AV806" s="8"/>
      <c r="AW806" s="11"/>
      <c r="AX806" s="11"/>
      <c r="AY806" s="11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11"/>
      <c r="AR807" s="11"/>
      <c r="AS807" s="8"/>
      <c r="AT807" s="8"/>
      <c r="AU807" s="8"/>
      <c r="AV807" s="8"/>
      <c r="AW807" s="11"/>
      <c r="AX807" s="11"/>
      <c r="AY807" s="11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11"/>
      <c r="AR808" s="11"/>
      <c r="AS808" s="8"/>
      <c r="AT808" s="8"/>
      <c r="AU808" s="8"/>
      <c r="AV808" s="8"/>
      <c r="AW808" s="11"/>
      <c r="AX808" s="11"/>
      <c r="AY808" s="11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11"/>
      <c r="AR809" s="11"/>
      <c r="AS809" s="8"/>
      <c r="AT809" s="8"/>
      <c r="AU809" s="8"/>
      <c r="AV809" s="8"/>
      <c r="AW809" s="11"/>
      <c r="AX809" s="11"/>
      <c r="AY809" s="11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11"/>
      <c r="AR810" s="11"/>
      <c r="AS810" s="8"/>
      <c r="AT810" s="8"/>
      <c r="AU810" s="8"/>
      <c r="AV810" s="8"/>
      <c r="AW810" s="11"/>
      <c r="AX810" s="11"/>
      <c r="AY810" s="11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11"/>
      <c r="AR811" s="11"/>
      <c r="AS811" s="8"/>
      <c r="AT811" s="8"/>
      <c r="AU811" s="8"/>
      <c r="AV811" s="8"/>
      <c r="AW811" s="11"/>
      <c r="AX811" s="11"/>
      <c r="AY811" s="11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11"/>
      <c r="AR812" s="11"/>
      <c r="AS812" s="8"/>
      <c r="AT812" s="8"/>
      <c r="AU812" s="8"/>
      <c r="AV812" s="8"/>
      <c r="AW812" s="11"/>
      <c r="AX812" s="11"/>
      <c r="AY812" s="11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11"/>
      <c r="AR813" s="11"/>
      <c r="AS813" s="8"/>
      <c r="AT813" s="8"/>
      <c r="AU813" s="8"/>
      <c r="AV813" s="8"/>
      <c r="AW813" s="11"/>
      <c r="AX813" s="11"/>
      <c r="AY813" s="11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11"/>
      <c r="AR814" s="11"/>
      <c r="AS814" s="8"/>
      <c r="AT814" s="8"/>
      <c r="AU814" s="8"/>
      <c r="AV814" s="8"/>
      <c r="AW814" s="11"/>
      <c r="AX814" s="11"/>
      <c r="AY814" s="11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11"/>
      <c r="AR815" s="11"/>
      <c r="AS815" s="8"/>
      <c r="AT815" s="8"/>
      <c r="AU815" s="8"/>
      <c r="AV815" s="8"/>
      <c r="AW815" s="11"/>
      <c r="AX815" s="11"/>
      <c r="AY815" s="11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11"/>
      <c r="AR816" s="11"/>
      <c r="AS816" s="8"/>
      <c r="AT816" s="8"/>
      <c r="AU816" s="8"/>
      <c r="AV816" s="8"/>
      <c r="AW816" s="11"/>
      <c r="AX816" s="11"/>
      <c r="AY816" s="11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11"/>
      <c r="AR817" s="11"/>
      <c r="AS817" s="8"/>
      <c r="AT817" s="8"/>
      <c r="AU817" s="8"/>
      <c r="AV817" s="8"/>
      <c r="AW817" s="11"/>
      <c r="AX817" s="11"/>
      <c r="AY817" s="11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11"/>
      <c r="AR818" s="11"/>
      <c r="AS818" s="8"/>
      <c r="AT818" s="8"/>
      <c r="AU818" s="8"/>
      <c r="AV818" s="8"/>
      <c r="AW818" s="11"/>
      <c r="AX818" s="11"/>
      <c r="AY818" s="11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11"/>
      <c r="AR819" s="11"/>
      <c r="AS819" s="8"/>
      <c r="AT819" s="8"/>
      <c r="AU819" s="8"/>
      <c r="AV819" s="8"/>
      <c r="AW819" s="11"/>
      <c r="AX819" s="11"/>
      <c r="AY819" s="11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11"/>
      <c r="AR820" s="11"/>
      <c r="AS820" s="8"/>
      <c r="AT820" s="8"/>
      <c r="AU820" s="8"/>
      <c r="AV820" s="8"/>
      <c r="AW820" s="11"/>
      <c r="AX820" s="11"/>
      <c r="AY820" s="11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11"/>
      <c r="AR821" s="11"/>
      <c r="AS821" s="8"/>
      <c r="AT821" s="8"/>
      <c r="AU821" s="8"/>
      <c r="AV821" s="8"/>
      <c r="AW821" s="11"/>
      <c r="AX821" s="11"/>
      <c r="AY821" s="11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11"/>
      <c r="AR822" s="11"/>
      <c r="AS822" s="8"/>
      <c r="AT822" s="8"/>
      <c r="AU822" s="8"/>
      <c r="AV822" s="8"/>
      <c r="AW822" s="11"/>
      <c r="AX822" s="11"/>
      <c r="AY822" s="11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11"/>
      <c r="AR823" s="11"/>
      <c r="AS823" s="8"/>
      <c r="AT823" s="8"/>
      <c r="AU823" s="8"/>
      <c r="AV823" s="8"/>
      <c r="AW823" s="11"/>
      <c r="AX823" s="11"/>
      <c r="AY823" s="11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11"/>
      <c r="AR824" s="11"/>
      <c r="AS824" s="8"/>
      <c r="AT824" s="8"/>
      <c r="AU824" s="8"/>
      <c r="AV824" s="8"/>
      <c r="AW824" s="11"/>
      <c r="AX824" s="11"/>
      <c r="AY824" s="11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11"/>
      <c r="AR825" s="11"/>
      <c r="AS825" s="8"/>
      <c r="AT825" s="8"/>
      <c r="AU825" s="8"/>
      <c r="AV825" s="8"/>
      <c r="AW825" s="11"/>
      <c r="AX825" s="11"/>
      <c r="AY825" s="11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11"/>
      <c r="AR826" s="11"/>
      <c r="AS826" s="8"/>
      <c r="AT826" s="8"/>
      <c r="AU826" s="8"/>
      <c r="AV826" s="8"/>
      <c r="AW826" s="11"/>
      <c r="AX826" s="11"/>
      <c r="AY826" s="11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11"/>
      <c r="AR827" s="11"/>
      <c r="AS827" s="8"/>
      <c r="AT827" s="8"/>
      <c r="AU827" s="8"/>
      <c r="AV827" s="8"/>
      <c r="AW827" s="11"/>
      <c r="AX827" s="11"/>
      <c r="AY827" s="11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11"/>
      <c r="AR828" s="11"/>
      <c r="AS828" s="8"/>
      <c r="AT828" s="8"/>
      <c r="AU828" s="8"/>
      <c r="AV828" s="8"/>
      <c r="AW828" s="11"/>
      <c r="AX828" s="11"/>
      <c r="AY828" s="11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11"/>
      <c r="AR829" s="11"/>
      <c r="AS829" s="8"/>
      <c r="AT829" s="8"/>
      <c r="AU829" s="8"/>
      <c r="AV829" s="8"/>
      <c r="AW829" s="11"/>
      <c r="AX829" s="11"/>
      <c r="AY829" s="11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11"/>
      <c r="AR830" s="11"/>
      <c r="AS830" s="8"/>
      <c r="AT830" s="8"/>
      <c r="AU830" s="8"/>
      <c r="AV830" s="8"/>
      <c r="AW830" s="11"/>
      <c r="AX830" s="11"/>
      <c r="AY830" s="11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11"/>
      <c r="AR831" s="11"/>
      <c r="AS831" s="8"/>
      <c r="AT831" s="8"/>
      <c r="AU831" s="8"/>
      <c r="AV831" s="8"/>
      <c r="AW831" s="11"/>
      <c r="AX831" s="11"/>
      <c r="AY831" s="11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11"/>
      <c r="AR832" s="11"/>
      <c r="AS832" s="8"/>
      <c r="AT832" s="8"/>
      <c r="AU832" s="8"/>
      <c r="AV832" s="8"/>
      <c r="AW832" s="11"/>
      <c r="AX832" s="11"/>
      <c r="AY832" s="11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11"/>
      <c r="AR833" s="11"/>
      <c r="AS833" s="8"/>
      <c r="AT833" s="8"/>
      <c r="AU833" s="8"/>
      <c r="AV833" s="8"/>
      <c r="AW833" s="11"/>
      <c r="AX833" s="11"/>
      <c r="AY833" s="11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11"/>
      <c r="AR834" s="11"/>
      <c r="AS834" s="8"/>
      <c r="AT834" s="8"/>
      <c r="AU834" s="8"/>
      <c r="AV834" s="8"/>
      <c r="AW834" s="11"/>
      <c r="AX834" s="11"/>
      <c r="AY834" s="11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11"/>
      <c r="AR835" s="11"/>
      <c r="AS835" s="8"/>
      <c r="AT835" s="8"/>
      <c r="AU835" s="8"/>
      <c r="AV835" s="8"/>
      <c r="AW835" s="11"/>
      <c r="AX835" s="11"/>
      <c r="AY835" s="11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11"/>
      <c r="AR836" s="11"/>
      <c r="AS836" s="8"/>
      <c r="AT836" s="8"/>
      <c r="AU836" s="8"/>
      <c r="AV836" s="8"/>
      <c r="AW836" s="11"/>
      <c r="AX836" s="11"/>
      <c r="AY836" s="11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11"/>
      <c r="AR837" s="11"/>
      <c r="AS837" s="8"/>
      <c r="AT837" s="8"/>
      <c r="AU837" s="8"/>
      <c r="AV837" s="8"/>
      <c r="AW837" s="11"/>
      <c r="AX837" s="11"/>
      <c r="AY837" s="11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11"/>
      <c r="AR838" s="11"/>
      <c r="AS838" s="8"/>
      <c r="AT838" s="8"/>
      <c r="AU838" s="8"/>
      <c r="AV838" s="8"/>
      <c r="AW838" s="11"/>
      <c r="AX838" s="11"/>
      <c r="AY838" s="11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11"/>
      <c r="AR839" s="11"/>
      <c r="AS839" s="8"/>
      <c r="AT839" s="8"/>
      <c r="AU839" s="8"/>
      <c r="AV839" s="8"/>
      <c r="AW839" s="11"/>
      <c r="AX839" s="11"/>
      <c r="AY839" s="11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11"/>
      <c r="AR840" s="11"/>
      <c r="AS840" s="8"/>
      <c r="AT840" s="8"/>
      <c r="AU840" s="8"/>
      <c r="AV840" s="8"/>
      <c r="AW840" s="11"/>
      <c r="AX840" s="11"/>
      <c r="AY840" s="11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11"/>
      <c r="AR841" s="11"/>
      <c r="AS841" s="8"/>
      <c r="AT841" s="8"/>
      <c r="AU841" s="8"/>
      <c r="AV841" s="8"/>
      <c r="AW841" s="11"/>
      <c r="AX841" s="11"/>
      <c r="AY841" s="11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11"/>
      <c r="AR842" s="11"/>
      <c r="AS842" s="8"/>
      <c r="AT842" s="8"/>
      <c r="AU842" s="8"/>
      <c r="AV842" s="8"/>
      <c r="AW842" s="11"/>
      <c r="AX842" s="11"/>
      <c r="AY842" s="11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11"/>
      <c r="AR843" s="11"/>
      <c r="AS843" s="8"/>
      <c r="AT843" s="8"/>
      <c r="AU843" s="8"/>
      <c r="AV843" s="8"/>
      <c r="AW843" s="11"/>
      <c r="AX843" s="11"/>
      <c r="AY843" s="11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11"/>
      <c r="AR844" s="11"/>
      <c r="AS844" s="8"/>
      <c r="AT844" s="8"/>
      <c r="AU844" s="8"/>
      <c r="AV844" s="8"/>
      <c r="AW844" s="11"/>
      <c r="AX844" s="11"/>
      <c r="AY844" s="11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11"/>
      <c r="AR845" s="11"/>
      <c r="AS845" s="8"/>
      <c r="AT845" s="8"/>
      <c r="AU845" s="8"/>
      <c r="AV845" s="8"/>
      <c r="AW845" s="11"/>
      <c r="AX845" s="11"/>
      <c r="AY845" s="11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11"/>
      <c r="AR846" s="11"/>
      <c r="AS846" s="8"/>
      <c r="AT846" s="8"/>
      <c r="AU846" s="8"/>
      <c r="AV846" s="8"/>
      <c r="AW846" s="11"/>
      <c r="AX846" s="11"/>
      <c r="AY846" s="11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11"/>
      <c r="AR847" s="11"/>
      <c r="AS847" s="8"/>
      <c r="AT847" s="8"/>
      <c r="AU847" s="8"/>
      <c r="AV847" s="8"/>
      <c r="AW847" s="11"/>
      <c r="AX847" s="11"/>
      <c r="AY847" s="11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11"/>
      <c r="AR848" s="11"/>
      <c r="AS848" s="8"/>
      <c r="AT848" s="8"/>
      <c r="AU848" s="8"/>
      <c r="AV848" s="8"/>
      <c r="AW848" s="11"/>
      <c r="AX848" s="11"/>
      <c r="AY848" s="11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11"/>
      <c r="AR849" s="11"/>
      <c r="AS849" s="8"/>
      <c r="AT849" s="8"/>
      <c r="AU849" s="8"/>
      <c r="AV849" s="8"/>
      <c r="AW849" s="11"/>
      <c r="AX849" s="11"/>
      <c r="AY849" s="11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11"/>
      <c r="AR850" s="11"/>
      <c r="AS850" s="8"/>
      <c r="AT850" s="8"/>
      <c r="AU850" s="8"/>
      <c r="AV850" s="8"/>
      <c r="AW850" s="11"/>
      <c r="AX850" s="11"/>
      <c r="AY850" s="11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11"/>
      <c r="AR851" s="11"/>
      <c r="AS851" s="8"/>
      <c r="AT851" s="8"/>
      <c r="AU851" s="8"/>
      <c r="AV851" s="8"/>
      <c r="AW851" s="11"/>
      <c r="AX851" s="11"/>
      <c r="AY851" s="11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11"/>
      <c r="AR852" s="11"/>
      <c r="AS852" s="8"/>
      <c r="AT852" s="8"/>
      <c r="AU852" s="8"/>
      <c r="AV852" s="8"/>
      <c r="AW852" s="11"/>
      <c r="AX852" s="11"/>
      <c r="AY852" s="11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11"/>
      <c r="AR853" s="11"/>
      <c r="AS853" s="8"/>
      <c r="AT853" s="8"/>
      <c r="AU853" s="8"/>
      <c r="AV853" s="8"/>
      <c r="AW853" s="11"/>
      <c r="AX853" s="11"/>
      <c r="AY853" s="11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11"/>
      <c r="AR854" s="11"/>
      <c r="AS854" s="8"/>
      <c r="AT854" s="8"/>
      <c r="AU854" s="8"/>
      <c r="AV854" s="8"/>
      <c r="AW854" s="11"/>
      <c r="AX854" s="11"/>
      <c r="AY854" s="11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11"/>
      <c r="AR855" s="11"/>
      <c r="AS855" s="8"/>
      <c r="AT855" s="8"/>
      <c r="AU855" s="8"/>
      <c r="AV855" s="8"/>
      <c r="AW855" s="11"/>
      <c r="AX855" s="11"/>
      <c r="AY855" s="11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11"/>
      <c r="AR856" s="11"/>
      <c r="AS856" s="8"/>
      <c r="AT856" s="8"/>
      <c r="AU856" s="8"/>
      <c r="AV856" s="8"/>
      <c r="AW856" s="11"/>
      <c r="AX856" s="11"/>
      <c r="AY856" s="11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11"/>
      <c r="AR857" s="11"/>
      <c r="AS857" s="8"/>
      <c r="AT857" s="8"/>
      <c r="AU857" s="8"/>
      <c r="AV857" s="8"/>
      <c r="AW857" s="11"/>
      <c r="AX857" s="11"/>
      <c r="AY857" s="11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11"/>
      <c r="AR858" s="11"/>
      <c r="AS858" s="8"/>
      <c r="AT858" s="8"/>
      <c r="AU858" s="8"/>
      <c r="AV858" s="8"/>
      <c r="AW858" s="11"/>
      <c r="AX858" s="11"/>
      <c r="AY858" s="11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11"/>
      <c r="AR859" s="11"/>
      <c r="AS859" s="8"/>
      <c r="AT859" s="8"/>
      <c r="AU859" s="8"/>
      <c r="AV859" s="8"/>
      <c r="AW859" s="11"/>
      <c r="AX859" s="11"/>
      <c r="AY859" s="11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11"/>
      <c r="AR860" s="11"/>
      <c r="AS860" s="8"/>
      <c r="AT860" s="8"/>
      <c r="AU860" s="8"/>
      <c r="AV860" s="8"/>
      <c r="AW860" s="11"/>
      <c r="AX860" s="11"/>
      <c r="AY860" s="11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11"/>
      <c r="AR861" s="11"/>
      <c r="AS861" s="8"/>
      <c r="AT861" s="8"/>
      <c r="AU861" s="8"/>
      <c r="AV861" s="8"/>
      <c r="AW861" s="11"/>
      <c r="AX861" s="11"/>
      <c r="AY861" s="11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11"/>
      <c r="AR862" s="11"/>
      <c r="AS862" s="8"/>
      <c r="AT862" s="8"/>
      <c r="AU862" s="8"/>
      <c r="AV862" s="8"/>
      <c r="AW862" s="11"/>
      <c r="AX862" s="11"/>
      <c r="AY862" s="11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11"/>
      <c r="AR863" s="11"/>
      <c r="AS863" s="8"/>
      <c r="AT863" s="8"/>
      <c r="AU863" s="8"/>
      <c r="AV863" s="8"/>
      <c r="AW863" s="11"/>
      <c r="AX863" s="11"/>
      <c r="AY863" s="11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11"/>
      <c r="AR864" s="11"/>
      <c r="AS864" s="8"/>
      <c r="AT864" s="8"/>
      <c r="AU864" s="8"/>
      <c r="AV864" s="8"/>
      <c r="AW864" s="11"/>
      <c r="AX864" s="11"/>
      <c r="AY864" s="11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11"/>
      <c r="AR865" s="11"/>
      <c r="AS865" s="8"/>
      <c r="AT865" s="8"/>
      <c r="AU865" s="8"/>
      <c r="AV865" s="8"/>
      <c r="AW865" s="11"/>
      <c r="AX865" s="11"/>
      <c r="AY865" s="11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11"/>
      <c r="AR866" s="11"/>
      <c r="AS866" s="8"/>
      <c r="AT866" s="8"/>
      <c r="AU866" s="8"/>
      <c r="AV866" s="8"/>
      <c r="AW866" s="11"/>
      <c r="AX866" s="11"/>
      <c r="AY866" s="11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11"/>
      <c r="AR867" s="11"/>
      <c r="AS867" s="8"/>
      <c r="AT867" s="8"/>
      <c r="AU867" s="8"/>
      <c r="AV867" s="8"/>
      <c r="AW867" s="11"/>
      <c r="AX867" s="11"/>
      <c r="AY867" s="11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11"/>
      <c r="AR868" s="11"/>
      <c r="AS868" s="8"/>
      <c r="AT868" s="8"/>
      <c r="AU868" s="8"/>
      <c r="AV868" s="8"/>
      <c r="AW868" s="11"/>
      <c r="AX868" s="11"/>
      <c r="AY868" s="11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11"/>
      <c r="AR869" s="11"/>
      <c r="AS869" s="8"/>
      <c r="AT869" s="8"/>
      <c r="AU869" s="8"/>
      <c r="AV869" s="8"/>
      <c r="AW869" s="11"/>
      <c r="AX869" s="11"/>
      <c r="AY869" s="11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11"/>
      <c r="AR870" s="11"/>
      <c r="AS870" s="8"/>
      <c r="AT870" s="8"/>
      <c r="AU870" s="8"/>
      <c r="AV870" s="8"/>
      <c r="AW870" s="11"/>
      <c r="AX870" s="11"/>
      <c r="AY870" s="11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11"/>
      <c r="AR871" s="11"/>
      <c r="AS871" s="8"/>
      <c r="AT871" s="8"/>
      <c r="AU871" s="8"/>
      <c r="AV871" s="8"/>
      <c r="AW871" s="11"/>
      <c r="AX871" s="11"/>
      <c r="AY871" s="11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11"/>
      <c r="AR872" s="11"/>
      <c r="AS872" s="8"/>
      <c r="AT872" s="8"/>
      <c r="AU872" s="8"/>
      <c r="AV872" s="8"/>
      <c r="AW872" s="11"/>
      <c r="AX872" s="11"/>
      <c r="AY872" s="11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11"/>
      <c r="AR873" s="11"/>
      <c r="AS873" s="8"/>
      <c r="AT873" s="8"/>
      <c r="AU873" s="8"/>
      <c r="AV873" s="8"/>
      <c r="AW873" s="11"/>
      <c r="AX873" s="11"/>
      <c r="AY873" s="11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11"/>
      <c r="AR874" s="11"/>
      <c r="AS874" s="8"/>
      <c r="AT874" s="8"/>
      <c r="AU874" s="8"/>
      <c r="AV874" s="8"/>
      <c r="AW874" s="11"/>
      <c r="AX874" s="11"/>
      <c r="AY874" s="11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11"/>
      <c r="AR875" s="11"/>
      <c r="AS875" s="8"/>
      <c r="AT875" s="8"/>
      <c r="AU875" s="8"/>
      <c r="AV875" s="8"/>
      <c r="AW875" s="11"/>
      <c r="AX875" s="11"/>
      <c r="AY875" s="11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11"/>
      <c r="AR876" s="11"/>
      <c r="AS876" s="8"/>
      <c r="AT876" s="8"/>
      <c r="AU876" s="8"/>
      <c r="AV876" s="8"/>
      <c r="AW876" s="11"/>
      <c r="AX876" s="11"/>
      <c r="AY876" s="11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11"/>
      <c r="AR877" s="11"/>
      <c r="AS877" s="8"/>
      <c r="AT877" s="8"/>
      <c r="AU877" s="8"/>
      <c r="AV877" s="8"/>
      <c r="AW877" s="11"/>
      <c r="AX877" s="11"/>
      <c r="AY877" s="11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11"/>
      <c r="AR878" s="11"/>
      <c r="AS878" s="8"/>
      <c r="AT878" s="8"/>
      <c r="AU878" s="8"/>
      <c r="AV878" s="8"/>
      <c r="AW878" s="11"/>
      <c r="AX878" s="11"/>
      <c r="AY878" s="11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11"/>
      <c r="AR879" s="11"/>
      <c r="AS879" s="8"/>
      <c r="AT879" s="8"/>
      <c r="AU879" s="8"/>
      <c r="AV879" s="8"/>
      <c r="AW879" s="11"/>
      <c r="AX879" s="11"/>
      <c r="AY879" s="11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11"/>
      <c r="AR880" s="11"/>
      <c r="AS880" s="8"/>
      <c r="AT880" s="8"/>
      <c r="AU880" s="8"/>
      <c r="AV880" s="8"/>
      <c r="AW880" s="11"/>
      <c r="AX880" s="11"/>
      <c r="AY880" s="11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11"/>
      <c r="AR881" s="11"/>
      <c r="AS881" s="8"/>
      <c r="AT881" s="8"/>
      <c r="AU881" s="8"/>
      <c r="AV881" s="8"/>
      <c r="AW881" s="11"/>
      <c r="AX881" s="11"/>
      <c r="AY881" s="11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11"/>
      <c r="AR882" s="11"/>
      <c r="AS882" s="8"/>
      <c r="AT882" s="8"/>
      <c r="AU882" s="8"/>
      <c r="AV882" s="8"/>
      <c r="AW882" s="11"/>
      <c r="AX882" s="11"/>
      <c r="AY882" s="11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11"/>
      <c r="AR883" s="11"/>
      <c r="AS883" s="8"/>
      <c r="AT883" s="8"/>
      <c r="AU883" s="8"/>
      <c r="AV883" s="8"/>
      <c r="AW883" s="11"/>
      <c r="AX883" s="11"/>
      <c r="AY883" s="11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11"/>
      <c r="AR884" s="11"/>
      <c r="AS884" s="8"/>
      <c r="AT884" s="8"/>
      <c r="AU884" s="8"/>
      <c r="AV884" s="8"/>
      <c r="AW884" s="11"/>
      <c r="AX884" s="11"/>
      <c r="AY884" s="11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11"/>
      <c r="AR885" s="11"/>
      <c r="AS885" s="8"/>
      <c r="AT885" s="8"/>
      <c r="AU885" s="8"/>
      <c r="AV885" s="8"/>
      <c r="AW885" s="11"/>
      <c r="AX885" s="11"/>
      <c r="AY885" s="11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11"/>
      <c r="AR886" s="11"/>
      <c r="AS886" s="8"/>
      <c r="AT886" s="8"/>
      <c r="AU886" s="8"/>
      <c r="AV886" s="8"/>
      <c r="AW886" s="11"/>
      <c r="AX886" s="11"/>
      <c r="AY886" s="11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11"/>
      <c r="AR887" s="11"/>
      <c r="AS887" s="8"/>
      <c r="AT887" s="8"/>
      <c r="AU887" s="8"/>
      <c r="AV887" s="8"/>
      <c r="AW887" s="11"/>
      <c r="AX887" s="11"/>
      <c r="AY887" s="11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11"/>
      <c r="AR888" s="11"/>
      <c r="AS888" s="8"/>
      <c r="AT888" s="8"/>
      <c r="AU888" s="8"/>
      <c r="AV888" s="8"/>
      <c r="AW888" s="11"/>
      <c r="AX888" s="11"/>
      <c r="AY888" s="11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11"/>
      <c r="AR889" s="11"/>
      <c r="AS889" s="8"/>
      <c r="AT889" s="8"/>
      <c r="AU889" s="8"/>
      <c r="AV889" s="8"/>
      <c r="AW889" s="11"/>
      <c r="AX889" s="11"/>
      <c r="AY889" s="11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11"/>
      <c r="AR890" s="11"/>
      <c r="AS890" s="8"/>
      <c r="AT890" s="8"/>
      <c r="AU890" s="8"/>
      <c r="AV890" s="8"/>
      <c r="AW890" s="11"/>
      <c r="AX890" s="11"/>
      <c r="AY890" s="11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11"/>
      <c r="AR891" s="11"/>
      <c r="AS891" s="8"/>
      <c r="AT891" s="8"/>
      <c r="AU891" s="8"/>
      <c r="AV891" s="8"/>
      <c r="AW891" s="11"/>
      <c r="AX891" s="11"/>
      <c r="AY891" s="11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11"/>
      <c r="AR892" s="11"/>
      <c r="AS892" s="8"/>
      <c r="AT892" s="8"/>
      <c r="AU892" s="8"/>
      <c r="AV892" s="8"/>
      <c r="AW892" s="11"/>
      <c r="AX892" s="11"/>
      <c r="AY892" s="11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11"/>
      <c r="AR893" s="11"/>
      <c r="AS893" s="8"/>
      <c r="AT893" s="8"/>
      <c r="AU893" s="8"/>
      <c r="AV893" s="8"/>
      <c r="AW893" s="11"/>
      <c r="AX893" s="11"/>
      <c r="AY893" s="11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11"/>
      <c r="AR894" s="11"/>
      <c r="AS894" s="8"/>
      <c r="AT894" s="8"/>
      <c r="AU894" s="8"/>
      <c r="AV894" s="8"/>
      <c r="AW894" s="11"/>
      <c r="AX894" s="11"/>
      <c r="AY894" s="11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11"/>
      <c r="AR895" s="11"/>
      <c r="AS895" s="8"/>
      <c r="AT895" s="8"/>
      <c r="AU895" s="8"/>
      <c r="AV895" s="8"/>
      <c r="AW895" s="11"/>
      <c r="AX895" s="11"/>
      <c r="AY895" s="11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11"/>
      <c r="AR896" s="11"/>
      <c r="AS896" s="8"/>
      <c r="AT896" s="8"/>
      <c r="AU896" s="8"/>
      <c r="AV896" s="8"/>
      <c r="AW896" s="11"/>
      <c r="AX896" s="11"/>
      <c r="AY896" s="11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11"/>
      <c r="AR897" s="11"/>
      <c r="AS897" s="8"/>
      <c r="AT897" s="8"/>
      <c r="AU897" s="8"/>
      <c r="AV897" s="8"/>
      <c r="AW897" s="11"/>
      <c r="AX897" s="11"/>
      <c r="AY897" s="11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11"/>
      <c r="AR898" s="11"/>
      <c r="AS898" s="8"/>
      <c r="AT898" s="8"/>
      <c r="AU898" s="8"/>
      <c r="AV898" s="8"/>
      <c r="AW898" s="11"/>
      <c r="AX898" s="11"/>
      <c r="AY898" s="11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11"/>
      <c r="AR899" s="11"/>
      <c r="AS899" s="8"/>
      <c r="AT899" s="8"/>
      <c r="AU899" s="8"/>
      <c r="AV899" s="8"/>
      <c r="AW899" s="11"/>
      <c r="AX899" s="11"/>
      <c r="AY899" s="11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11"/>
      <c r="AR900" s="11"/>
      <c r="AS900" s="8"/>
      <c r="AT900" s="8"/>
      <c r="AU900" s="8"/>
      <c r="AV900" s="8"/>
      <c r="AW900" s="11"/>
      <c r="AX900" s="11"/>
      <c r="AY900" s="11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11"/>
      <c r="AR901" s="11"/>
      <c r="AS901" s="8"/>
      <c r="AT901" s="8"/>
      <c r="AU901" s="8"/>
      <c r="AV901" s="8"/>
      <c r="AW901" s="11"/>
      <c r="AX901" s="11"/>
      <c r="AY901" s="11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11"/>
      <c r="AR902" s="11"/>
      <c r="AS902" s="8"/>
      <c r="AT902" s="8"/>
      <c r="AU902" s="8"/>
      <c r="AV902" s="8"/>
      <c r="AW902" s="11"/>
      <c r="AX902" s="11"/>
      <c r="AY902" s="11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11"/>
      <c r="AR903" s="11"/>
      <c r="AS903" s="8"/>
      <c r="AT903" s="8"/>
      <c r="AU903" s="8"/>
      <c r="AV903" s="8"/>
      <c r="AW903" s="11"/>
      <c r="AX903" s="11"/>
      <c r="AY903" s="11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11"/>
      <c r="AR904" s="11"/>
      <c r="AS904" s="8"/>
      <c r="AT904" s="8"/>
      <c r="AU904" s="8"/>
      <c r="AV904" s="8"/>
      <c r="AW904" s="11"/>
      <c r="AX904" s="11"/>
      <c r="AY904" s="11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11"/>
      <c r="AR905" s="11"/>
      <c r="AS905" s="8"/>
      <c r="AT905" s="8"/>
      <c r="AU905" s="8"/>
      <c r="AV905" s="8"/>
      <c r="AW905" s="11"/>
      <c r="AX905" s="11"/>
      <c r="AY905" s="11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11"/>
      <c r="AR906" s="11"/>
      <c r="AS906" s="8"/>
      <c r="AT906" s="8"/>
      <c r="AU906" s="8"/>
      <c r="AV906" s="8"/>
      <c r="AW906" s="11"/>
      <c r="AX906" s="11"/>
      <c r="AY906" s="11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11"/>
      <c r="AR907" s="11"/>
      <c r="AS907" s="8"/>
      <c r="AT907" s="8"/>
      <c r="AU907" s="8"/>
      <c r="AV907" s="8"/>
      <c r="AW907" s="11"/>
      <c r="AX907" s="11"/>
      <c r="AY907" s="11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11"/>
      <c r="AR908" s="11"/>
      <c r="AS908" s="8"/>
      <c r="AT908" s="8"/>
      <c r="AU908" s="8"/>
      <c r="AV908" s="8"/>
      <c r="AW908" s="11"/>
      <c r="AX908" s="11"/>
      <c r="AY908" s="11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11"/>
      <c r="AR909" s="11"/>
      <c r="AS909" s="8"/>
      <c r="AT909" s="8"/>
      <c r="AU909" s="8"/>
      <c r="AV909" s="8"/>
      <c r="AW909" s="11"/>
      <c r="AX909" s="11"/>
      <c r="AY909" s="11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11"/>
      <c r="AR910" s="11"/>
      <c r="AS910" s="8"/>
      <c r="AT910" s="8"/>
      <c r="AU910" s="8"/>
      <c r="AV910" s="8"/>
      <c r="AW910" s="11"/>
      <c r="AX910" s="11"/>
      <c r="AY910" s="11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11"/>
      <c r="AR911" s="11"/>
      <c r="AS911" s="8"/>
      <c r="AT911" s="8"/>
      <c r="AU911" s="8"/>
      <c r="AV911" s="8"/>
      <c r="AW911" s="11"/>
      <c r="AX911" s="11"/>
      <c r="AY911" s="11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11"/>
      <c r="AR912" s="11"/>
      <c r="AS912" s="8"/>
      <c r="AT912" s="8"/>
      <c r="AU912" s="8"/>
      <c r="AV912" s="8"/>
      <c r="AW912" s="11"/>
      <c r="AX912" s="11"/>
      <c r="AY912" s="11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11"/>
      <c r="AR913" s="11"/>
      <c r="AS913" s="8"/>
      <c r="AT913" s="8"/>
      <c r="AU913" s="8"/>
      <c r="AV913" s="8"/>
      <c r="AW913" s="11"/>
      <c r="AX913" s="11"/>
      <c r="AY913" s="11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11"/>
      <c r="AR914" s="11"/>
      <c r="AS914" s="8"/>
      <c r="AT914" s="8"/>
      <c r="AU914" s="8"/>
      <c r="AV914" s="8"/>
      <c r="AW914" s="11"/>
      <c r="AX914" s="11"/>
      <c r="AY914" s="11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11"/>
      <c r="AR915" s="11"/>
      <c r="AS915" s="8"/>
      <c r="AT915" s="8"/>
      <c r="AU915" s="8"/>
      <c r="AV915" s="8"/>
      <c r="AW915" s="11"/>
      <c r="AX915" s="11"/>
      <c r="AY915" s="11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11"/>
      <c r="AR916" s="11"/>
      <c r="AS916" s="8"/>
      <c r="AT916" s="8"/>
      <c r="AU916" s="8"/>
      <c r="AV916" s="8"/>
      <c r="AW916" s="11"/>
      <c r="AX916" s="11"/>
      <c r="AY916" s="11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11"/>
      <c r="AR917" s="11"/>
      <c r="AS917" s="8"/>
      <c r="AT917" s="8"/>
      <c r="AU917" s="8"/>
      <c r="AV917" s="8"/>
      <c r="AW917" s="11"/>
      <c r="AX917" s="11"/>
      <c r="AY917" s="11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11"/>
      <c r="AR918" s="11"/>
      <c r="AS918" s="8"/>
      <c r="AT918" s="8"/>
      <c r="AU918" s="8"/>
      <c r="AV918" s="8"/>
      <c r="AW918" s="11"/>
      <c r="AX918" s="11"/>
      <c r="AY918" s="11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11"/>
      <c r="AR919" s="11"/>
      <c r="AS919" s="8"/>
      <c r="AT919" s="8"/>
      <c r="AU919" s="8"/>
      <c r="AV919" s="8"/>
      <c r="AW919" s="11"/>
      <c r="AX919" s="11"/>
      <c r="AY919" s="11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11"/>
      <c r="AR920" s="11"/>
      <c r="AS920" s="8"/>
      <c r="AT920" s="8"/>
      <c r="AU920" s="8"/>
      <c r="AV920" s="8"/>
      <c r="AW920" s="11"/>
      <c r="AX920" s="11"/>
      <c r="AY920" s="11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11"/>
      <c r="AR921" s="11"/>
      <c r="AS921" s="8"/>
      <c r="AT921" s="8"/>
      <c r="AU921" s="8"/>
      <c r="AV921" s="8"/>
      <c r="AW921" s="11"/>
      <c r="AX921" s="11"/>
      <c r="AY921" s="11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11"/>
      <c r="AR922" s="11"/>
      <c r="AS922" s="8"/>
      <c r="AT922" s="8"/>
      <c r="AU922" s="8"/>
      <c r="AV922" s="8"/>
      <c r="AW922" s="11"/>
      <c r="AX922" s="11"/>
      <c r="AY922" s="11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11"/>
      <c r="AR923" s="11"/>
      <c r="AS923" s="8"/>
      <c r="AT923" s="8"/>
      <c r="AU923" s="8"/>
      <c r="AV923" s="8"/>
      <c r="AW923" s="11"/>
      <c r="AX923" s="11"/>
      <c r="AY923" s="11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11"/>
      <c r="AR924" s="11"/>
      <c r="AS924" s="8"/>
      <c r="AT924" s="8"/>
      <c r="AU924" s="8"/>
      <c r="AV924" s="8"/>
      <c r="AW924" s="11"/>
      <c r="AX924" s="11"/>
      <c r="AY924" s="11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11"/>
      <c r="AR925" s="11"/>
      <c r="AS925" s="8"/>
      <c r="AT925" s="8"/>
      <c r="AU925" s="8"/>
      <c r="AV925" s="8"/>
      <c r="AW925" s="11"/>
      <c r="AX925" s="11"/>
      <c r="AY925" s="11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11"/>
      <c r="AR926" s="11"/>
      <c r="AS926" s="8"/>
      <c r="AT926" s="8"/>
      <c r="AU926" s="8"/>
      <c r="AV926" s="8"/>
      <c r="AW926" s="11"/>
      <c r="AX926" s="11"/>
      <c r="AY926" s="11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11"/>
      <c r="AR927" s="11"/>
      <c r="AS927" s="8"/>
      <c r="AT927" s="8"/>
      <c r="AU927" s="8"/>
      <c r="AV927" s="8"/>
      <c r="AW927" s="11"/>
      <c r="AX927" s="11"/>
      <c r="AY927" s="11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11"/>
      <c r="AR928" s="11"/>
      <c r="AS928" s="8"/>
      <c r="AT928" s="8"/>
      <c r="AU928" s="8"/>
      <c r="AV928" s="8"/>
      <c r="AW928" s="11"/>
      <c r="AX928" s="11"/>
      <c r="AY928" s="11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11"/>
      <c r="AR929" s="11"/>
      <c r="AS929" s="8"/>
      <c r="AT929" s="8"/>
      <c r="AU929" s="8"/>
      <c r="AV929" s="8"/>
      <c r="AW929" s="11"/>
      <c r="AX929" s="11"/>
      <c r="AY929" s="11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11"/>
      <c r="AR930" s="11"/>
      <c r="AS930" s="8"/>
      <c r="AT930" s="8"/>
      <c r="AU930" s="8"/>
      <c r="AV930" s="8"/>
      <c r="AW930" s="11"/>
      <c r="AX930" s="11"/>
      <c r="AY930" s="11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11"/>
      <c r="AR931" s="11"/>
      <c r="AS931" s="8"/>
      <c r="AT931" s="8"/>
      <c r="AU931" s="8"/>
      <c r="AV931" s="8"/>
      <c r="AW931" s="11"/>
      <c r="AX931" s="11"/>
      <c r="AY931" s="11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11"/>
      <c r="AR932" s="11"/>
      <c r="AS932" s="8"/>
      <c r="AT932" s="8"/>
      <c r="AU932" s="8"/>
      <c r="AV932" s="8"/>
      <c r="AW932" s="11"/>
      <c r="AX932" s="11"/>
      <c r="AY932" s="11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11"/>
      <c r="AR933" s="11"/>
      <c r="AS933" s="8"/>
      <c r="AT933" s="8"/>
      <c r="AU933" s="8"/>
      <c r="AV933" s="8"/>
      <c r="AW933" s="11"/>
      <c r="AX933" s="11"/>
      <c r="AY933" s="11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11"/>
      <c r="AR934" s="11"/>
      <c r="AS934" s="8"/>
      <c r="AT934" s="8"/>
      <c r="AU934" s="8"/>
      <c r="AV934" s="8"/>
      <c r="AW934" s="11"/>
      <c r="AX934" s="11"/>
      <c r="AY934" s="11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11"/>
      <c r="AR935" s="11"/>
      <c r="AS935" s="8"/>
      <c r="AT935" s="8"/>
      <c r="AU935" s="8"/>
      <c r="AV935" s="8"/>
      <c r="AW935" s="11"/>
      <c r="AX935" s="11"/>
      <c r="AY935" s="11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11"/>
      <c r="AR936" s="11"/>
      <c r="AS936" s="8"/>
      <c r="AT936" s="8"/>
      <c r="AU936" s="8"/>
      <c r="AV936" s="8"/>
      <c r="AW936" s="11"/>
      <c r="AX936" s="11"/>
      <c r="AY936" s="11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11"/>
      <c r="AR937" s="11"/>
      <c r="AS937" s="8"/>
      <c r="AT937" s="8"/>
      <c r="AU937" s="8"/>
      <c r="AV937" s="8"/>
      <c r="AW937" s="11"/>
      <c r="AX937" s="11"/>
      <c r="AY937" s="11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11"/>
      <c r="AR938" s="11"/>
      <c r="AS938" s="8"/>
      <c r="AT938" s="8"/>
      <c r="AU938" s="8"/>
      <c r="AV938" s="8"/>
      <c r="AW938" s="11"/>
      <c r="AX938" s="11"/>
      <c r="AY938" s="11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11"/>
      <c r="AR939" s="11"/>
      <c r="AS939" s="8"/>
      <c r="AT939" s="8"/>
      <c r="AU939" s="8"/>
      <c r="AV939" s="8"/>
      <c r="AW939" s="11"/>
      <c r="AX939" s="11"/>
      <c r="AY939" s="11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11"/>
      <c r="AR940" s="11"/>
      <c r="AS940" s="8"/>
      <c r="AT940" s="8"/>
      <c r="AU940" s="8"/>
      <c r="AV940" s="8"/>
      <c r="AW940" s="11"/>
      <c r="AX940" s="11"/>
      <c r="AY940" s="11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11"/>
      <c r="AR941" s="11"/>
      <c r="AS941" s="8"/>
      <c r="AT941" s="8"/>
      <c r="AU941" s="8"/>
      <c r="AV941" s="8"/>
      <c r="AW941" s="11"/>
      <c r="AX941" s="11"/>
      <c r="AY941" s="11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11"/>
      <c r="AR942" s="11"/>
      <c r="AS942" s="8"/>
      <c r="AT942" s="8"/>
      <c r="AU942" s="8"/>
      <c r="AV942" s="8"/>
      <c r="AW942" s="11"/>
      <c r="AX942" s="11"/>
      <c r="AY942" s="11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11"/>
      <c r="AR943" s="11"/>
      <c r="AS943" s="8"/>
      <c r="AT943" s="8"/>
      <c r="AU943" s="8"/>
      <c r="AV943" s="8"/>
      <c r="AW943" s="11"/>
      <c r="AX943" s="11"/>
      <c r="AY943" s="11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11"/>
      <c r="AR944" s="11"/>
      <c r="AS944" s="8"/>
      <c r="AT944" s="8"/>
      <c r="AU944" s="8"/>
      <c r="AV944" s="8"/>
      <c r="AW944" s="11"/>
      <c r="AX944" s="11"/>
      <c r="AY944" s="11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11"/>
      <c r="AR945" s="11"/>
      <c r="AS945" s="8"/>
      <c r="AT945" s="8"/>
      <c r="AU945" s="8"/>
      <c r="AV945" s="8"/>
      <c r="AW945" s="11"/>
      <c r="AX945" s="11"/>
      <c r="AY945" s="11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11"/>
      <c r="AR946" s="11"/>
      <c r="AS946" s="8"/>
      <c r="AT946" s="8"/>
      <c r="AU946" s="8"/>
      <c r="AV946" s="8"/>
      <c r="AW946" s="11"/>
      <c r="AX946" s="11"/>
      <c r="AY946" s="11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11"/>
      <c r="AR947" s="11"/>
      <c r="AS947" s="8"/>
      <c r="AT947" s="8"/>
      <c r="AU947" s="8"/>
      <c r="AV947" s="8"/>
      <c r="AW947" s="11"/>
      <c r="AX947" s="11"/>
      <c r="AY947" s="11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11"/>
      <c r="AR948" s="11"/>
      <c r="AS948" s="8"/>
      <c r="AT948" s="8"/>
      <c r="AU948" s="8"/>
      <c r="AV948" s="8"/>
      <c r="AW948" s="11"/>
      <c r="AX948" s="11"/>
      <c r="AY948" s="11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11"/>
      <c r="AR949" s="11"/>
      <c r="AS949" s="8"/>
      <c r="AT949" s="8"/>
      <c r="AU949" s="8"/>
      <c r="AV949" s="8"/>
      <c r="AW949" s="11"/>
      <c r="AX949" s="11"/>
      <c r="AY949" s="11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11"/>
      <c r="AR950" s="11"/>
      <c r="AS950" s="8"/>
      <c r="AT950" s="8"/>
      <c r="AU950" s="8"/>
      <c r="AV950" s="8"/>
      <c r="AW950" s="11"/>
      <c r="AX950" s="11"/>
      <c r="AY950" s="11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11"/>
      <c r="AR951" s="11"/>
      <c r="AS951" s="8"/>
      <c r="AT951" s="8"/>
      <c r="AU951" s="8"/>
      <c r="AV951" s="8"/>
      <c r="AW951" s="11"/>
      <c r="AX951" s="11"/>
      <c r="AY951" s="11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11"/>
      <c r="AR952" s="11"/>
      <c r="AS952" s="8"/>
      <c r="AT952" s="8"/>
      <c r="AU952" s="8"/>
      <c r="AV952" s="8"/>
      <c r="AW952" s="11"/>
      <c r="AX952" s="11"/>
      <c r="AY952" s="11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11"/>
      <c r="AR953" s="11"/>
      <c r="AS953" s="8"/>
      <c r="AT953" s="8"/>
      <c r="AU953" s="8"/>
      <c r="AV953" s="8"/>
      <c r="AW953" s="11"/>
      <c r="AX953" s="11"/>
      <c r="AY953" s="11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11"/>
      <c r="AR954" s="11"/>
      <c r="AS954" s="8"/>
      <c r="AT954" s="8"/>
      <c r="AU954" s="8"/>
      <c r="AV954" s="8"/>
      <c r="AW954" s="11"/>
      <c r="AX954" s="11"/>
      <c r="AY954" s="11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11"/>
      <c r="AR955" s="11"/>
      <c r="AS955" s="8"/>
      <c r="AT955" s="8"/>
      <c r="AU955" s="8"/>
      <c r="AV955" s="8"/>
      <c r="AW955" s="11"/>
      <c r="AX955" s="11"/>
      <c r="AY955" s="11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11"/>
      <c r="AR956" s="11"/>
      <c r="AS956" s="8"/>
      <c r="AT956" s="8"/>
      <c r="AU956" s="8"/>
      <c r="AV956" s="8"/>
      <c r="AW956" s="11"/>
      <c r="AX956" s="11"/>
      <c r="AY956" s="11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11"/>
      <c r="AR957" s="11"/>
      <c r="AS957" s="8"/>
      <c r="AT957" s="8"/>
      <c r="AU957" s="8"/>
      <c r="AV957" s="8"/>
      <c r="AW957" s="11"/>
      <c r="AX957" s="11"/>
      <c r="AY957" s="11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11"/>
      <c r="AR958" s="11"/>
      <c r="AS958" s="8"/>
      <c r="AT958" s="8"/>
      <c r="AU958" s="8"/>
      <c r="AV958" s="8"/>
      <c r="AW958" s="11"/>
      <c r="AX958" s="11"/>
      <c r="AY958" s="11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11"/>
      <c r="AR959" s="11"/>
      <c r="AS959" s="8"/>
      <c r="AT959" s="8"/>
      <c r="AU959" s="8"/>
      <c r="AV959" s="8"/>
      <c r="AW959" s="11"/>
      <c r="AX959" s="11"/>
      <c r="AY959" s="11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11"/>
      <c r="AR960" s="11"/>
      <c r="AS960" s="8"/>
      <c r="AT960" s="8"/>
      <c r="AU960" s="8"/>
      <c r="AV960" s="8"/>
      <c r="AW960" s="11"/>
      <c r="AX960" s="11"/>
      <c r="AY960" s="11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11"/>
      <c r="AR961" s="11"/>
      <c r="AS961" s="8"/>
      <c r="AT961" s="8"/>
      <c r="AU961" s="8"/>
      <c r="AV961" s="8"/>
      <c r="AW961" s="11"/>
      <c r="AX961" s="11"/>
      <c r="AY961" s="11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11"/>
      <c r="AR962" s="11"/>
      <c r="AS962" s="8"/>
      <c r="AT962" s="8"/>
      <c r="AU962" s="8"/>
      <c r="AV962" s="8"/>
      <c r="AW962" s="11"/>
      <c r="AX962" s="11"/>
      <c r="AY962" s="11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11"/>
      <c r="AR963" s="11"/>
      <c r="AS963" s="8"/>
      <c r="AT963" s="8"/>
      <c r="AU963" s="8"/>
      <c r="AV963" s="8"/>
      <c r="AW963" s="11"/>
      <c r="AX963" s="11"/>
      <c r="AY963" s="11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11"/>
      <c r="AR964" s="11"/>
      <c r="AS964" s="8"/>
      <c r="AT964" s="8"/>
      <c r="AU964" s="8"/>
      <c r="AV964" s="8"/>
      <c r="AW964" s="11"/>
      <c r="AX964" s="11"/>
      <c r="AY964" s="11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11"/>
      <c r="AR965" s="11"/>
      <c r="AS965" s="8"/>
      <c r="AT965" s="8"/>
      <c r="AU965" s="8"/>
      <c r="AV965" s="8"/>
      <c r="AW965" s="11"/>
      <c r="AX965" s="11"/>
      <c r="AY965" s="11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11"/>
      <c r="AR966" s="11"/>
      <c r="AS966" s="8"/>
      <c r="AT966" s="8"/>
      <c r="AU966" s="8"/>
      <c r="AV966" s="8"/>
      <c r="AW966" s="11"/>
      <c r="AX966" s="11"/>
      <c r="AY966" s="11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11"/>
      <c r="AR967" s="11"/>
      <c r="AS967" s="8"/>
      <c r="AT967" s="8"/>
      <c r="AU967" s="8"/>
      <c r="AV967" s="8"/>
      <c r="AW967" s="11"/>
      <c r="AX967" s="11"/>
      <c r="AY967" s="11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11"/>
      <c r="AR968" s="11"/>
      <c r="AS968" s="8"/>
      <c r="AT968" s="8"/>
      <c r="AU968" s="8"/>
      <c r="AV968" s="8"/>
      <c r="AW968" s="11"/>
      <c r="AX968" s="11"/>
      <c r="AY968" s="11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11"/>
      <c r="AR969" s="11"/>
      <c r="AS969" s="8"/>
      <c r="AT969" s="8"/>
      <c r="AU969" s="8"/>
      <c r="AV969" s="8"/>
      <c r="AW969" s="11"/>
      <c r="AX969" s="11"/>
      <c r="AY969" s="11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11"/>
      <c r="AR970" s="11"/>
      <c r="AS970" s="8"/>
      <c r="AT970" s="8"/>
      <c r="AU970" s="8"/>
      <c r="AV970" s="8"/>
      <c r="AW970" s="11"/>
      <c r="AX970" s="11"/>
      <c r="AY970" s="11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11"/>
      <c r="AR971" s="11"/>
      <c r="AS971" s="8"/>
      <c r="AT971" s="8"/>
      <c r="AU971" s="8"/>
      <c r="AV971" s="8"/>
      <c r="AW971" s="11"/>
      <c r="AX971" s="11"/>
      <c r="AY971" s="11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11"/>
      <c r="AR972" s="11"/>
      <c r="AS972" s="8"/>
      <c r="AT972" s="8"/>
      <c r="AU972" s="8"/>
      <c r="AV972" s="8"/>
      <c r="AW972" s="11"/>
      <c r="AX972" s="11"/>
      <c r="AY972" s="11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11"/>
      <c r="AR973" s="11"/>
      <c r="AS973" s="8"/>
      <c r="AT973" s="8"/>
      <c r="AU973" s="8"/>
      <c r="AV973" s="8"/>
      <c r="AW973" s="11"/>
      <c r="AX973" s="11"/>
      <c r="AY973" s="11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11"/>
      <c r="AR974" s="11"/>
      <c r="AS974" s="8"/>
      <c r="AT974" s="8"/>
      <c r="AU974" s="8"/>
      <c r="AV974" s="8"/>
      <c r="AW974" s="11"/>
      <c r="AX974" s="11"/>
      <c r="AY974" s="11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11"/>
      <c r="AR975" s="11"/>
      <c r="AS975" s="8"/>
      <c r="AT975" s="8"/>
      <c r="AU975" s="8"/>
      <c r="AV975" s="8"/>
      <c r="AW975" s="11"/>
      <c r="AX975" s="11"/>
      <c r="AY975" s="11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11"/>
      <c r="AR976" s="11"/>
      <c r="AS976" s="8"/>
      <c r="AT976" s="8"/>
      <c r="AU976" s="8"/>
      <c r="AV976" s="8"/>
      <c r="AW976" s="11"/>
      <c r="AX976" s="11"/>
      <c r="AY976" s="11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11"/>
      <c r="AR977" s="11"/>
      <c r="AS977" s="8"/>
      <c r="AT977" s="8"/>
      <c r="AU977" s="8"/>
      <c r="AV977" s="8"/>
      <c r="AW977" s="11"/>
      <c r="AX977" s="11"/>
      <c r="AY977" s="11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11"/>
      <c r="AR978" s="11"/>
      <c r="AS978" s="8"/>
      <c r="AT978" s="8"/>
      <c r="AU978" s="8"/>
      <c r="AV978" s="8"/>
      <c r="AW978" s="11"/>
      <c r="AX978" s="11"/>
      <c r="AY978" s="11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11"/>
      <c r="AR979" s="11"/>
      <c r="AS979" s="8"/>
      <c r="AT979" s="8"/>
      <c r="AU979" s="8"/>
      <c r="AV979" s="8"/>
      <c r="AW979" s="11"/>
      <c r="AX979" s="11"/>
      <c r="AY979" s="11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11"/>
      <c r="AR980" s="11"/>
      <c r="AS980" s="8"/>
      <c r="AT980" s="8"/>
      <c r="AU980" s="8"/>
      <c r="AV980" s="8"/>
      <c r="AW980" s="11"/>
      <c r="AX980" s="11"/>
      <c r="AY980" s="11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11"/>
      <c r="AR981" s="11"/>
      <c r="AS981" s="8"/>
      <c r="AT981" s="8"/>
      <c r="AU981" s="8"/>
      <c r="AV981" s="8"/>
      <c r="AW981" s="11"/>
      <c r="AX981" s="11"/>
      <c r="AY981" s="11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11"/>
      <c r="AR982" s="11"/>
      <c r="AS982" s="8"/>
      <c r="AT982" s="8"/>
      <c r="AU982" s="8"/>
      <c r="AV982" s="8"/>
      <c r="AW982" s="11"/>
      <c r="AX982" s="11"/>
      <c r="AY982" s="11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11"/>
      <c r="AR983" s="11"/>
      <c r="AS983" s="8"/>
      <c r="AT983" s="8"/>
      <c r="AU983" s="8"/>
      <c r="AV983" s="8"/>
      <c r="AW983" s="11"/>
      <c r="AX983" s="11"/>
      <c r="AY983" s="11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11"/>
      <c r="AR984" s="11"/>
      <c r="AS984" s="8"/>
      <c r="AT984" s="8"/>
      <c r="AU984" s="8"/>
      <c r="AV984" s="8"/>
      <c r="AW984" s="11"/>
      <c r="AX984" s="11"/>
      <c r="AY984" s="11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11"/>
      <c r="AR985" s="11"/>
      <c r="AS985" s="8"/>
      <c r="AT985" s="8"/>
      <c r="AU985" s="8"/>
      <c r="AV985" s="8"/>
      <c r="AW985" s="11"/>
      <c r="AX985" s="11"/>
      <c r="AY985" s="11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11"/>
      <c r="AR986" s="11"/>
      <c r="AS986" s="8"/>
      <c r="AT986" s="8"/>
      <c r="AU986" s="8"/>
      <c r="AV986" s="8"/>
      <c r="AW986" s="11"/>
      <c r="AX986" s="11"/>
      <c r="AY986" s="11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11"/>
      <c r="AR987" s="11"/>
      <c r="AS987" s="8"/>
      <c r="AT987" s="8"/>
      <c r="AU987" s="8"/>
      <c r="AV987" s="8"/>
      <c r="AW987" s="11"/>
      <c r="AX987" s="11"/>
      <c r="AY987" s="11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11"/>
      <c r="AR988" s="11"/>
      <c r="AS988" s="8"/>
      <c r="AT988" s="8"/>
      <c r="AU988" s="8"/>
      <c r="AV988" s="8"/>
      <c r="AW988" s="11"/>
      <c r="AX988" s="11"/>
      <c r="AY988" s="11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11"/>
      <c r="AR989" s="11"/>
      <c r="AS989" s="8"/>
      <c r="AT989" s="8"/>
      <c r="AU989" s="8"/>
      <c r="AV989" s="8"/>
      <c r="AW989" s="11"/>
      <c r="AX989" s="11"/>
      <c r="AY989" s="11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11"/>
      <c r="AR990" s="11"/>
      <c r="AS990" s="8"/>
      <c r="AT990" s="8"/>
      <c r="AU990" s="8"/>
      <c r="AV990" s="8"/>
      <c r="AW990" s="11"/>
      <c r="AX990" s="11"/>
      <c r="AY990" s="11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11"/>
      <c r="AR991" s="11"/>
      <c r="AS991" s="8"/>
      <c r="AT991" s="8"/>
      <c r="AU991" s="8"/>
      <c r="AV991" s="8"/>
      <c r="AW991" s="11"/>
      <c r="AX991" s="11"/>
      <c r="AY991" s="11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11"/>
      <c r="AR992" s="11"/>
      <c r="AS992" s="8"/>
      <c r="AT992" s="8"/>
      <c r="AU992" s="8"/>
      <c r="AV992" s="8"/>
      <c r="AW992" s="11"/>
      <c r="AX992" s="11"/>
      <c r="AY992" s="11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11"/>
      <c r="AR993" s="11"/>
      <c r="AS993" s="8"/>
      <c r="AT993" s="8"/>
      <c r="AU993" s="8"/>
      <c r="AV993" s="8"/>
      <c r="AW993" s="11"/>
      <c r="AX993" s="11"/>
      <c r="AY993" s="11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11"/>
      <c r="AR994" s="11"/>
      <c r="AS994" s="8"/>
      <c r="AT994" s="8"/>
      <c r="AU994" s="8"/>
      <c r="AV994" s="8"/>
      <c r="AW994" s="11"/>
      <c r="AX994" s="11"/>
      <c r="AY994" s="11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11"/>
      <c r="AR995" s="11"/>
      <c r="AS995" s="8"/>
      <c r="AT995" s="8"/>
      <c r="AU995" s="8"/>
      <c r="AV995" s="8"/>
      <c r="AW995" s="11"/>
      <c r="AX995" s="11"/>
      <c r="AY995" s="11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11"/>
      <c r="AR996" s="11"/>
      <c r="AS996" s="8"/>
      <c r="AT996" s="8"/>
      <c r="AU996" s="8"/>
      <c r="AV996" s="8"/>
      <c r="AW996" s="11"/>
      <c r="AX996" s="11"/>
      <c r="AY996" s="11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11"/>
      <c r="AR997" s="11"/>
      <c r="AS997" s="8"/>
      <c r="AT997" s="8"/>
      <c r="AU997" s="8"/>
      <c r="AV997" s="8"/>
      <c r="AW997" s="11"/>
      <c r="AX997" s="11"/>
      <c r="AY997" s="11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11"/>
      <c r="AR998" s="11"/>
      <c r="AS998" s="8"/>
      <c r="AT998" s="8"/>
      <c r="AU998" s="8"/>
      <c r="AV998" s="8"/>
      <c r="AW998" s="11"/>
      <c r="AX998" s="11"/>
      <c r="AY998" s="11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11"/>
      <c r="AR999" s="11"/>
      <c r="AS999" s="8"/>
      <c r="AT999" s="8"/>
      <c r="AU999" s="8"/>
      <c r="AV999" s="8"/>
      <c r="AW999" s="11"/>
      <c r="AX999" s="11"/>
      <c r="AY999" s="11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11"/>
      <c r="AR1000" s="11"/>
      <c r="AS1000" s="8"/>
      <c r="AT1000" s="8"/>
      <c r="AU1000" s="8"/>
      <c r="AV1000" s="8"/>
      <c r="AW1000" s="11"/>
      <c r="AX1000" s="11"/>
      <c r="AY1000" s="11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11"/>
      <c r="AR1001" s="11"/>
      <c r="AS1001" s="8"/>
      <c r="AT1001" s="8"/>
      <c r="AU1001" s="8"/>
      <c r="AV1001" s="8"/>
      <c r="AW1001" s="11"/>
      <c r="AX1001" s="11"/>
      <c r="AY1001" s="11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11"/>
      <c r="AR1002" s="11"/>
      <c r="AS1002" s="8"/>
      <c r="AT1002" s="8"/>
      <c r="AU1002" s="8"/>
      <c r="AV1002" s="8"/>
      <c r="AW1002" s="11"/>
      <c r="AX1002" s="11"/>
      <c r="AY1002" s="11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11"/>
      <c r="AR1003" s="11"/>
      <c r="AS1003" s="8"/>
      <c r="AT1003" s="8"/>
      <c r="AU1003" s="8"/>
      <c r="AV1003" s="8"/>
      <c r="AW1003" s="11"/>
      <c r="AX1003" s="11"/>
      <c r="AY1003" s="11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11"/>
      <c r="AR1004" s="11"/>
      <c r="AS1004" s="8"/>
      <c r="AT1004" s="8"/>
      <c r="AU1004" s="8"/>
      <c r="AV1004" s="8"/>
      <c r="AW1004" s="11"/>
      <c r="AX1004" s="11"/>
      <c r="AY1004" s="11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11"/>
      <c r="AR1005" s="11"/>
      <c r="AS1005" s="8"/>
      <c r="AT1005" s="8"/>
      <c r="AU1005" s="8"/>
      <c r="AV1005" s="8"/>
      <c r="AW1005" s="11"/>
      <c r="AX1005" s="11"/>
      <c r="AY1005" s="11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11"/>
      <c r="AR1006" s="11"/>
      <c r="AS1006" s="8"/>
      <c r="AT1006" s="8"/>
      <c r="AU1006" s="8"/>
      <c r="AV1006" s="8"/>
      <c r="AW1006" s="11"/>
      <c r="AX1006" s="11"/>
      <c r="AY1006" s="11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11"/>
      <c r="AR1007" s="11"/>
      <c r="AS1007" s="8"/>
      <c r="AT1007" s="8"/>
      <c r="AU1007" s="8"/>
      <c r="AV1007" s="8"/>
      <c r="AW1007" s="11"/>
      <c r="AX1007" s="11"/>
      <c r="AY1007" s="11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11"/>
      <c r="AR1008" s="11"/>
      <c r="AS1008" s="8"/>
      <c r="AT1008" s="8"/>
      <c r="AU1008" s="8"/>
      <c r="AV1008" s="8"/>
      <c r="AW1008" s="11"/>
      <c r="AX1008" s="11"/>
      <c r="AY1008" s="11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11"/>
      <c r="AR1009" s="11"/>
      <c r="AS1009" s="8"/>
      <c r="AT1009" s="8"/>
      <c r="AU1009" s="8"/>
      <c r="AV1009" s="8"/>
      <c r="AW1009" s="11"/>
      <c r="AX1009" s="11"/>
      <c r="AY1009" s="11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11"/>
      <c r="AR1010" s="11"/>
      <c r="AS1010" s="8"/>
      <c r="AT1010" s="8"/>
      <c r="AU1010" s="8"/>
      <c r="AV1010" s="8"/>
      <c r="AW1010" s="11"/>
      <c r="AX1010" s="11"/>
      <c r="AY1010" s="11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11"/>
      <c r="AR1011" s="11"/>
      <c r="AS1011" s="8"/>
      <c r="AT1011" s="8"/>
      <c r="AU1011" s="8"/>
      <c r="AV1011" s="8"/>
      <c r="AW1011" s="11"/>
      <c r="AX1011" s="11"/>
      <c r="AY1011" s="11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11"/>
      <c r="AR1012" s="11"/>
      <c r="AS1012" s="8"/>
      <c r="AT1012" s="8"/>
      <c r="AU1012" s="8"/>
      <c r="AV1012" s="8"/>
      <c r="AW1012" s="11"/>
      <c r="AX1012" s="11"/>
      <c r="AY1012" s="11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11"/>
      <c r="AR1013" s="11"/>
      <c r="AS1013" s="8"/>
      <c r="AT1013" s="8"/>
      <c r="AU1013" s="8"/>
      <c r="AV1013" s="8"/>
      <c r="AW1013" s="11"/>
      <c r="AX1013" s="11"/>
      <c r="AY1013" s="11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11"/>
      <c r="AR1014" s="11"/>
      <c r="AS1014" s="8"/>
      <c r="AT1014" s="8"/>
      <c r="AU1014" s="8"/>
      <c r="AV1014" s="8"/>
      <c r="AW1014" s="11"/>
      <c r="AX1014" s="11"/>
      <c r="AY1014" s="11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11"/>
      <c r="AR1015" s="11"/>
      <c r="AS1015" s="8"/>
      <c r="AT1015" s="8"/>
      <c r="AU1015" s="8"/>
      <c r="AV1015" s="8"/>
      <c r="AW1015" s="11"/>
      <c r="AX1015" s="11"/>
      <c r="AY1015" s="11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11"/>
      <c r="AR1016" s="11"/>
      <c r="AS1016" s="8"/>
      <c r="AT1016" s="8"/>
      <c r="AU1016" s="8"/>
      <c r="AV1016" s="8"/>
      <c r="AW1016" s="11"/>
      <c r="AX1016" s="11"/>
      <c r="AY1016" s="11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11"/>
      <c r="AR1017" s="11"/>
      <c r="AS1017" s="8"/>
      <c r="AT1017" s="8"/>
      <c r="AU1017" s="8"/>
      <c r="AV1017" s="8"/>
      <c r="AW1017" s="11"/>
      <c r="AX1017" s="11"/>
      <c r="AY1017" s="11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11"/>
      <c r="AR1018" s="11"/>
      <c r="AS1018" s="8"/>
      <c r="AT1018" s="8"/>
      <c r="AU1018" s="8"/>
      <c r="AV1018" s="8"/>
      <c r="AW1018" s="11"/>
      <c r="AX1018" s="11"/>
      <c r="AY1018" s="11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11"/>
      <c r="AR1019" s="11"/>
      <c r="AS1019" s="8"/>
      <c r="AT1019" s="8"/>
      <c r="AU1019" s="8"/>
      <c r="AV1019" s="8"/>
      <c r="AW1019" s="11"/>
      <c r="AX1019" s="11"/>
      <c r="AY1019" s="11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11"/>
      <c r="AR1020" s="11"/>
      <c r="AS1020" s="8"/>
      <c r="AT1020" s="8"/>
      <c r="AU1020" s="8"/>
      <c r="AV1020" s="8"/>
      <c r="AW1020" s="11"/>
      <c r="AX1020" s="11"/>
      <c r="AY1020" s="11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11"/>
      <c r="AR1021" s="11"/>
      <c r="AS1021" s="8"/>
      <c r="AT1021" s="8"/>
      <c r="AU1021" s="8"/>
      <c r="AV1021" s="8"/>
      <c r="AW1021" s="11"/>
      <c r="AX1021" s="11"/>
      <c r="AY1021" s="11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11"/>
      <c r="AR1022" s="11"/>
      <c r="AS1022" s="8"/>
      <c r="AT1022" s="8"/>
      <c r="AU1022" s="8"/>
      <c r="AV1022" s="8"/>
      <c r="AW1022" s="11"/>
      <c r="AX1022" s="11"/>
      <c r="AY1022" s="11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11"/>
      <c r="AR1023" s="11"/>
      <c r="AS1023" s="8"/>
      <c r="AT1023" s="8"/>
      <c r="AU1023" s="8"/>
      <c r="AV1023" s="8"/>
      <c r="AW1023" s="11"/>
      <c r="AX1023" s="11"/>
      <c r="AY1023" s="11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11"/>
      <c r="AR1024" s="11"/>
      <c r="AS1024" s="8"/>
      <c r="AT1024" s="8"/>
      <c r="AU1024" s="8"/>
      <c r="AV1024" s="8"/>
      <c r="AW1024" s="11"/>
      <c r="AX1024" s="11"/>
      <c r="AY1024" s="11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11"/>
      <c r="AR1025" s="11"/>
      <c r="AS1025" s="8"/>
      <c r="AT1025" s="8"/>
      <c r="AU1025" s="8"/>
      <c r="AV1025" s="8"/>
      <c r="AW1025" s="11"/>
      <c r="AX1025" s="11"/>
      <c r="AY1025" s="11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11"/>
      <c r="AR1026" s="11"/>
      <c r="AS1026" s="8"/>
      <c r="AT1026" s="8"/>
      <c r="AU1026" s="8"/>
      <c r="AV1026" s="8"/>
      <c r="AW1026" s="11"/>
      <c r="AX1026" s="11"/>
      <c r="AY1026" s="11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11"/>
      <c r="AR1027" s="11"/>
      <c r="AS1027" s="8"/>
      <c r="AT1027" s="8"/>
      <c r="AU1027" s="8"/>
      <c r="AV1027" s="8"/>
      <c r="AW1027" s="11"/>
      <c r="AX1027" s="11"/>
      <c r="AY1027" s="11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11"/>
      <c r="AR1028" s="11"/>
      <c r="AS1028" s="8"/>
      <c r="AT1028" s="8"/>
      <c r="AU1028" s="8"/>
      <c r="AV1028" s="8"/>
      <c r="AW1028" s="11"/>
      <c r="AX1028" s="11"/>
      <c r="AY1028" s="11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11"/>
      <c r="AR1029" s="11"/>
      <c r="AS1029" s="8"/>
      <c r="AT1029" s="8"/>
      <c r="AU1029" s="8"/>
      <c r="AV1029" s="8"/>
      <c r="AW1029" s="11"/>
      <c r="AX1029" s="11"/>
      <c r="AY1029" s="11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11"/>
      <c r="AR1030" s="11"/>
      <c r="AS1030" s="8"/>
      <c r="AT1030" s="8"/>
      <c r="AU1030" s="8"/>
      <c r="AV1030" s="8"/>
      <c r="AW1030" s="11"/>
      <c r="AX1030" s="11"/>
      <c r="AY1030" s="11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11"/>
      <c r="AR1031" s="11"/>
      <c r="AS1031" s="8"/>
      <c r="AT1031" s="8"/>
      <c r="AU1031" s="8"/>
      <c r="AV1031" s="8"/>
      <c r="AW1031" s="11"/>
      <c r="AX1031" s="11"/>
      <c r="AY1031" s="11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11"/>
      <c r="AR1032" s="11"/>
      <c r="AS1032" s="8"/>
      <c r="AT1032" s="8"/>
      <c r="AU1032" s="8"/>
      <c r="AV1032" s="8"/>
      <c r="AW1032" s="11"/>
      <c r="AX1032" s="11"/>
      <c r="AY1032" s="11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11"/>
      <c r="AR1033" s="11"/>
      <c r="AS1033" s="8"/>
      <c r="AT1033" s="8"/>
      <c r="AU1033" s="8"/>
      <c r="AV1033" s="8"/>
      <c r="AW1033" s="11"/>
      <c r="AX1033" s="11"/>
      <c r="AY1033" s="11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11"/>
      <c r="AR1034" s="11"/>
      <c r="AS1034" s="8"/>
      <c r="AT1034" s="8"/>
      <c r="AU1034" s="8"/>
      <c r="AV1034" s="8"/>
      <c r="AW1034" s="11"/>
      <c r="AX1034" s="11"/>
      <c r="AY1034" s="11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11"/>
      <c r="AR1035" s="11"/>
      <c r="AS1035" s="8"/>
      <c r="AT1035" s="8"/>
      <c r="AU1035" s="8"/>
      <c r="AV1035" s="8"/>
      <c r="AW1035" s="11"/>
      <c r="AX1035" s="11"/>
      <c r="AY1035" s="11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11"/>
      <c r="AR1036" s="11"/>
      <c r="AS1036" s="8"/>
      <c r="AT1036" s="8"/>
      <c r="AU1036" s="8"/>
      <c r="AV1036" s="8"/>
      <c r="AW1036" s="11"/>
      <c r="AX1036" s="11"/>
      <c r="AY1036" s="11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11"/>
      <c r="AR1037" s="11"/>
      <c r="AS1037" s="8"/>
      <c r="AT1037" s="8"/>
      <c r="AU1037" s="8"/>
      <c r="AV1037" s="8"/>
      <c r="AW1037" s="11"/>
      <c r="AX1037" s="11"/>
      <c r="AY1037" s="11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11"/>
      <c r="AR1038" s="11"/>
      <c r="AS1038" s="8"/>
      <c r="AT1038" s="8"/>
      <c r="AU1038" s="8"/>
      <c r="AV1038" s="8"/>
      <c r="AW1038" s="11"/>
      <c r="AX1038" s="11"/>
      <c r="AY1038" s="11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11"/>
      <c r="AR1039" s="11"/>
      <c r="AS1039" s="8"/>
      <c r="AT1039" s="8"/>
      <c r="AU1039" s="8"/>
      <c r="AV1039" s="8"/>
      <c r="AW1039" s="11"/>
      <c r="AX1039" s="11"/>
      <c r="AY1039" s="11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11"/>
      <c r="AR1040" s="11"/>
      <c r="AS1040" s="8"/>
      <c r="AT1040" s="8"/>
      <c r="AU1040" s="8"/>
      <c r="AV1040" s="8"/>
      <c r="AW1040" s="11"/>
      <c r="AX1040" s="11"/>
      <c r="AY1040" s="11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11"/>
      <c r="AR1041" s="11"/>
      <c r="AS1041" s="8"/>
      <c r="AT1041" s="8"/>
      <c r="AU1041" s="8"/>
      <c r="AV1041" s="8"/>
      <c r="AW1041" s="11"/>
      <c r="AX1041" s="11"/>
      <c r="AY1041" s="11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11"/>
      <c r="AR1042" s="11"/>
      <c r="AS1042" s="8"/>
      <c r="AT1042" s="8"/>
      <c r="AU1042" s="8"/>
      <c r="AV1042" s="8"/>
      <c r="AW1042" s="11"/>
      <c r="AX1042" s="11"/>
      <c r="AY1042" s="11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11"/>
      <c r="AR1043" s="11"/>
      <c r="AS1043" s="8"/>
      <c r="AT1043" s="8"/>
      <c r="AU1043" s="8"/>
      <c r="AV1043" s="8"/>
      <c r="AW1043" s="11"/>
      <c r="AX1043" s="11"/>
      <c r="AY1043" s="11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11"/>
      <c r="AR1044" s="11"/>
      <c r="AS1044" s="8"/>
      <c r="AT1044" s="8"/>
      <c r="AU1044" s="8"/>
      <c r="AV1044" s="8"/>
      <c r="AW1044" s="11"/>
      <c r="AX1044" s="11"/>
      <c r="AY1044" s="11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11"/>
      <c r="AR1045" s="11"/>
      <c r="AS1045" s="8"/>
      <c r="AT1045" s="8"/>
      <c r="AU1045" s="8"/>
      <c r="AV1045" s="8"/>
      <c r="AW1045" s="11"/>
      <c r="AX1045" s="11"/>
      <c r="AY1045" s="11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11"/>
      <c r="AR1046" s="11"/>
      <c r="AS1046" s="8"/>
      <c r="AT1046" s="8"/>
      <c r="AU1046" s="8"/>
      <c r="AV1046" s="8"/>
      <c r="AW1046" s="11"/>
      <c r="AX1046" s="11"/>
      <c r="AY1046" s="11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11"/>
      <c r="AR1047" s="11"/>
      <c r="AS1047" s="8"/>
      <c r="AT1047" s="8"/>
      <c r="AU1047" s="8"/>
      <c r="AV1047" s="8"/>
      <c r="AW1047" s="11"/>
      <c r="AX1047" s="11"/>
      <c r="AY1047" s="11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11"/>
      <c r="AR1048" s="11"/>
      <c r="AS1048" s="8"/>
      <c r="AT1048" s="8"/>
      <c r="AU1048" s="8"/>
      <c r="AV1048" s="8"/>
      <c r="AW1048" s="11"/>
      <c r="AX1048" s="11"/>
      <c r="AY1048" s="11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11"/>
      <c r="AR1049" s="11"/>
      <c r="AS1049" s="8"/>
      <c r="AT1049" s="8"/>
      <c r="AU1049" s="8"/>
      <c r="AV1049" s="8"/>
      <c r="AW1049" s="11"/>
      <c r="AX1049" s="11"/>
      <c r="AY1049" s="11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11"/>
      <c r="AR1050" s="11"/>
      <c r="AS1050" s="8"/>
      <c r="AT1050" s="8"/>
      <c r="AU1050" s="8"/>
      <c r="AV1050" s="8"/>
      <c r="AW1050" s="11"/>
      <c r="AX1050" s="11"/>
      <c r="AY1050" s="11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11"/>
      <c r="AR1051" s="11"/>
      <c r="AS1051" s="8"/>
      <c r="AT1051" s="8"/>
      <c r="AU1051" s="8"/>
      <c r="AV1051" s="8"/>
      <c r="AW1051" s="11"/>
      <c r="AX1051" s="11"/>
      <c r="AY1051" s="11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11"/>
      <c r="AR1052" s="11"/>
      <c r="AS1052" s="8"/>
      <c r="AT1052" s="8"/>
      <c r="AU1052" s="8"/>
      <c r="AV1052" s="8"/>
      <c r="AW1052" s="11"/>
      <c r="AX1052" s="11"/>
      <c r="AY1052" s="11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11"/>
      <c r="AR1053" s="11"/>
      <c r="AS1053" s="8"/>
      <c r="AT1053" s="8"/>
      <c r="AU1053" s="8"/>
      <c r="AV1053" s="8"/>
      <c r="AW1053" s="11"/>
      <c r="AX1053" s="11"/>
      <c r="AY1053" s="11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11"/>
      <c r="AR1054" s="11"/>
      <c r="AS1054" s="8"/>
      <c r="AT1054" s="8"/>
      <c r="AU1054" s="8"/>
      <c r="AV1054" s="8"/>
      <c r="AW1054" s="11"/>
      <c r="AX1054" s="11"/>
      <c r="AY1054" s="11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11"/>
      <c r="AR1055" s="11"/>
      <c r="AS1055" s="8"/>
      <c r="AT1055" s="8"/>
      <c r="AU1055" s="8"/>
      <c r="AV1055" s="8"/>
      <c r="AW1055" s="11"/>
      <c r="AX1055" s="11"/>
      <c r="AY1055" s="11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11"/>
      <c r="AR1056" s="11"/>
      <c r="AS1056" s="8"/>
      <c r="AT1056" s="8"/>
      <c r="AU1056" s="8"/>
      <c r="AV1056" s="8"/>
      <c r="AW1056" s="11"/>
      <c r="AX1056" s="11"/>
      <c r="AY1056" s="11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11"/>
      <c r="AR1057" s="11"/>
      <c r="AS1057" s="8"/>
      <c r="AT1057" s="8"/>
      <c r="AU1057" s="8"/>
      <c r="AV1057" s="8"/>
      <c r="AW1057" s="11"/>
      <c r="AX1057" s="11"/>
      <c r="AY1057" s="11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11"/>
      <c r="AR1058" s="11"/>
      <c r="AS1058" s="8"/>
      <c r="AT1058" s="8"/>
      <c r="AU1058" s="8"/>
      <c r="AV1058" s="8"/>
      <c r="AW1058" s="11"/>
      <c r="AX1058" s="11"/>
      <c r="AY1058" s="11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11"/>
      <c r="AR1059" s="11"/>
      <c r="AS1059" s="8"/>
      <c r="AT1059" s="8"/>
      <c r="AU1059" s="8"/>
      <c r="AV1059" s="8"/>
      <c r="AW1059" s="11"/>
      <c r="AX1059" s="11"/>
      <c r="AY1059" s="11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11"/>
      <c r="AR1060" s="11"/>
      <c r="AS1060" s="8"/>
      <c r="AT1060" s="8"/>
      <c r="AU1060" s="8"/>
      <c r="AV1060" s="8"/>
      <c r="AW1060" s="11"/>
      <c r="AX1060" s="11"/>
      <c r="AY1060" s="11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11"/>
      <c r="AR1061" s="11"/>
      <c r="AS1061" s="8"/>
      <c r="AT1061" s="8"/>
      <c r="AU1061" s="8"/>
      <c r="AV1061" s="8"/>
      <c r="AW1061" s="11"/>
      <c r="AX1061" s="11"/>
      <c r="AY1061" s="11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11"/>
      <c r="AR1062" s="11"/>
      <c r="AS1062" s="8"/>
      <c r="AT1062" s="8"/>
      <c r="AU1062" s="8"/>
      <c r="AV1062" s="8"/>
      <c r="AW1062" s="11"/>
      <c r="AX1062" s="11"/>
      <c r="AY1062" s="11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11"/>
      <c r="AR1063" s="11"/>
      <c r="AS1063" s="8"/>
      <c r="AT1063" s="8"/>
      <c r="AU1063" s="8"/>
      <c r="AV1063" s="8"/>
      <c r="AW1063" s="11"/>
      <c r="AX1063" s="11"/>
      <c r="AY1063" s="11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11"/>
      <c r="AR1064" s="11"/>
      <c r="AS1064" s="8"/>
      <c r="AT1064" s="8"/>
      <c r="AU1064" s="8"/>
      <c r="AV1064" s="8"/>
      <c r="AW1064" s="11"/>
      <c r="AX1064" s="11"/>
      <c r="AY1064" s="11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11"/>
      <c r="AR1065" s="11"/>
      <c r="AS1065" s="8"/>
      <c r="AT1065" s="8"/>
      <c r="AU1065" s="8"/>
      <c r="AV1065" s="8"/>
      <c r="AW1065" s="11"/>
      <c r="AX1065" s="11"/>
      <c r="AY1065" s="11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  <c r="AQ1066" s="11"/>
      <c r="AR1066" s="11"/>
      <c r="AS1066" s="8"/>
      <c r="AT1066" s="8"/>
      <c r="AU1066" s="8"/>
      <c r="AV1066" s="8"/>
      <c r="AW1066" s="11"/>
      <c r="AX1066" s="11"/>
      <c r="AY1066" s="11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  <c r="AQ1067" s="11"/>
      <c r="AR1067" s="11"/>
      <c r="AS1067" s="8"/>
      <c r="AT1067" s="8"/>
      <c r="AU1067" s="8"/>
      <c r="AV1067" s="8"/>
      <c r="AW1067" s="11"/>
      <c r="AX1067" s="11"/>
      <c r="AY1067" s="11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P1068" s="8"/>
      <c r="AQ1068" s="11"/>
      <c r="AR1068" s="11"/>
      <c r="AS1068" s="8"/>
      <c r="AT1068" s="8"/>
      <c r="AU1068" s="8"/>
      <c r="AV1068" s="8"/>
      <c r="AW1068" s="11"/>
      <c r="AX1068" s="11"/>
      <c r="AY1068" s="11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P1069" s="8"/>
      <c r="AQ1069" s="11"/>
      <c r="AR1069" s="11"/>
      <c r="AS1069" s="8"/>
      <c r="AT1069" s="8"/>
      <c r="AU1069" s="8"/>
      <c r="AV1069" s="8"/>
      <c r="AW1069" s="11"/>
      <c r="AX1069" s="11"/>
      <c r="AY1069" s="11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P1070" s="8"/>
      <c r="AQ1070" s="11"/>
      <c r="AR1070" s="11"/>
      <c r="AS1070" s="8"/>
      <c r="AT1070" s="8"/>
      <c r="AU1070" s="8"/>
      <c r="AV1070" s="8"/>
      <c r="AW1070" s="11"/>
      <c r="AX1070" s="11"/>
      <c r="AY1070" s="11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P1071" s="8"/>
      <c r="AQ1071" s="11"/>
      <c r="AR1071" s="11"/>
      <c r="AS1071" s="8"/>
      <c r="AT1071" s="8"/>
      <c r="AU1071" s="8"/>
      <c r="AV1071" s="8"/>
      <c r="AW1071" s="11"/>
      <c r="AX1071" s="11"/>
      <c r="AY1071" s="11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P1072" s="8"/>
      <c r="AQ1072" s="11"/>
      <c r="AR1072" s="11"/>
      <c r="AS1072" s="8"/>
      <c r="AT1072" s="8"/>
      <c r="AU1072" s="8"/>
      <c r="AV1072" s="8"/>
      <c r="AW1072" s="11"/>
      <c r="AX1072" s="11"/>
      <c r="AY1072" s="11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/>
      <c r="AQ1073" s="11"/>
      <c r="AR1073" s="11"/>
      <c r="AS1073" s="8"/>
      <c r="AT1073" s="8"/>
      <c r="AU1073" s="8"/>
      <c r="AV1073" s="8"/>
      <c r="AW1073" s="11"/>
      <c r="AX1073" s="11"/>
      <c r="AY1073" s="11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  <c r="AQ1074" s="11"/>
      <c r="AR1074" s="11"/>
      <c r="AS1074" s="8"/>
      <c r="AT1074" s="8"/>
      <c r="AU1074" s="8"/>
      <c r="AV1074" s="8"/>
      <c r="AW1074" s="11"/>
      <c r="AX1074" s="11"/>
      <c r="AY1074" s="11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  <c r="AQ1075" s="11"/>
      <c r="AR1075" s="11"/>
      <c r="AS1075" s="8"/>
      <c r="AT1075" s="8"/>
      <c r="AU1075" s="8"/>
      <c r="AV1075" s="8"/>
      <c r="AW1075" s="11"/>
      <c r="AX1075" s="11"/>
      <c r="AY1075" s="11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  <c r="AQ1076" s="11"/>
      <c r="AR1076" s="11"/>
      <c r="AS1076" s="8"/>
      <c r="AT1076" s="8"/>
      <c r="AU1076" s="8"/>
      <c r="AV1076" s="8"/>
      <c r="AW1076" s="11"/>
      <c r="AX1076" s="11"/>
      <c r="AY1076" s="11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  <c r="AQ1077" s="11"/>
      <c r="AR1077" s="11"/>
      <c r="AS1077" s="8"/>
      <c r="AT1077" s="8"/>
      <c r="AU1077" s="8"/>
      <c r="AV1077" s="8"/>
      <c r="AW1077" s="11"/>
      <c r="AX1077" s="11"/>
      <c r="AY1077" s="11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  <c r="AQ1078" s="11"/>
      <c r="AR1078" s="11"/>
      <c r="AS1078" s="8"/>
      <c r="AT1078" s="8"/>
      <c r="AU1078" s="8"/>
      <c r="AV1078" s="8"/>
      <c r="AW1078" s="11"/>
      <c r="AX1078" s="11"/>
      <c r="AY1078" s="11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  <c r="AQ1079" s="11"/>
      <c r="AR1079" s="11"/>
      <c r="AS1079" s="8"/>
      <c r="AT1079" s="8"/>
      <c r="AU1079" s="8"/>
      <c r="AV1079" s="8"/>
      <c r="AW1079" s="11"/>
      <c r="AX1079" s="11"/>
      <c r="AY1079" s="11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  <c r="AQ1080" s="11"/>
      <c r="AR1080" s="11"/>
      <c r="AS1080" s="8"/>
      <c r="AT1080" s="8"/>
      <c r="AU1080" s="8"/>
      <c r="AV1080" s="8"/>
      <c r="AW1080" s="11"/>
      <c r="AX1080" s="11"/>
      <c r="AY1080" s="11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  <c r="AQ1081" s="11"/>
      <c r="AR1081" s="11"/>
      <c r="AS1081" s="8"/>
      <c r="AT1081" s="8"/>
      <c r="AU1081" s="8"/>
      <c r="AV1081" s="8"/>
      <c r="AW1081" s="11"/>
      <c r="AX1081" s="11"/>
      <c r="AY1081" s="11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P1082" s="8"/>
      <c r="AQ1082" s="11"/>
      <c r="AR1082" s="11"/>
      <c r="AS1082" s="8"/>
      <c r="AT1082" s="8"/>
      <c r="AU1082" s="8"/>
      <c r="AV1082" s="8"/>
      <c r="AW1082" s="11"/>
      <c r="AX1082" s="11"/>
      <c r="AY1082" s="11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P1083" s="8"/>
      <c r="AQ1083" s="11"/>
      <c r="AR1083" s="11"/>
      <c r="AS1083" s="8"/>
      <c r="AT1083" s="8"/>
      <c r="AU1083" s="8"/>
      <c r="AV1083" s="8"/>
      <c r="AW1083" s="11"/>
      <c r="AX1083" s="11"/>
      <c r="AY1083" s="11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P1084" s="8"/>
      <c r="AQ1084" s="11"/>
      <c r="AR1084" s="11"/>
      <c r="AS1084" s="8"/>
      <c r="AT1084" s="8"/>
      <c r="AU1084" s="8"/>
      <c r="AV1084" s="8"/>
      <c r="AW1084" s="11"/>
      <c r="AX1084" s="11"/>
      <c r="AY1084" s="11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P1085" s="8"/>
      <c r="AQ1085" s="11"/>
      <c r="AR1085" s="11"/>
      <c r="AS1085" s="8"/>
      <c r="AT1085" s="8"/>
      <c r="AU1085" s="8"/>
      <c r="AV1085" s="8"/>
      <c r="AW1085" s="11"/>
      <c r="AX1085" s="11"/>
      <c r="AY1085" s="11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P1086" s="8"/>
      <c r="AQ1086" s="11"/>
      <c r="AR1086" s="11"/>
      <c r="AS1086" s="8"/>
      <c r="AT1086" s="8"/>
      <c r="AU1086" s="8"/>
      <c r="AV1086" s="8"/>
      <c r="AW1086" s="11"/>
      <c r="AX1086" s="11"/>
      <c r="AY1086" s="11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P1087" s="8"/>
      <c r="AQ1087" s="11"/>
      <c r="AR1087" s="11"/>
      <c r="AS1087" s="8"/>
      <c r="AT1087" s="8"/>
      <c r="AU1087" s="8"/>
      <c r="AV1087" s="8"/>
      <c r="AW1087" s="11"/>
      <c r="AX1087" s="11"/>
      <c r="AY1087" s="11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P1088" s="8"/>
      <c r="AQ1088" s="11"/>
      <c r="AR1088" s="11"/>
      <c r="AS1088" s="8"/>
      <c r="AT1088" s="8"/>
      <c r="AU1088" s="8"/>
      <c r="AV1088" s="8"/>
      <c r="AW1088" s="11"/>
      <c r="AX1088" s="11"/>
      <c r="AY1088" s="11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P1089" s="8"/>
      <c r="AQ1089" s="11"/>
      <c r="AR1089" s="11"/>
      <c r="AS1089" s="8"/>
      <c r="AT1089" s="8"/>
      <c r="AU1089" s="8"/>
      <c r="AV1089" s="8"/>
      <c r="AW1089" s="11"/>
      <c r="AX1089" s="11"/>
      <c r="AY1089" s="11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  <c r="AQ1090" s="11"/>
      <c r="AR1090" s="11"/>
      <c r="AS1090" s="8"/>
      <c r="AT1090" s="8"/>
      <c r="AU1090" s="8"/>
      <c r="AV1090" s="8"/>
      <c r="AW1090" s="11"/>
      <c r="AX1090" s="11"/>
      <c r="AY1090" s="11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  <c r="AQ1091" s="11"/>
      <c r="AR1091" s="11"/>
      <c r="AS1091" s="8"/>
      <c r="AT1091" s="8"/>
      <c r="AU1091" s="8"/>
      <c r="AV1091" s="8"/>
      <c r="AW1091" s="11"/>
      <c r="AX1091" s="11"/>
      <c r="AY1091" s="11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  <c r="AQ1092" s="11"/>
      <c r="AR1092" s="11"/>
      <c r="AS1092" s="8"/>
      <c r="AT1092" s="8"/>
      <c r="AU1092" s="8"/>
      <c r="AV1092" s="8"/>
      <c r="AW1092" s="11"/>
      <c r="AX1092" s="11"/>
      <c r="AY1092" s="11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  <c r="AQ1093" s="11"/>
      <c r="AR1093" s="11"/>
      <c r="AS1093" s="8"/>
      <c r="AT1093" s="8"/>
      <c r="AU1093" s="8"/>
      <c r="AV1093" s="8"/>
      <c r="AW1093" s="11"/>
      <c r="AX1093" s="11"/>
      <c r="AY1093" s="11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  <c r="AQ1094" s="11"/>
      <c r="AR1094" s="11"/>
      <c r="AS1094" s="8"/>
      <c r="AT1094" s="8"/>
      <c r="AU1094" s="8"/>
      <c r="AV1094" s="8"/>
      <c r="AW1094" s="11"/>
      <c r="AX1094" s="11"/>
      <c r="AY1094" s="11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  <c r="AQ1095" s="11"/>
      <c r="AR1095" s="11"/>
      <c r="AS1095" s="8"/>
      <c r="AT1095" s="8"/>
      <c r="AU1095" s="8"/>
      <c r="AV1095" s="8"/>
      <c r="AW1095" s="11"/>
      <c r="AX1095" s="11"/>
      <c r="AY1095" s="11"/>
    </row>
    <row r="1096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  <c r="AQ1096" s="11"/>
      <c r="AR1096" s="11"/>
      <c r="AS1096" s="8"/>
      <c r="AT1096" s="8"/>
      <c r="AU1096" s="8"/>
      <c r="AV1096" s="8"/>
      <c r="AW1096" s="11"/>
      <c r="AX1096" s="11"/>
      <c r="AY1096" s="11"/>
    </row>
    <row r="1097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  <c r="AQ1097" s="11"/>
      <c r="AR1097" s="11"/>
      <c r="AS1097" s="8"/>
      <c r="AT1097" s="8"/>
      <c r="AU1097" s="8"/>
      <c r="AV1097" s="8"/>
      <c r="AW1097" s="11"/>
      <c r="AX1097" s="11"/>
      <c r="AY1097" s="11"/>
    </row>
    <row r="1098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  <c r="AQ1098" s="11"/>
      <c r="AR1098" s="11"/>
      <c r="AS1098" s="8"/>
      <c r="AT1098" s="8"/>
      <c r="AU1098" s="8"/>
      <c r="AV1098" s="8"/>
      <c r="AW1098" s="11"/>
      <c r="AX1098" s="11"/>
      <c r="AY1098" s="11"/>
    </row>
    <row r="1099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/>
      <c r="AQ1099" s="11"/>
      <c r="AR1099" s="11"/>
      <c r="AS1099" s="8"/>
      <c r="AT1099" s="8"/>
      <c r="AU1099" s="8"/>
      <c r="AV1099" s="8"/>
      <c r="AW1099" s="11"/>
      <c r="AX1099" s="11"/>
      <c r="AY1099" s="11"/>
    </row>
    <row r="110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P1100" s="8"/>
      <c r="AQ1100" s="11"/>
      <c r="AR1100" s="11"/>
      <c r="AS1100" s="8"/>
      <c r="AT1100" s="8"/>
      <c r="AU1100" s="8"/>
      <c r="AV1100" s="8"/>
      <c r="AW1100" s="11"/>
      <c r="AX1100" s="11"/>
      <c r="AY1100" s="11"/>
    </row>
    <row r="110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P1101" s="8"/>
      <c r="AQ1101" s="11"/>
      <c r="AR1101" s="11"/>
      <c r="AS1101" s="8"/>
      <c r="AT1101" s="8"/>
      <c r="AU1101" s="8"/>
      <c r="AV1101" s="8"/>
      <c r="AW1101" s="11"/>
      <c r="AX1101" s="11"/>
      <c r="AY1101" s="11"/>
    </row>
    <row r="110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P1102" s="8"/>
      <c r="AQ1102" s="11"/>
      <c r="AR1102" s="11"/>
      <c r="AS1102" s="8"/>
      <c r="AT1102" s="8"/>
      <c r="AU1102" s="8"/>
      <c r="AV1102" s="8"/>
      <c r="AW1102" s="11"/>
      <c r="AX1102" s="11"/>
      <c r="AY1102" s="11"/>
    </row>
    <row r="110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  <c r="AQ1103" s="11"/>
      <c r="AR1103" s="11"/>
      <c r="AS1103" s="8"/>
      <c r="AT1103" s="8"/>
      <c r="AU1103" s="8"/>
      <c r="AV1103" s="8"/>
      <c r="AW1103" s="11"/>
      <c r="AX1103" s="11"/>
      <c r="AY1103" s="11"/>
    </row>
    <row r="110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P1104" s="8"/>
      <c r="AQ1104" s="11"/>
      <c r="AR1104" s="11"/>
      <c r="AS1104" s="8"/>
      <c r="AT1104" s="8"/>
      <c r="AU1104" s="8"/>
      <c r="AV1104" s="8"/>
      <c r="AW1104" s="11"/>
      <c r="AX1104" s="11"/>
      <c r="AY1104" s="11"/>
    </row>
    <row r="110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/>
      <c r="AQ1105" s="11"/>
      <c r="AR1105" s="11"/>
      <c r="AS1105" s="8"/>
      <c r="AT1105" s="8"/>
      <c r="AU1105" s="8"/>
      <c r="AV1105" s="8"/>
      <c r="AW1105" s="11"/>
      <c r="AX1105" s="11"/>
      <c r="AY1105" s="11"/>
    </row>
    <row r="1106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11"/>
      <c r="AR1106" s="11"/>
      <c r="AS1106" s="8"/>
      <c r="AT1106" s="8"/>
      <c r="AU1106" s="8"/>
      <c r="AV1106" s="8"/>
      <c r="AW1106" s="11"/>
      <c r="AX1106" s="11"/>
      <c r="AY1106" s="11"/>
    </row>
    <row r="1107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11"/>
      <c r="AR1107" s="11"/>
      <c r="AS1107" s="8"/>
      <c r="AT1107" s="8"/>
      <c r="AU1107" s="8"/>
      <c r="AV1107" s="8"/>
      <c r="AW1107" s="11"/>
      <c r="AX1107" s="11"/>
      <c r="AY1107" s="11"/>
    </row>
    <row r="1108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11"/>
      <c r="AR1108" s="11"/>
      <c r="AS1108" s="8"/>
      <c r="AT1108" s="8"/>
      <c r="AU1108" s="8"/>
      <c r="AV1108" s="8"/>
      <c r="AW1108" s="11"/>
      <c r="AX1108" s="11"/>
      <c r="AY1108" s="11"/>
    </row>
    <row r="1109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11"/>
      <c r="AR1109" s="11"/>
      <c r="AS1109" s="8"/>
      <c r="AT1109" s="8"/>
      <c r="AU1109" s="8"/>
      <c r="AV1109" s="8"/>
      <c r="AW1109" s="11"/>
      <c r="AX1109" s="11"/>
      <c r="AY1109" s="11"/>
    </row>
    <row r="111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  <c r="AQ1110" s="11"/>
      <c r="AR1110" s="11"/>
      <c r="AS1110" s="8"/>
      <c r="AT1110" s="8"/>
      <c r="AU1110" s="8"/>
      <c r="AV1110" s="8"/>
      <c r="AW1110" s="11"/>
      <c r="AX1110" s="11"/>
      <c r="AY1110" s="11"/>
    </row>
    <row r="11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  <c r="AQ1111" s="11"/>
      <c r="AR1111" s="11"/>
      <c r="AS1111" s="8"/>
      <c r="AT1111" s="8"/>
      <c r="AU1111" s="8"/>
      <c r="AV1111" s="8"/>
      <c r="AW1111" s="11"/>
      <c r="AX1111" s="11"/>
      <c r="AY1111" s="11"/>
    </row>
    <row r="111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  <c r="AQ1112" s="11"/>
      <c r="AR1112" s="11"/>
      <c r="AS1112" s="8"/>
      <c r="AT1112" s="8"/>
      <c r="AU1112" s="8"/>
      <c r="AV1112" s="8"/>
      <c r="AW1112" s="11"/>
      <c r="AX1112" s="11"/>
      <c r="AY1112" s="11"/>
    </row>
    <row r="111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  <c r="AQ1113" s="11"/>
      <c r="AR1113" s="11"/>
      <c r="AS1113" s="8"/>
      <c r="AT1113" s="8"/>
      <c r="AU1113" s="8"/>
      <c r="AV1113" s="8"/>
      <c r="AW1113" s="11"/>
      <c r="AX1113" s="11"/>
      <c r="AY1113" s="11"/>
    </row>
    <row r="11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P1114" s="8"/>
      <c r="AQ1114" s="11"/>
      <c r="AR1114" s="11"/>
      <c r="AS1114" s="8"/>
      <c r="AT1114" s="8"/>
      <c r="AU1114" s="8"/>
      <c r="AV1114" s="8"/>
      <c r="AW1114" s="11"/>
      <c r="AX1114" s="11"/>
      <c r="AY1114" s="11"/>
    </row>
    <row r="11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P1115" s="8"/>
      <c r="AQ1115" s="11"/>
      <c r="AR1115" s="11"/>
      <c r="AS1115" s="8"/>
      <c r="AT1115" s="8"/>
      <c r="AU1115" s="8"/>
      <c r="AV1115" s="8"/>
      <c r="AW1115" s="11"/>
      <c r="AX1115" s="11"/>
      <c r="AY1115" s="11"/>
    </row>
    <row r="1116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P1116" s="8"/>
      <c r="AQ1116" s="11"/>
      <c r="AR1116" s="11"/>
      <c r="AS1116" s="8"/>
      <c r="AT1116" s="8"/>
      <c r="AU1116" s="8"/>
      <c r="AV1116" s="8"/>
      <c r="AW1116" s="11"/>
      <c r="AX1116" s="11"/>
      <c r="AY1116" s="11"/>
    </row>
    <row r="1117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P1117" s="8"/>
      <c r="AQ1117" s="11"/>
      <c r="AR1117" s="11"/>
      <c r="AS1117" s="8"/>
      <c r="AT1117" s="8"/>
      <c r="AU1117" s="8"/>
      <c r="AV1117" s="8"/>
      <c r="AW1117" s="11"/>
      <c r="AX1117" s="11"/>
      <c r="AY1117" s="11"/>
    </row>
    <row r="1118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  <c r="AQ1118" s="11"/>
      <c r="AR1118" s="11"/>
      <c r="AS1118" s="8"/>
      <c r="AT1118" s="8"/>
      <c r="AU1118" s="8"/>
      <c r="AV1118" s="8"/>
      <c r="AW1118" s="11"/>
      <c r="AX1118" s="11"/>
      <c r="AY1118" s="11"/>
    </row>
    <row r="1119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  <c r="AQ1119" s="11"/>
      <c r="AR1119" s="11"/>
      <c r="AS1119" s="8"/>
      <c r="AT1119" s="8"/>
      <c r="AU1119" s="8"/>
      <c r="AV1119" s="8"/>
      <c r="AW1119" s="11"/>
      <c r="AX1119" s="11"/>
      <c r="AY1119" s="11"/>
    </row>
    <row r="112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  <c r="AQ1120" s="11"/>
      <c r="AR1120" s="11"/>
      <c r="AS1120" s="8"/>
      <c r="AT1120" s="8"/>
      <c r="AU1120" s="8"/>
      <c r="AV1120" s="8"/>
      <c r="AW1120" s="11"/>
      <c r="AX1120" s="11"/>
      <c r="AY1120" s="11"/>
    </row>
    <row r="112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  <c r="AQ1121" s="11"/>
      <c r="AR1121" s="11"/>
      <c r="AS1121" s="8"/>
      <c r="AT1121" s="8"/>
      <c r="AU1121" s="8"/>
      <c r="AV1121" s="8"/>
      <c r="AW1121" s="11"/>
      <c r="AX1121" s="11"/>
      <c r="AY1121" s="11"/>
    </row>
    <row r="112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P1122" s="8"/>
      <c r="AQ1122" s="11"/>
      <c r="AR1122" s="11"/>
      <c r="AS1122" s="8"/>
      <c r="AT1122" s="8"/>
      <c r="AU1122" s="8"/>
      <c r="AV1122" s="8"/>
      <c r="AW1122" s="11"/>
      <c r="AX1122" s="11"/>
      <c r="AY1122" s="11"/>
    </row>
    <row r="11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P1123" s="8"/>
      <c r="AQ1123" s="11"/>
      <c r="AR1123" s="11"/>
      <c r="AS1123" s="8"/>
      <c r="AT1123" s="8"/>
      <c r="AU1123" s="8"/>
      <c r="AV1123" s="8"/>
      <c r="AW1123" s="11"/>
      <c r="AX1123" s="11"/>
      <c r="AY1123" s="11"/>
    </row>
    <row r="112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P1124" s="8"/>
      <c r="AQ1124" s="11"/>
      <c r="AR1124" s="11"/>
      <c r="AS1124" s="8"/>
      <c r="AT1124" s="8"/>
      <c r="AU1124" s="8"/>
      <c r="AV1124" s="8"/>
      <c r="AW1124" s="11"/>
      <c r="AX1124" s="11"/>
      <c r="AY1124" s="11"/>
    </row>
    <row r="11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P1125" s="8"/>
      <c r="AQ1125" s="11"/>
      <c r="AR1125" s="11"/>
      <c r="AS1125" s="8"/>
      <c r="AT1125" s="8"/>
      <c r="AU1125" s="8"/>
      <c r="AV1125" s="8"/>
      <c r="AW1125" s="11"/>
      <c r="AX1125" s="11"/>
      <c r="AY1125" s="11"/>
    </row>
    <row r="1126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P1126" s="8"/>
      <c r="AQ1126" s="11"/>
      <c r="AR1126" s="11"/>
      <c r="AS1126" s="8"/>
      <c r="AT1126" s="8"/>
      <c r="AU1126" s="8"/>
      <c r="AV1126" s="8"/>
      <c r="AW1126" s="11"/>
      <c r="AX1126" s="11"/>
      <c r="AY1126" s="11"/>
    </row>
    <row r="1127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/>
      <c r="AQ1127" s="11"/>
      <c r="AR1127" s="11"/>
      <c r="AS1127" s="8"/>
      <c r="AT1127" s="8"/>
      <c r="AU1127" s="8"/>
      <c r="AV1127" s="8"/>
      <c r="AW1127" s="11"/>
      <c r="AX1127" s="11"/>
      <c r="AY1127" s="11"/>
    </row>
    <row r="1128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P1128" s="8"/>
      <c r="AQ1128" s="11"/>
      <c r="AR1128" s="11"/>
      <c r="AS1128" s="8"/>
      <c r="AT1128" s="8"/>
      <c r="AU1128" s="8"/>
      <c r="AV1128" s="8"/>
      <c r="AW1128" s="11"/>
      <c r="AX1128" s="11"/>
      <c r="AY1128" s="11"/>
    </row>
    <row r="1129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P1129" s="8"/>
      <c r="AQ1129" s="11"/>
      <c r="AR1129" s="11"/>
      <c r="AS1129" s="8"/>
      <c r="AT1129" s="8"/>
      <c r="AU1129" s="8"/>
      <c r="AV1129" s="8"/>
      <c r="AW1129" s="11"/>
      <c r="AX1129" s="11"/>
      <c r="AY1129" s="11"/>
    </row>
    <row r="113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P1130" s="8"/>
      <c r="AQ1130" s="11"/>
      <c r="AR1130" s="11"/>
      <c r="AS1130" s="8"/>
      <c r="AT1130" s="8"/>
      <c r="AU1130" s="8"/>
      <c r="AV1130" s="8"/>
      <c r="AW1130" s="11"/>
      <c r="AX1130" s="11"/>
      <c r="AY1130" s="11"/>
    </row>
    <row r="113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P1131" s="8"/>
      <c r="AQ1131" s="11"/>
      <c r="AR1131" s="11"/>
      <c r="AS1131" s="8"/>
      <c r="AT1131" s="8"/>
      <c r="AU1131" s="8"/>
      <c r="AV1131" s="8"/>
      <c r="AW1131" s="11"/>
      <c r="AX1131" s="11"/>
      <c r="AY1131" s="11"/>
    </row>
    <row r="113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P1132" s="8"/>
      <c r="AQ1132" s="11"/>
      <c r="AR1132" s="11"/>
      <c r="AS1132" s="8"/>
      <c r="AT1132" s="8"/>
      <c r="AU1132" s="8"/>
      <c r="AV1132" s="8"/>
      <c r="AW1132" s="11"/>
      <c r="AX1132" s="11"/>
      <c r="AY1132" s="11"/>
    </row>
    <row r="113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P1133" s="8"/>
      <c r="AQ1133" s="11"/>
      <c r="AR1133" s="11"/>
      <c r="AS1133" s="8"/>
      <c r="AT1133" s="8"/>
      <c r="AU1133" s="8"/>
      <c r="AV1133" s="8"/>
      <c r="AW1133" s="11"/>
      <c r="AX1133" s="11"/>
      <c r="AY1133" s="11"/>
    </row>
    <row r="1134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P1134" s="8"/>
      <c r="AQ1134" s="11"/>
      <c r="AR1134" s="11"/>
      <c r="AS1134" s="8"/>
      <c r="AT1134" s="8"/>
      <c r="AU1134" s="8"/>
      <c r="AV1134" s="8"/>
      <c r="AW1134" s="11"/>
      <c r="AX1134" s="11"/>
      <c r="AY1134" s="11"/>
    </row>
    <row r="113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P1135" s="8"/>
      <c r="AQ1135" s="11"/>
      <c r="AR1135" s="11"/>
      <c r="AS1135" s="8"/>
      <c r="AT1135" s="8"/>
      <c r="AU1135" s="8"/>
      <c r="AV1135" s="8"/>
      <c r="AW1135" s="11"/>
      <c r="AX1135" s="11"/>
      <c r="AY1135" s="11"/>
    </row>
    <row r="1136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P1136" s="8"/>
      <c r="AQ1136" s="11"/>
      <c r="AR1136" s="11"/>
      <c r="AS1136" s="8"/>
      <c r="AT1136" s="8"/>
      <c r="AU1136" s="8"/>
      <c r="AV1136" s="8"/>
      <c r="AW1136" s="11"/>
      <c r="AX1136" s="11"/>
      <c r="AY1136" s="11"/>
    </row>
    <row r="1137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P1137" s="8"/>
      <c r="AQ1137" s="11"/>
      <c r="AR1137" s="11"/>
      <c r="AS1137" s="8"/>
      <c r="AT1137" s="8"/>
      <c r="AU1137" s="8"/>
      <c r="AV1137" s="8"/>
      <c r="AW1137" s="11"/>
      <c r="AX1137" s="11"/>
      <c r="AY1137" s="11"/>
    </row>
    <row r="1138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P1138" s="8"/>
      <c r="AQ1138" s="11"/>
      <c r="AR1138" s="11"/>
      <c r="AS1138" s="8"/>
      <c r="AT1138" s="8"/>
      <c r="AU1138" s="8"/>
      <c r="AV1138" s="8"/>
      <c r="AW1138" s="11"/>
      <c r="AX1138" s="11"/>
      <c r="AY1138" s="11"/>
    </row>
    <row r="1139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/>
      <c r="AQ1139" s="11"/>
      <c r="AR1139" s="11"/>
      <c r="AS1139" s="8"/>
      <c r="AT1139" s="8"/>
      <c r="AU1139" s="8"/>
      <c r="AV1139" s="8"/>
      <c r="AW1139" s="11"/>
      <c r="AX1139" s="11"/>
      <c r="AY1139" s="11"/>
    </row>
    <row r="1140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P1140" s="8"/>
      <c r="AQ1140" s="11"/>
      <c r="AR1140" s="11"/>
      <c r="AS1140" s="8"/>
      <c r="AT1140" s="8"/>
      <c r="AU1140" s="8"/>
      <c r="AV1140" s="8"/>
      <c r="AW1140" s="11"/>
      <c r="AX1140" s="11"/>
      <c r="AY1140" s="11"/>
    </row>
    <row r="1141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P1141" s="8"/>
      <c r="AQ1141" s="11"/>
      <c r="AR1141" s="11"/>
      <c r="AS1141" s="8"/>
      <c r="AT1141" s="8"/>
      <c r="AU1141" s="8"/>
      <c r="AV1141" s="8"/>
      <c r="AW1141" s="11"/>
      <c r="AX1141" s="11"/>
      <c r="AY1141" s="11"/>
    </row>
    <row r="1142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P1142" s="8"/>
      <c r="AQ1142" s="11"/>
      <c r="AR1142" s="11"/>
      <c r="AS1142" s="8"/>
      <c r="AT1142" s="8"/>
      <c r="AU1142" s="8"/>
      <c r="AV1142" s="8"/>
      <c r="AW1142" s="11"/>
      <c r="AX1142" s="11"/>
      <c r="AY1142" s="11"/>
    </row>
    <row r="1143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P1143" s="8"/>
      <c r="AQ1143" s="11"/>
      <c r="AR1143" s="11"/>
      <c r="AS1143" s="8"/>
      <c r="AT1143" s="8"/>
      <c r="AU1143" s="8"/>
      <c r="AV1143" s="8"/>
      <c r="AW1143" s="11"/>
      <c r="AX1143" s="11"/>
      <c r="AY1143" s="11"/>
    </row>
    <row r="1144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P1144" s="8"/>
      <c r="AQ1144" s="11"/>
      <c r="AR1144" s="11"/>
      <c r="AS1144" s="8"/>
      <c r="AT1144" s="8"/>
      <c r="AU1144" s="8"/>
      <c r="AV1144" s="8"/>
      <c r="AW1144" s="11"/>
      <c r="AX1144" s="11"/>
      <c r="AY1144" s="11"/>
    </row>
    <row r="114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P1145" s="8"/>
      <c r="AQ1145" s="11"/>
      <c r="AR1145" s="11"/>
      <c r="AS1145" s="8"/>
      <c r="AT1145" s="8"/>
      <c r="AU1145" s="8"/>
      <c r="AV1145" s="8"/>
      <c r="AW1145" s="11"/>
      <c r="AX1145" s="11"/>
      <c r="AY1145" s="11"/>
    </row>
    <row r="1146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P1146" s="8"/>
      <c r="AQ1146" s="11"/>
      <c r="AR1146" s="11"/>
      <c r="AS1146" s="8"/>
      <c r="AT1146" s="8"/>
      <c r="AU1146" s="8"/>
      <c r="AV1146" s="8"/>
      <c r="AW1146" s="11"/>
      <c r="AX1146" s="11"/>
      <c r="AY1146" s="11"/>
    </row>
    <row r="1147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P1147" s="8"/>
      <c r="AQ1147" s="11"/>
      <c r="AR1147" s="11"/>
      <c r="AS1147" s="8"/>
      <c r="AT1147" s="8"/>
      <c r="AU1147" s="8"/>
      <c r="AV1147" s="8"/>
      <c r="AW1147" s="11"/>
      <c r="AX1147" s="11"/>
      <c r="AY1147" s="11"/>
    </row>
    <row r="1148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P1148" s="8"/>
      <c r="AQ1148" s="11"/>
      <c r="AR1148" s="11"/>
      <c r="AS1148" s="8"/>
      <c r="AT1148" s="8"/>
      <c r="AU1148" s="8"/>
      <c r="AV1148" s="8"/>
      <c r="AW1148" s="11"/>
      <c r="AX1148" s="11"/>
      <c r="AY1148" s="11"/>
    </row>
    <row r="1149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P1149" s="8"/>
      <c r="AQ1149" s="11"/>
      <c r="AR1149" s="11"/>
      <c r="AS1149" s="8"/>
      <c r="AT1149" s="8"/>
      <c r="AU1149" s="8"/>
      <c r="AV1149" s="8"/>
      <c r="AW1149" s="11"/>
      <c r="AX1149" s="11"/>
      <c r="AY1149" s="11"/>
    </row>
    <row r="1150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P1150" s="8"/>
      <c r="AQ1150" s="11"/>
      <c r="AR1150" s="11"/>
      <c r="AS1150" s="8"/>
      <c r="AT1150" s="8"/>
      <c r="AU1150" s="8"/>
      <c r="AV1150" s="8"/>
      <c r="AW1150" s="11"/>
      <c r="AX1150" s="11"/>
      <c r="AY1150" s="11"/>
    </row>
    <row r="1151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11"/>
      <c r="AR1151" s="11"/>
      <c r="AS1151" s="8"/>
      <c r="AT1151" s="8"/>
      <c r="AU1151" s="8"/>
      <c r="AV1151" s="8"/>
      <c r="AW1151" s="11"/>
      <c r="AX1151" s="11"/>
      <c r="AY1151" s="11"/>
    </row>
    <row r="1152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P1152" s="8"/>
      <c r="AQ1152" s="11"/>
      <c r="AR1152" s="11"/>
      <c r="AS1152" s="8"/>
      <c r="AT1152" s="8"/>
      <c r="AU1152" s="8"/>
      <c r="AV1152" s="8"/>
      <c r="AW1152" s="11"/>
      <c r="AX1152" s="11"/>
      <c r="AY1152" s="11"/>
    </row>
    <row r="1153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P1153" s="8"/>
      <c r="AQ1153" s="11"/>
      <c r="AR1153" s="11"/>
      <c r="AS1153" s="8"/>
      <c r="AT1153" s="8"/>
      <c r="AU1153" s="8"/>
      <c r="AV1153" s="8"/>
      <c r="AW1153" s="11"/>
      <c r="AX1153" s="11"/>
      <c r="AY1153" s="11"/>
    </row>
    <row r="1154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P1154" s="8"/>
      <c r="AQ1154" s="11"/>
      <c r="AR1154" s="11"/>
      <c r="AS1154" s="8"/>
      <c r="AT1154" s="8"/>
      <c r="AU1154" s="8"/>
      <c r="AV1154" s="8"/>
      <c r="AW1154" s="11"/>
      <c r="AX1154" s="11"/>
      <c r="AY1154" s="11"/>
    </row>
    <row r="115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P1155" s="8"/>
      <c r="AQ1155" s="11"/>
      <c r="AR1155" s="11"/>
      <c r="AS1155" s="8"/>
      <c r="AT1155" s="8"/>
      <c r="AU1155" s="8"/>
      <c r="AV1155" s="8"/>
      <c r="AW1155" s="11"/>
      <c r="AX1155" s="11"/>
      <c r="AY1155" s="11"/>
    </row>
    <row r="1156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P1156" s="8"/>
      <c r="AQ1156" s="11"/>
      <c r="AR1156" s="11"/>
      <c r="AS1156" s="8"/>
      <c r="AT1156" s="8"/>
      <c r="AU1156" s="8"/>
      <c r="AV1156" s="8"/>
      <c r="AW1156" s="11"/>
      <c r="AX1156" s="11"/>
      <c r="AY1156" s="11"/>
    </row>
    <row r="1157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P1157" s="8"/>
      <c r="AQ1157" s="11"/>
      <c r="AR1157" s="11"/>
      <c r="AS1157" s="8"/>
      <c r="AT1157" s="8"/>
      <c r="AU1157" s="8"/>
      <c r="AV1157" s="8"/>
      <c r="AW1157" s="11"/>
      <c r="AX1157" s="11"/>
      <c r="AY1157" s="11"/>
    </row>
    <row r="1158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P1158" s="8"/>
      <c r="AQ1158" s="11"/>
      <c r="AR1158" s="11"/>
      <c r="AS1158" s="8"/>
      <c r="AT1158" s="8"/>
      <c r="AU1158" s="8"/>
      <c r="AV1158" s="8"/>
      <c r="AW1158" s="11"/>
      <c r="AX1158" s="11"/>
      <c r="AY1158" s="11"/>
    </row>
    <row r="1159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P1159" s="8"/>
      <c r="AQ1159" s="11"/>
      <c r="AR1159" s="11"/>
      <c r="AS1159" s="8"/>
      <c r="AT1159" s="8"/>
      <c r="AU1159" s="8"/>
      <c r="AV1159" s="8"/>
      <c r="AW1159" s="11"/>
      <c r="AX1159" s="11"/>
      <c r="AY1159" s="11"/>
    </row>
    <row r="1160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P1160" s="8"/>
      <c r="AQ1160" s="11"/>
      <c r="AR1160" s="11"/>
      <c r="AS1160" s="8"/>
      <c r="AT1160" s="8"/>
      <c r="AU1160" s="8"/>
      <c r="AV1160" s="8"/>
      <c r="AW1160" s="11"/>
      <c r="AX1160" s="11"/>
      <c r="AY1160" s="11"/>
    </row>
    <row r="1161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P1161" s="8"/>
      <c r="AQ1161" s="11"/>
      <c r="AR1161" s="11"/>
      <c r="AS1161" s="8"/>
      <c r="AT1161" s="8"/>
      <c r="AU1161" s="8"/>
      <c r="AV1161" s="8"/>
      <c r="AW1161" s="11"/>
      <c r="AX1161" s="11"/>
      <c r="AY1161" s="11"/>
    </row>
    <row r="1162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P1162" s="8"/>
      <c r="AQ1162" s="11"/>
      <c r="AR1162" s="11"/>
      <c r="AS1162" s="8"/>
      <c r="AT1162" s="8"/>
      <c r="AU1162" s="8"/>
      <c r="AV1162" s="8"/>
      <c r="AW1162" s="11"/>
      <c r="AX1162" s="11"/>
      <c r="AY1162" s="11"/>
    </row>
    <row r="1163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P1163" s="8"/>
      <c r="AQ1163" s="11"/>
      <c r="AR1163" s="11"/>
      <c r="AS1163" s="8"/>
      <c r="AT1163" s="8"/>
      <c r="AU1163" s="8"/>
      <c r="AV1163" s="8"/>
      <c r="AW1163" s="11"/>
      <c r="AX1163" s="11"/>
      <c r="AY1163" s="11"/>
    </row>
    <row r="1164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P1164" s="8"/>
      <c r="AQ1164" s="11"/>
      <c r="AR1164" s="11"/>
      <c r="AS1164" s="8"/>
      <c r="AT1164" s="8"/>
      <c r="AU1164" s="8"/>
      <c r="AV1164" s="8"/>
      <c r="AW1164" s="11"/>
      <c r="AX1164" s="11"/>
      <c r="AY1164" s="11"/>
    </row>
    <row r="116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P1165" s="8"/>
      <c r="AQ1165" s="11"/>
      <c r="AR1165" s="11"/>
      <c r="AS1165" s="8"/>
      <c r="AT1165" s="8"/>
      <c r="AU1165" s="8"/>
      <c r="AV1165" s="8"/>
      <c r="AW1165" s="11"/>
      <c r="AX1165" s="11"/>
      <c r="AY1165" s="11"/>
    </row>
    <row r="1166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P1166" s="8"/>
      <c r="AQ1166" s="11"/>
      <c r="AR1166" s="11"/>
      <c r="AS1166" s="8"/>
      <c r="AT1166" s="8"/>
      <c r="AU1166" s="8"/>
      <c r="AV1166" s="8"/>
      <c r="AW1166" s="11"/>
      <c r="AX1166" s="11"/>
      <c r="AY1166" s="11"/>
    </row>
    <row r="1167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P1167" s="8"/>
      <c r="AQ1167" s="11"/>
      <c r="AR1167" s="11"/>
      <c r="AS1167" s="8"/>
      <c r="AT1167" s="8"/>
      <c r="AU1167" s="8"/>
      <c r="AV1167" s="8"/>
      <c r="AW1167" s="11"/>
      <c r="AX1167" s="11"/>
      <c r="AY1167" s="11"/>
    </row>
    <row r="1168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P1168" s="8"/>
      <c r="AQ1168" s="11"/>
      <c r="AR1168" s="11"/>
      <c r="AS1168" s="8"/>
      <c r="AT1168" s="8"/>
      <c r="AU1168" s="8"/>
      <c r="AV1168" s="8"/>
      <c r="AW1168" s="11"/>
      <c r="AX1168" s="11"/>
      <c r="AY1168" s="11"/>
    </row>
    <row r="1169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P1169" s="8"/>
      <c r="AQ1169" s="11"/>
      <c r="AR1169" s="11"/>
      <c r="AS1169" s="8"/>
      <c r="AT1169" s="8"/>
      <c r="AU1169" s="8"/>
      <c r="AV1169" s="8"/>
      <c r="AW1169" s="11"/>
      <c r="AX1169" s="11"/>
      <c r="AY1169" s="11"/>
    </row>
    <row r="1170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P1170" s="8"/>
      <c r="AQ1170" s="11"/>
      <c r="AR1170" s="11"/>
      <c r="AS1170" s="8"/>
      <c r="AT1170" s="8"/>
      <c r="AU1170" s="8"/>
      <c r="AV1170" s="8"/>
      <c r="AW1170" s="11"/>
      <c r="AX1170" s="11"/>
      <c r="AY1170" s="11"/>
    </row>
    <row r="1171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P1171" s="8"/>
      <c r="AQ1171" s="11"/>
      <c r="AR1171" s="11"/>
      <c r="AS1171" s="8"/>
      <c r="AT1171" s="8"/>
      <c r="AU1171" s="8"/>
      <c r="AV1171" s="8"/>
      <c r="AW1171" s="11"/>
      <c r="AX1171" s="11"/>
      <c r="AY1171" s="11"/>
    </row>
    <row r="1172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P1172" s="8"/>
      <c r="AQ1172" s="11"/>
      <c r="AR1172" s="11"/>
      <c r="AS1172" s="8"/>
      <c r="AT1172" s="8"/>
      <c r="AU1172" s="8"/>
      <c r="AV1172" s="8"/>
      <c r="AW1172" s="11"/>
      <c r="AX1172" s="11"/>
      <c r="AY1172" s="11"/>
    </row>
    <row r="1173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P1173" s="8"/>
      <c r="AQ1173" s="11"/>
      <c r="AR1173" s="11"/>
      <c r="AS1173" s="8"/>
      <c r="AT1173" s="8"/>
      <c r="AU1173" s="8"/>
      <c r="AV1173" s="8"/>
      <c r="AW1173" s="11"/>
      <c r="AX1173" s="11"/>
      <c r="AY1173" s="11"/>
    </row>
    <row r="1174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P1174" s="8"/>
      <c r="AQ1174" s="11"/>
      <c r="AR1174" s="11"/>
      <c r="AS1174" s="8"/>
      <c r="AT1174" s="8"/>
      <c r="AU1174" s="8"/>
      <c r="AV1174" s="8"/>
      <c r="AW1174" s="11"/>
      <c r="AX1174" s="11"/>
      <c r="AY1174" s="11"/>
    </row>
    <row r="117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P1175" s="8"/>
      <c r="AQ1175" s="11"/>
      <c r="AR1175" s="11"/>
      <c r="AS1175" s="8"/>
      <c r="AT1175" s="8"/>
      <c r="AU1175" s="8"/>
      <c r="AV1175" s="8"/>
      <c r="AW1175" s="11"/>
      <c r="AX1175" s="11"/>
      <c r="AY1175" s="11"/>
    </row>
    <row r="1176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P1176" s="8"/>
      <c r="AQ1176" s="11"/>
      <c r="AR1176" s="11"/>
      <c r="AS1176" s="8"/>
      <c r="AT1176" s="8"/>
      <c r="AU1176" s="8"/>
      <c r="AV1176" s="8"/>
      <c r="AW1176" s="11"/>
      <c r="AX1176" s="11"/>
      <c r="AY1176" s="11"/>
    </row>
    <row r="1177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P1177" s="8"/>
      <c r="AQ1177" s="11"/>
      <c r="AR1177" s="11"/>
      <c r="AS1177" s="8"/>
      <c r="AT1177" s="8"/>
      <c r="AU1177" s="8"/>
      <c r="AV1177" s="8"/>
      <c r="AW1177" s="11"/>
      <c r="AX1177" s="11"/>
      <c r="AY1177" s="11"/>
    </row>
    <row r="1178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P1178" s="8"/>
      <c r="AQ1178" s="11"/>
      <c r="AR1178" s="11"/>
      <c r="AS1178" s="8"/>
      <c r="AT1178" s="8"/>
      <c r="AU1178" s="8"/>
      <c r="AV1178" s="8"/>
      <c r="AW1178" s="11"/>
      <c r="AX1178" s="11"/>
      <c r="AY1178" s="11"/>
    </row>
    <row r="1179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P1179" s="8"/>
      <c r="AQ1179" s="11"/>
      <c r="AR1179" s="11"/>
      <c r="AS1179" s="8"/>
      <c r="AT1179" s="8"/>
      <c r="AU1179" s="8"/>
      <c r="AV1179" s="8"/>
      <c r="AW1179" s="11"/>
      <c r="AX1179" s="11"/>
      <c r="AY1179" s="11"/>
    </row>
    <row r="1180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P1180" s="8"/>
      <c r="AQ1180" s="11"/>
      <c r="AR1180" s="11"/>
      <c r="AS1180" s="8"/>
      <c r="AT1180" s="8"/>
      <c r="AU1180" s="8"/>
      <c r="AV1180" s="8"/>
      <c r="AW1180" s="11"/>
      <c r="AX1180" s="11"/>
      <c r="AY1180" s="11"/>
    </row>
    <row r="1181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/>
      <c r="AQ1181" s="11"/>
      <c r="AR1181" s="11"/>
      <c r="AS1181" s="8"/>
      <c r="AT1181" s="8"/>
      <c r="AU1181" s="8"/>
      <c r="AV1181" s="8"/>
      <c r="AW1181" s="11"/>
      <c r="AX1181" s="11"/>
      <c r="AY1181" s="11"/>
    </row>
    <row r="1182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P1182" s="8"/>
      <c r="AQ1182" s="11"/>
      <c r="AR1182" s="11"/>
      <c r="AS1182" s="8"/>
      <c r="AT1182" s="8"/>
      <c r="AU1182" s="8"/>
      <c r="AV1182" s="8"/>
      <c r="AW1182" s="11"/>
      <c r="AX1182" s="11"/>
      <c r="AY1182" s="11"/>
    </row>
    <row r="1183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P1183" s="8"/>
      <c r="AQ1183" s="11"/>
      <c r="AR1183" s="11"/>
      <c r="AS1183" s="8"/>
      <c r="AT1183" s="8"/>
      <c r="AU1183" s="8"/>
      <c r="AV1183" s="8"/>
      <c r="AW1183" s="11"/>
      <c r="AX1183" s="11"/>
      <c r="AY1183" s="11"/>
    </row>
    <row r="1184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P1184" s="8"/>
      <c r="AQ1184" s="11"/>
      <c r="AR1184" s="11"/>
      <c r="AS1184" s="8"/>
      <c r="AT1184" s="8"/>
      <c r="AU1184" s="8"/>
      <c r="AV1184" s="8"/>
      <c r="AW1184" s="11"/>
      <c r="AX1184" s="11"/>
      <c r="AY1184" s="11"/>
    </row>
    <row r="118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P1185" s="8"/>
      <c r="AQ1185" s="11"/>
      <c r="AR1185" s="11"/>
      <c r="AS1185" s="8"/>
      <c r="AT1185" s="8"/>
      <c r="AU1185" s="8"/>
      <c r="AV1185" s="8"/>
      <c r="AW1185" s="11"/>
      <c r="AX1185" s="11"/>
      <c r="AY1185" s="11"/>
    </row>
    <row r="1186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P1186" s="8"/>
      <c r="AQ1186" s="11"/>
      <c r="AR1186" s="11"/>
      <c r="AS1186" s="8"/>
      <c r="AT1186" s="8"/>
      <c r="AU1186" s="8"/>
      <c r="AV1186" s="8"/>
      <c r="AW1186" s="11"/>
      <c r="AX1186" s="11"/>
      <c r="AY1186" s="11"/>
    </row>
    <row r="1187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P1187" s="8"/>
      <c r="AQ1187" s="11"/>
      <c r="AR1187" s="11"/>
      <c r="AS1187" s="8"/>
      <c r="AT1187" s="8"/>
      <c r="AU1187" s="8"/>
      <c r="AV1187" s="8"/>
      <c r="AW1187" s="11"/>
      <c r="AX1187" s="11"/>
      <c r="AY1187" s="11"/>
    </row>
    <row r="1188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P1188" s="8"/>
      <c r="AQ1188" s="11"/>
      <c r="AR1188" s="11"/>
      <c r="AS1188" s="8"/>
      <c r="AT1188" s="8"/>
      <c r="AU1188" s="8"/>
      <c r="AV1188" s="8"/>
      <c r="AW1188" s="11"/>
      <c r="AX1188" s="11"/>
      <c r="AY1188" s="11"/>
    </row>
    <row r="1189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P1189" s="8"/>
      <c r="AQ1189" s="11"/>
      <c r="AR1189" s="11"/>
      <c r="AS1189" s="8"/>
      <c r="AT1189" s="8"/>
      <c r="AU1189" s="8"/>
      <c r="AV1189" s="8"/>
      <c r="AW1189" s="11"/>
      <c r="AX1189" s="11"/>
      <c r="AY1189" s="11"/>
    </row>
    <row r="1190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P1190" s="8"/>
      <c r="AQ1190" s="11"/>
      <c r="AR1190" s="11"/>
      <c r="AS1190" s="8"/>
      <c r="AT1190" s="8"/>
      <c r="AU1190" s="8"/>
      <c r="AV1190" s="8"/>
      <c r="AW1190" s="11"/>
      <c r="AX1190" s="11"/>
      <c r="AY1190" s="11"/>
    </row>
    <row r="1191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P1191" s="8"/>
      <c r="AQ1191" s="11"/>
      <c r="AR1191" s="11"/>
      <c r="AS1191" s="8"/>
      <c r="AT1191" s="8"/>
      <c r="AU1191" s="8"/>
      <c r="AV1191" s="8"/>
      <c r="AW1191" s="11"/>
      <c r="AX1191" s="11"/>
      <c r="AY1191" s="11"/>
    </row>
    <row r="1192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P1192" s="8"/>
      <c r="AQ1192" s="11"/>
      <c r="AR1192" s="11"/>
      <c r="AS1192" s="8"/>
      <c r="AT1192" s="8"/>
      <c r="AU1192" s="8"/>
      <c r="AV1192" s="8"/>
      <c r="AW1192" s="11"/>
      <c r="AX1192" s="11"/>
      <c r="AY1192" s="11"/>
    </row>
    <row r="1193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P1193" s="8"/>
      <c r="AQ1193" s="11"/>
      <c r="AR1193" s="11"/>
      <c r="AS1193" s="8"/>
      <c r="AT1193" s="8"/>
      <c r="AU1193" s="8"/>
      <c r="AV1193" s="8"/>
      <c r="AW1193" s="11"/>
      <c r="AX1193" s="11"/>
      <c r="AY1193" s="11"/>
    </row>
    <row r="1194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P1194" s="8"/>
      <c r="AQ1194" s="11"/>
      <c r="AR1194" s="11"/>
      <c r="AS1194" s="8"/>
      <c r="AT1194" s="8"/>
      <c r="AU1194" s="8"/>
      <c r="AV1194" s="8"/>
      <c r="AW1194" s="11"/>
      <c r="AX1194" s="11"/>
      <c r="AY1194" s="11"/>
    </row>
    <row r="119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P1195" s="8"/>
      <c r="AQ1195" s="11"/>
      <c r="AR1195" s="11"/>
      <c r="AS1195" s="8"/>
      <c r="AT1195" s="8"/>
      <c r="AU1195" s="8"/>
      <c r="AV1195" s="8"/>
      <c r="AW1195" s="11"/>
      <c r="AX1195" s="11"/>
      <c r="AY1195" s="11"/>
    </row>
    <row r="1196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P1196" s="8"/>
      <c r="AQ1196" s="11"/>
      <c r="AR1196" s="11"/>
      <c r="AS1196" s="8"/>
      <c r="AT1196" s="8"/>
      <c r="AU1196" s="8"/>
      <c r="AV1196" s="8"/>
      <c r="AW1196" s="11"/>
      <c r="AX1196" s="11"/>
      <c r="AY1196" s="11"/>
    </row>
    <row r="1197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P1197" s="8"/>
      <c r="AQ1197" s="11"/>
      <c r="AR1197" s="11"/>
      <c r="AS1197" s="8"/>
      <c r="AT1197" s="8"/>
      <c r="AU1197" s="8"/>
      <c r="AV1197" s="8"/>
      <c r="AW1197" s="11"/>
      <c r="AX1197" s="11"/>
      <c r="AY1197" s="11"/>
    </row>
    <row r="1198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P1198" s="8"/>
      <c r="AQ1198" s="11"/>
      <c r="AR1198" s="11"/>
      <c r="AS1198" s="8"/>
      <c r="AT1198" s="8"/>
      <c r="AU1198" s="8"/>
      <c r="AV1198" s="8"/>
      <c r="AW1198" s="11"/>
      <c r="AX1198" s="11"/>
      <c r="AY1198" s="11"/>
    </row>
    <row r="1199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/>
      <c r="AQ1199" s="11"/>
      <c r="AR1199" s="11"/>
      <c r="AS1199" s="8"/>
      <c r="AT1199" s="8"/>
      <c r="AU1199" s="8"/>
      <c r="AV1199" s="8"/>
      <c r="AW1199" s="11"/>
      <c r="AX1199" s="11"/>
      <c r="AY1199" s="11"/>
    </row>
    <row r="120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P1200" s="8"/>
      <c r="AQ1200" s="11"/>
      <c r="AR1200" s="11"/>
      <c r="AS1200" s="8"/>
      <c r="AT1200" s="8"/>
      <c r="AU1200" s="8"/>
      <c r="AV1200" s="8"/>
      <c r="AW1200" s="11"/>
      <c r="AX1200" s="11"/>
      <c r="AY1200" s="11"/>
    </row>
    <row r="120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/>
      <c r="AQ1201" s="11"/>
      <c r="AR1201" s="11"/>
      <c r="AS1201" s="8"/>
      <c r="AT1201" s="8"/>
      <c r="AU1201" s="8"/>
      <c r="AV1201" s="8"/>
      <c r="AW1201" s="11"/>
      <c r="AX1201" s="11"/>
      <c r="AY1201" s="11"/>
    </row>
    <row r="1202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P1202" s="8"/>
      <c r="AQ1202" s="11"/>
      <c r="AR1202" s="11"/>
      <c r="AS1202" s="8"/>
      <c r="AT1202" s="8"/>
      <c r="AU1202" s="8"/>
      <c r="AV1202" s="8"/>
      <c r="AW1202" s="11"/>
      <c r="AX1202" s="11"/>
      <c r="AY1202" s="11"/>
    </row>
    <row r="120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11"/>
      <c r="AR1203" s="11"/>
      <c r="AS1203" s="8"/>
      <c r="AT1203" s="8"/>
      <c r="AU1203" s="8"/>
      <c r="AV1203" s="8"/>
      <c r="AW1203" s="11"/>
      <c r="AX1203" s="11"/>
      <c r="AY1203" s="11"/>
    </row>
    <row r="1204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11"/>
      <c r="AR1204" s="11"/>
      <c r="AS1204" s="8"/>
      <c r="AT1204" s="8"/>
      <c r="AU1204" s="8"/>
      <c r="AV1204" s="8"/>
      <c r="AW1204" s="11"/>
      <c r="AX1204" s="11"/>
      <c r="AY1204" s="11"/>
    </row>
    <row r="120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11"/>
      <c r="AR1205" s="11"/>
      <c r="AS1205" s="8"/>
      <c r="AT1205" s="8"/>
      <c r="AU1205" s="8"/>
      <c r="AV1205" s="8"/>
      <c r="AW1205" s="11"/>
      <c r="AX1205" s="11"/>
      <c r="AY1205" s="11"/>
    </row>
    <row r="1206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P1206" s="8"/>
      <c r="AQ1206" s="11"/>
      <c r="AR1206" s="11"/>
      <c r="AS1206" s="8"/>
      <c r="AT1206" s="8"/>
      <c r="AU1206" s="8"/>
      <c r="AV1206" s="8"/>
      <c r="AW1206" s="11"/>
      <c r="AX1206" s="11"/>
      <c r="AY1206" s="11"/>
    </row>
    <row r="1207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P1207" s="8"/>
      <c r="AQ1207" s="11"/>
      <c r="AR1207" s="11"/>
      <c r="AS1207" s="8"/>
      <c r="AT1207" s="8"/>
      <c r="AU1207" s="8"/>
      <c r="AV1207" s="8"/>
      <c r="AW1207" s="11"/>
      <c r="AX1207" s="11"/>
      <c r="AY1207" s="11"/>
    </row>
    <row r="1208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P1208" s="8"/>
      <c r="AQ1208" s="11"/>
      <c r="AR1208" s="11"/>
      <c r="AS1208" s="8"/>
      <c r="AT1208" s="8"/>
      <c r="AU1208" s="8"/>
      <c r="AV1208" s="8"/>
      <c r="AW1208" s="11"/>
      <c r="AX1208" s="11"/>
      <c r="AY1208" s="11"/>
    </row>
    <row r="1209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11"/>
      <c r="AR1209" s="11"/>
      <c r="AS1209" s="8"/>
      <c r="AT1209" s="8"/>
      <c r="AU1209" s="8"/>
      <c r="AV1209" s="8"/>
      <c r="AW1209" s="11"/>
      <c r="AX1209" s="11"/>
      <c r="AY1209" s="11"/>
    </row>
    <row r="1210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11"/>
      <c r="AR1210" s="11"/>
      <c r="AS1210" s="8"/>
      <c r="AT1210" s="8"/>
      <c r="AU1210" s="8"/>
      <c r="AV1210" s="8"/>
      <c r="AW1210" s="11"/>
      <c r="AX1210" s="11"/>
      <c r="AY1210" s="11"/>
    </row>
    <row r="12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11"/>
      <c r="AR1211" s="11"/>
      <c r="AS1211" s="8"/>
      <c r="AT1211" s="8"/>
      <c r="AU1211" s="8"/>
      <c r="AV1211" s="8"/>
      <c r="AW1211" s="11"/>
      <c r="AX1211" s="11"/>
      <c r="AY1211" s="11"/>
    </row>
    <row r="1212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11"/>
      <c r="AR1212" s="11"/>
      <c r="AS1212" s="8"/>
      <c r="AT1212" s="8"/>
      <c r="AU1212" s="8"/>
      <c r="AV1212" s="8"/>
      <c r="AW1212" s="11"/>
      <c r="AX1212" s="11"/>
      <c r="AY1212" s="11"/>
    </row>
    <row r="121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11"/>
      <c r="AR1213" s="11"/>
      <c r="AS1213" s="8"/>
      <c r="AT1213" s="8"/>
      <c r="AU1213" s="8"/>
      <c r="AV1213" s="8"/>
      <c r="AW1213" s="11"/>
      <c r="AX1213" s="11"/>
      <c r="AY1213" s="11"/>
    </row>
    <row r="1214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11"/>
      <c r="AR1214" s="11"/>
      <c r="AS1214" s="8"/>
      <c r="AT1214" s="8"/>
      <c r="AU1214" s="8"/>
      <c r="AV1214" s="8"/>
      <c r="AW1214" s="11"/>
      <c r="AX1214" s="11"/>
      <c r="AY1214" s="11"/>
    </row>
    <row r="121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11"/>
      <c r="AR1215" s="11"/>
      <c r="AS1215" s="8"/>
      <c r="AT1215" s="8"/>
      <c r="AU1215" s="8"/>
      <c r="AV1215" s="8"/>
      <c r="AW1215" s="11"/>
      <c r="AX1215" s="11"/>
      <c r="AY1215" s="11"/>
    </row>
    <row r="1216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11"/>
      <c r="AR1216" s="11"/>
      <c r="AS1216" s="8"/>
      <c r="AT1216" s="8"/>
      <c r="AU1216" s="8"/>
      <c r="AV1216" s="8"/>
      <c r="AW1216" s="11"/>
      <c r="AX1216" s="11"/>
      <c r="AY1216" s="11"/>
    </row>
    <row r="1217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P1217" s="8"/>
      <c r="AQ1217" s="11"/>
      <c r="AR1217" s="11"/>
      <c r="AS1217" s="8"/>
      <c r="AT1217" s="8"/>
      <c r="AU1217" s="8"/>
      <c r="AV1217" s="8"/>
      <c r="AW1217" s="11"/>
      <c r="AX1217" s="11"/>
      <c r="AY1217" s="11"/>
    </row>
    <row r="1218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P1218" s="8"/>
      <c r="AQ1218" s="11"/>
      <c r="AR1218" s="11"/>
      <c r="AS1218" s="8"/>
      <c r="AT1218" s="8"/>
      <c r="AU1218" s="8"/>
      <c r="AV1218" s="8"/>
      <c r="AW1218" s="11"/>
      <c r="AX1218" s="11"/>
      <c r="AY1218" s="11"/>
    </row>
    <row r="1219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/>
      <c r="AQ1219" s="11"/>
      <c r="AR1219" s="11"/>
      <c r="AS1219" s="8"/>
      <c r="AT1219" s="8"/>
      <c r="AU1219" s="8"/>
      <c r="AV1219" s="8"/>
      <c r="AW1219" s="11"/>
      <c r="AX1219" s="11"/>
      <c r="AY1219" s="11"/>
    </row>
    <row r="1220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P1220" s="8"/>
      <c r="AQ1220" s="11"/>
      <c r="AR1220" s="11"/>
      <c r="AS1220" s="8"/>
      <c r="AT1220" s="8"/>
      <c r="AU1220" s="8"/>
      <c r="AV1220" s="8"/>
      <c r="AW1220" s="11"/>
      <c r="AX1220" s="11"/>
      <c r="AY1220" s="11"/>
    </row>
    <row r="122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P1221" s="8"/>
      <c r="AQ1221" s="11"/>
      <c r="AR1221" s="11"/>
      <c r="AS1221" s="8"/>
      <c r="AT1221" s="8"/>
      <c r="AU1221" s="8"/>
      <c r="AV1221" s="8"/>
      <c r="AW1221" s="11"/>
      <c r="AX1221" s="11"/>
      <c r="AY1221" s="11"/>
    </row>
    <row r="1222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P1222" s="8"/>
      <c r="AQ1222" s="11"/>
      <c r="AR1222" s="11"/>
      <c r="AS1222" s="8"/>
      <c r="AT1222" s="8"/>
      <c r="AU1222" s="8"/>
      <c r="AV1222" s="8"/>
      <c r="AW1222" s="11"/>
      <c r="AX1222" s="11"/>
      <c r="AY1222" s="11"/>
    </row>
    <row r="122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P1223" s="8"/>
      <c r="AQ1223" s="11"/>
      <c r="AR1223" s="11"/>
      <c r="AS1223" s="8"/>
      <c r="AT1223" s="8"/>
      <c r="AU1223" s="8"/>
      <c r="AV1223" s="8"/>
      <c r="AW1223" s="11"/>
      <c r="AX1223" s="11"/>
      <c r="AY1223" s="11"/>
    </row>
    <row r="1224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P1224" s="8"/>
      <c r="AQ1224" s="11"/>
      <c r="AR1224" s="11"/>
      <c r="AS1224" s="8"/>
      <c r="AT1224" s="8"/>
      <c r="AU1224" s="8"/>
      <c r="AV1224" s="8"/>
      <c r="AW1224" s="11"/>
      <c r="AX1224" s="11"/>
      <c r="AY1224" s="11"/>
    </row>
    <row r="12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P1225" s="8"/>
      <c r="AQ1225" s="11"/>
      <c r="AR1225" s="11"/>
      <c r="AS1225" s="8"/>
      <c r="AT1225" s="8"/>
      <c r="AU1225" s="8"/>
      <c r="AV1225" s="8"/>
      <c r="AW1225" s="11"/>
      <c r="AX1225" s="11"/>
      <c r="AY1225" s="11"/>
    </row>
    <row r="1226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P1226" s="8"/>
      <c r="AQ1226" s="11"/>
      <c r="AR1226" s="11"/>
      <c r="AS1226" s="8"/>
      <c r="AT1226" s="8"/>
      <c r="AU1226" s="8"/>
      <c r="AV1226" s="8"/>
      <c r="AW1226" s="11"/>
      <c r="AX1226" s="11"/>
      <c r="AY1226" s="11"/>
    </row>
    <row r="1227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P1227" s="8"/>
      <c r="AQ1227" s="11"/>
      <c r="AR1227" s="11"/>
      <c r="AS1227" s="8"/>
      <c r="AT1227" s="8"/>
      <c r="AU1227" s="8"/>
      <c r="AV1227" s="8"/>
      <c r="AW1227" s="11"/>
      <c r="AX1227" s="11"/>
      <c r="AY1227" s="11"/>
    </row>
    <row r="1228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P1228" s="8"/>
      <c r="AQ1228" s="11"/>
      <c r="AR1228" s="11"/>
      <c r="AS1228" s="8"/>
      <c r="AT1228" s="8"/>
      <c r="AU1228" s="8"/>
      <c r="AV1228" s="8"/>
      <c r="AW1228" s="11"/>
      <c r="AX1228" s="11"/>
      <c r="AY1228" s="11"/>
    </row>
    <row r="1229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P1229" s="8"/>
      <c r="AQ1229" s="11"/>
      <c r="AR1229" s="11"/>
      <c r="AS1229" s="8"/>
      <c r="AT1229" s="8"/>
      <c r="AU1229" s="8"/>
      <c r="AV1229" s="8"/>
      <c r="AW1229" s="11"/>
      <c r="AX1229" s="11"/>
      <c r="AY1229" s="11"/>
    </row>
    <row r="1230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P1230" s="8"/>
      <c r="AQ1230" s="11"/>
      <c r="AR1230" s="11"/>
      <c r="AS1230" s="8"/>
      <c r="AT1230" s="8"/>
      <c r="AU1230" s="8"/>
      <c r="AV1230" s="8"/>
      <c r="AW1230" s="11"/>
      <c r="AX1230" s="11"/>
      <c r="AY1230" s="11"/>
    </row>
    <row r="123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P1231" s="8"/>
      <c r="AQ1231" s="11"/>
      <c r="AR1231" s="11"/>
      <c r="AS1231" s="8"/>
      <c r="AT1231" s="8"/>
      <c r="AU1231" s="8"/>
      <c r="AV1231" s="8"/>
      <c r="AW1231" s="11"/>
      <c r="AX1231" s="11"/>
      <c r="AY1231" s="11"/>
    </row>
    <row r="1232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P1232" s="8"/>
      <c r="AQ1232" s="11"/>
      <c r="AR1232" s="11"/>
      <c r="AS1232" s="8"/>
      <c r="AT1232" s="8"/>
      <c r="AU1232" s="8"/>
      <c r="AV1232" s="8"/>
      <c r="AW1232" s="11"/>
      <c r="AX1232" s="11"/>
      <c r="AY1232" s="11"/>
    </row>
    <row r="123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P1233" s="8"/>
      <c r="AQ1233" s="11"/>
      <c r="AR1233" s="11"/>
      <c r="AS1233" s="8"/>
      <c r="AT1233" s="8"/>
      <c r="AU1233" s="8"/>
      <c r="AV1233" s="8"/>
      <c r="AW1233" s="11"/>
      <c r="AX1233" s="11"/>
      <c r="AY1233" s="11"/>
    </row>
    <row r="1234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P1234" s="8"/>
      <c r="AQ1234" s="11"/>
      <c r="AR1234" s="11"/>
      <c r="AS1234" s="8"/>
      <c r="AT1234" s="8"/>
      <c r="AU1234" s="8"/>
      <c r="AV1234" s="8"/>
      <c r="AW1234" s="11"/>
      <c r="AX1234" s="11"/>
      <c r="AY1234" s="11"/>
    </row>
    <row r="123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P1235" s="8"/>
      <c r="AQ1235" s="11"/>
      <c r="AR1235" s="11"/>
      <c r="AS1235" s="8"/>
      <c r="AT1235" s="8"/>
      <c r="AU1235" s="8"/>
      <c r="AV1235" s="8"/>
      <c r="AW1235" s="11"/>
      <c r="AX1235" s="11"/>
      <c r="AY1235" s="11"/>
    </row>
    <row r="1236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P1236" s="8"/>
      <c r="AQ1236" s="11"/>
      <c r="AR1236" s="11"/>
      <c r="AS1236" s="8"/>
      <c r="AT1236" s="8"/>
      <c r="AU1236" s="8"/>
      <c r="AV1236" s="8"/>
      <c r="AW1236" s="11"/>
      <c r="AX1236" s="11"/>
      <c r="AY1236" s="11"/>
    </row>
    <row r="1237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P1237" s="8"/>
      <c r="AQ1237" s="11"/>
      <c r="AR1237" s="11"/>
      <c r="AS1237" s="8"/>
      <c r="AT1237" s="8"/>
      <c r="AU1237" s="8"/>
      <c r="AV1237" s="8"/>
      <c r="AW1237" s="11"/>
      <c r="AX1237" s="11"/>
      <c r="AY1237" s="11"/>
    </row>
    <row r="1238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P1238" s="8"/>
      <c r="AQ1238" s="11"/>
      <c r="AR1238" s="11"/>
      <c r="AS1238" s="8"/>
      <c r="AT1238" s="8"/>
      <c r="AU1238" s="8"/>
      <c r="AV1238" s="8"/>
      <c r="AW1238" s="11"/>
      <c r="AX1238" s="11"/>
      <c r="AY1238" s="11"/>
    </row>
    <row r="1239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P1239" s="8"/>
      <c r="AQ1239" s="11"/>
      <c r="AR1239" s="11"/>
      <c r="AS1239" s="8"/>
      <c r="AT1239" s="8"/>
      <c r="AU1239" s="8"/>
      <c r="AV1239" s="8"/>
      <c r="AW1239" s="11"/>
      <c r="AX1239" s="11"/>
      <c r="AY1239" s="11"/>
    </row>
    <row r="1240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P1240" s="8"/>
      <c r="AQ1240" s="11"/>
      <c r="AR1240" s="11"/>
      <c r="AS1240" s="8"/>
      <c r="AT1240" s="8"/>
      <c r="AU1240" s="8"/>
      <c r="AV1240" s="8"/>
      <c r="AW1240" s="11"/>
      <c r="AX1240" s="11"/>
      <c r="AY1240" s="11"/>
    </row>
    <row r="124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P1241" s="8"/>
      <c r="AQ1241" s="11"/>
      <c r="AR1241" s="11"/>
      <c r="AS1241" s="8"/>
      <c r="AT1241" s="8"/>
      <c r="AU1241" s="8"/>
      <c r="AV1241" s="8"/>
      <c r="AW1241" s="11"/>
      <c r="AX1241" s="11"/>
      <c r="AY1241" s="11"/>
    </row>
    <row r="124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P1242" s="8"/>
      <c r="AQ1242" s="11"/>
      <c r="AR1242" s="11"/>
      <c r="AS1242" s="8"/>
      <c r="AT1242" s="8"/>
      <c r="AU1242" s="8"/>
      <c r="AV1242" s="8"/>
      <c r="AW1242" s="11"/>
      <c r="AX1242" s="11"/>
      <c r="AY1242" s="11"/>
    </row>
    <row r="124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P1243" s="8"/>
      <c r="AQ1243" s="11"/>
      <c r="AR1243" s="11"/>
      <c r="AS1243" s="8"/>
      <c r="AT1243" s="8"/>
      <c r="AU1243" s="8"/>
      <c r="AV1243" s="8"/>
      <c r="AW1243" s="11"/>
      <c r="AX1243" s="11"/>
      <c r="AY1243" s="11"/>
    </row>
    <row r="1244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P1244" s="8"/>
      <c r="AQ1244" s="11"/>
      <c r="AR1244" s="11"/>
      <c r="AS1244" s="8"/>
      <c r="AT1244" s="8"/>
      <c r="AU1244" s="8"/>
      <c r="AV1244" s="8"/>
      <c r="AW1244" s="11"/>
      <c r="AX1244" s="11"/>
      <c r="AY1244" s="11"/>
    </row>
    <row r="124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P1245" s="8"/>
      <c r="AQ1245" s="11"/>
      <c r="AR1245" s="11"/>
      <c r="AS1245" s="8"/>
      <c r="AT1245" s="8"/>
      <c r="AU1245" s="8"/>
      <c r="AV1245" s="8"/>
      <c r="AW1245" s="11"/>
      <c r="AX1245" s="11"/>
      <c r="AY1245" s="11"/>
    </row>
    <row r="1246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P1246" s="8"/>
      <c r="AQ1246" s="11"/>
      <c r="AR1246" s="11"/>
      <c r="AS1246" s="8"/>
      <c r="AT1246" s="8"/>
      <c r="AU1246" s="8"/>
      <c r="AV1246" s="8"/>
      <c r="AW1246" s="11"/>
      <c r="AX1246" s="11"/>
      <c r="AY1246" s="11"/>
    </row>
    <row r="1247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P1247" s="8"/>
      <c r="AQ1247" s="11"/>
      <c r="AR1247" s="11"/>
      <c r="AS1247" s="8"/>
      <c r="AT1247" s="8"/>
      <c r="AU1247" s="8"/>
      <c r="AV1247" s="8"/>
      <c r="AW1247" s="11"/>
      <c r="AX1247" s="11"/>
      <c r="AY1247" s="11"/>
    </row>
    <row r="1248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P1248" s="8"/>
      <c r="AQ1248" s="11"/>
      <c r="AR1248" s="11"/>
      <c r="AS1248" s="8"/>
      <c r="AT1248" s="8"/>
      <c r="AU1248" s="8"/>
      <c r="AV1248" s="8"/>
      <c r="AW1248" s="11"/>
      <c r="AX1248" s="11"/>
      <c r="AY1248" s="11"/>
    </row>
    <row r="1249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  <c r="AP1249" s="8"/>
      <c r="AQ1249" s="11"/>
      <c r="AR1249" s="11"/>
      <c r="AS1249" s="8"/>
      <c r="AT1249" s="8"/>
      <c r="AU1249" s="8"/>
      <c r="AV1249" s="8"/>
      <c r="AW1249" s="11"/>
      <c r="AX1249" s="11"/>
      <c r="AY1249" s="11"/>
    </row>
    <row r="1250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  <c r="AP1250" s="8"/>
      <c r="AQ1250" s="11"/>
      <c r="AR1250" s="11"/>
      <c r="AS1250" s="8"/>
      <c r="AT1250" s="8"/>
      <c r="AU1250" s="8"/>
      <c r="AV1250" s="8"/>
      <c r="AW1250" s="11"/>
      <c r="AX1250" s="11"/>
      <c r="AY1250" s="11"/>
    </row>
    <row r="125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  <c r="AP1251" s="8"/>
      <c r="AQ1251" s="11"/>
      <c r="AR1251" s="11"/>
      <c r="AS1251" s="8"/>
      <c r="AT1251" s="8"/>
      <c r="AU1251" s="8"/>
      <c r="AV1251" s="8"/>
      <c r="AW1251" s="11"/>
      <c r="AX1251" s="11"/>
      <c r="AY1251" s="11"/>
    </row>
    <row r="1252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  <c r="AP1252" s="8"/>
      <c r="AQ1252" s="11"/>
      <c r="AR1252" s="11"/>
      <c r="AS1252" s="8"/>
      <c r="AT1252" s="8"/>
      <c r="AU1252" s="8"/>
      <c r="AV1252" s="8"/>
      <c r="AW1252" s="11"/>
      <c r="AX1252" s="11"/>
      <c r="AY1252" s="11"/>
    </row>
    <row r="125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  <c r="AP1253" s="8"/>
      <c r="AQ1253" s="11"/>
      <c r="AR1253" s="11"/>
      <c r="AS1253" s="8"/>
      <c r="AT1253" s="8"/>
      <c r="AU1253" s="8"/>
      <c r="AV1253" s="8"/>
      <c r="AW1253" s="11"/>
      <c r="AX1253" s="11"/>
      <c r="AY1253" s="11"/>
    </row>
    <row r="1254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  <c r="AP1254" s="8"/>
      <c r="AQ1254" s="11"/>
      <c r="AR1254" s="11"/>
      <c r="AS1254" s="8"/>
      <c r="AT1254" s="8"/>
      <c r="AU1254" s="8"/>
      <c r="AV1254" s="8"/>
      <c r="AW1254" s="11"/>
      <c r="AX1254" s="11"/>
      <c r="AY1254" s="11"/>
    </row>
    <row r="125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  <c r="AP1255" s="8"/>
      <c r="AQ1255" s="11"/>
      <c r="AR1255" s="11"/>
      <c r="AS1255" s="8"/>
      <c r="AT1255" s="8"/>
      <c r="AU1255" s="8"/>
      <c r="AV1255" s="8"/>
      <c r="AW1255" s="11"/>
      <c r="AX1255" s="11"/>
      <c r="AY1255" s="11"/>
    </row>
    <row r="1256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  <c r="AP1256" s="8"/>
      <c r="AQ1256" s="11"/>
      <c r="AR1256" s="11"/>
      <c r="AS1256" s="8"/>
      <c r="AT1256" s="8"/>
      <c r="AU1256" s="8"/>
      <c r="AV1256" s="8"/>
      <c r="AW1256" s="11"/>
      <c r="AX1256" s="11"/>
      <c r="AY1256" s="11"/>
    </row>
    <row r="1257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  <c r="AP1257" s="8"/>
      <c r="AQ1257" s="11"/>
      <c r="AR1257" s="11"/>
      <c r="AS1257" s="8"/>
      <c r="AT1257" s="8"/>
      <c r="AU1257" s="8"/>
      <c r="AV1257" s="8"/>
      <c r="AW1257" s="11"/>
      <c r="AX1257" s="11"/>
      <c r="AY1257" s="11"/>
    </row>
    <row r="1258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  <c r="AP1258" s="8"/>
      <c r="AQ1258" s="11"/>
      <c r="AR1258" s="11"/>
      <c r="AS1258" s="8"/>
      <c r="AT1258" s="8"/>
      <c r="AU1258" s="8"/>
      <c r="AV1258" s="8"/>
      <c r="AW1258" s="11"/>
      <c r="AX1258" s="11"/>
      <c r="AY1258" s="11"/>
    </row>
    <row r="1259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/>
      <c r="AQ1259" s="11"/>
      <c r="AR1259" s="11"/>
      <c r="AS1259" s="8"/>
      <c r="AT1259" s="8"/>
      <c r="AU1259" s="8"/>
      <c r="AV1259" s="8"/>
      <c r="AW1259" s="11"/>
      <c r="AX1259" s="11"/>
      <c r="AY1259" s="11"/>
    </row>
    <row r="1260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  <c r="AP1260" s="8"/>
      <c r="AQ1260" s="11"/>
      <c r="AR1260" s="11"/>
      <c r="AS1260" s="8"/>
      <c r="AT1260" s="8"/>
      <c r="AU1260" s="8"/>
      <c r="AV1260" s="8"/>
      <c r="AW1260" s="11"/>
      <c r="AX1260" s="11"/>
      <c r="AY1260" s="11"/>
    </row>
    <row r="126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  <c r="AP1261" s="8"/>
      <c r="AQ1261" s="11"/>
      <c r="AR1261" s="11"/>
      <c r="AS1261" s="8"/>
      <c r="AT1261" s="8"/>
      <c r="AU1261" s="8"/>
      <c r="AV1261" s="8"/>
      <c r="AW1261" s="11"/>
      <c r="AX1261" s="11"/>
      <c r="AY1261" s="11"/>
    </row>
    <row r="1262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  <c r="AP1262" s="8"/>
      <c r="AQ1262" s="11"/>
      <c r="AR1262" s="11"/>
      <c r="AS1262" s="8"/>
      <c r="AT1262" s="8"/>
      <c r="AU1262" s="8"/>
      <c r="AV1262" s="8"/>
      <c r="AW1262" s="11"/>
      <c r="AX1262" s="11"/>
      <c r="AY1262" s="11"/>
    </row>
    <row r="126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  <c r="AP1263" s="8"/>
      <c r="AQ1263" s="11"/>
      <c r="AR1263" s="11"/>
      <c r="AS1263" s="8"/>
      <c r="AT1263" s="8"/>
      <c r="AU1263" s="8"/>
      <c r="AV1263" s="8"/>
      <c r="AW1263" s="11"/>
      <c r="AX1263" s="11"/>
      <c r="AY1263" s="11"/>
    </row>
    <row r="1264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  <c r="AP1264" s="8"/>
      <c r="AQ1264" s="11"/>
      <c r="AR1264" s="11"/>
      <c r="AS1264" s="8"/>
      <c r="AT1264" s="8"/>
      <c r="AU1264" s="8"/>
      <c r="AV1264" s="8"/>
      <c r="AW1264" s="11"/>
      <c r="AX1264" s="11"/>
      <c r="AY1264" s="11"/>
    </row>
    <row r="126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  <c r="AP1265" s="8"/>
      <c r="AQ1265" s="11"/>
      <c r="AR1265" s="11"/>
      <c r="AS1265" s="8"/>
      <c r="AT1265" s="8"/>
      <c r="AU1265" s="8"/>
      <c r="AV1265" s="8"/>
      <c r="AW1265" s="11"/>
      <c r="AX1265" s="11"/>
      <c r="AY1265" s="11"/>
    </row>
    <row r="1266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  <c r="AP1266" s="8"/>
      <c r="AQ1266" s="11"/>
      <c r="AR1266" s="11"/>
      <c r="AS1266" s="8"/>
      <c r="AT1266" s="8"/>
      <c r="AU1266" s="8"/>
      <c r="AV1266" s="8"/>
      <c r="AW1266" s="11"/>
      <c r="AX1266" s="11"/>
      <c r="AY1266" s="11"/>
    </row>
    <row r="1267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  <c r="AP1267" s="8"/>
      <c r="AQ1267" s="11"/>
      <c r="AR1267" s="11"/>
      <c r="AS1267" s="8"/>
      <c r="AT1267" s="8"/>
      <c r="AU1267" s="8"/>
      <c r="AV1267" s="8"/>
      <c r="AW1267" s="11"/>
      <c r="AX1267" s="11"/>
      <c r="AY1267" s="11"/>
    </row>
    <row r="1268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  <c r="AP1268" s="8"/>
      <c r="AQ1268" s="11"/>
      <c r="AR1268" s="11"/>
      <c r="AS1268" s="8"/>
      <c r="AT1268" s="8"/>
      <c r="AU1268" s="8"/>
      <c r="AV1268" s="8"/>
      <c r="AW1268" s="11"/>
      <c r="AX1268" s="11"/>
      <c r="AY1268" s="11"/>
    </row>
    <row r="1269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  <c r="AP1269" s="8"/>
      <c r="AQ1269" s="11"/>
      <c r="AR1269" s="11"/>
      <c r="AS1269" s="8"/>
      <c r="AT1269" s="8"/>
      <c r="AU1269" s="8"/>
      <c r="AV1269" s="8"/>
      <c r="AW1269" s="11"/>
      <c r="AX1269" s="11"/>
      <c r="AY1269" s="11"/>
    </row>
    <row r="1270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  <c r="AP1270" s="8"/>
      <c r="AQ1270" s="11"/>
      <c r="AR1270" s="11"/>
      <c r="AS1270" s="8"/>
      <c r="AT1270" s="8"/>
      <c r="AU1270" s="8"/>
      <c r="AV1270" s="8"/>
      <c r="AW1270" s="11"/>
      <c r="AX1270" s="11"/>
      <c r="AY1270" s="11"/>
    </row>
    <row r="127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  <c r="AP1271" s="8"/>
      <c r="AQ1271" s="11"/>
      <c r="AR1271" s="11"/>
      <c r="AS1271" s="8"/>
      <c r="AT1271" s="8"/>
      <c r="AU1271" s="8"/>
      <c r="AV1271" s="8"/>
      <c r="AW1271" s="11"/>
      <c r="AX1271" s="11"/>
      <c r="AY1271" s="11"/>
    </row>
    <row r="1272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  <c r="AP1272" s="8"/>
      <c r="AQ1272" s="11"/>
      <c r="AR1272" s="11"/>
      <c r="AS1272" s="8"/>
      <c r="AT1272" s="8"/>
      <c r="AU1272" s="8"/>
      <c r="AV1272" s="8"/>
      <c r="AW1272" s="11"/>
      <c r="AX1272" s="11"/>
      <c r="AY1272" s="11"/>
    </row>
    <row r="127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  <c r="AP1273" s="8"/>
      <c r="AQ1273" s="11"/>
      <c r="AR1273" s="11"/>
      <c r="AS1273" s="8"/>
      <c r="AT1273" s="8"/>
      <c r="AU1273" s="8"/>
      <c r="AV1273" s="8"/>
      <c r="AW1273" s="11"/>
      <c r="AX1273" s="11"/>
      <c r="AY1273" s="11"/>
    </row>
    <row r="1274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  <c r="AP1274" s="8"/>
      <c r="AQ1274" s="11"/>
      <c r="AR1274" s="11"/>
      <c r="AS1274" s="8"/>
      <c r="AT1274" s="8"/>
      <c r="AU1274" s="8"/>
      <c r="AV1274" s="8"/>
      <c r="AW1274" s="11"/>
      <c r="AX1274" s="11"/>
      <c r="AY1274" s="11"/>
    </row>
    <row r="127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  <c r="AP1275" s="8"/>
      <c r="AQ1275" s="11"/>
      <c r="AR1275" s="11"/>
      <c r="AS1275" s="8"/>
      <c r="AT1275" s="8"/>
      <c r="AU1275" s="8"/>
      <c r="AV1275" s="8"/>
      <c r="AW1275" s="11"/>
      <c r="AX1275" s="11"/>
      <c r="AY1275" s="11"/>
    </row>
    <row r="1276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  <c r="AP1276" s="8"/>
      <c r="AQ1276" s="11"/>
      <c r="AR1276" s="11"/>
      <c r="AS1276" s="8"/>
      <c r="AT1276" s="8"/>
      <c r="AU1276" s="8"/>
      <c r="AV1276" s="8"/>
      <c r="AW1276" s="11"/>
      <c r="AX1276" s="11"/>
      <c r="AY1276" s="11"/>
    </row>
    <row r="1277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  <c r="AP1277" s="8"/>
      <c r="AQ1277" s="11"/>
      <c r="AR1277" s="11"/>
      <c r="AS1277" s="8"/>
      <c r="AT1277" s="8"/>
      <c r="AU1277" s="8"/>
      <c r="AV1277" s="8"/>
      <c r="AW1277" s="11"/>
      <c r="AX1277" s="11"/>
      <c r="AY1277" s="11"/>
    </row>
    <row r="1278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  <c r="AP1278" s="8"/>
      <c r="AQ1278" s="11"/>
      <c r="AR1278" s="11"/>
      <c r="AS1278" s="8"/>
      <c r="AT1278" s="8"/>
      <c r="AU1278" s="8"/>
      <c r="AV1278" s="8"/>
      <c r="AW1278" s="11"/>
      <c r="AX1278" s="11"/>
      <c r="AY1278" s="11"/>
    </row>
    <row r="1279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  <c r="AP1279" s="8"/>
      <c r="AQ1279" s="11"/>
      <c r="AR1279" s="11"/>
      <c r="AS1279" s="8"/>
      <c r="AT1279" s="8"/>
      <c r="AU1279" s="8"/>
      <c r="AV1279" s="8"/>
      <c r="AW1279" s="11"/>
      <c r="AX1279" s="11"/>
      <c r="AY1279" s="11"/>
    </row>
    <row r="1280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  <c r="AP1280" s="8"/>
      <c r="AQ1280" s="11"/>
      <c r="AR1280" s="11"/>
      <c r="AS1280" s="8"/>
      <c r="AT1280" s="8"/>
      <c r="AU1280" s="8"/>
      <c r="AV1280" s="8"/>
      <c r="AW1280" s="11"/>
      <c r="AX1280" s="11"/>
      <c r="AY1280" s="11"/>
    </row>
    <row r="128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  <c r="AP1281" s="8"/>
      <c r="AQ1281" s="11"/>
      <c r="AR1281" s="11"/>
      <c r="AS1281" s="8"/>
      <c r="AT1281" s="8"/>
      <c r="AU1281" s="8"/>
      <c r="AV1281" s="8"/>
      <c r="AW1281" s="11"/>
      <c r="AX1281" s="11"/>
      <c r="AY1281" s="11"/>
    </row>
    <row r="1282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  <c r="AP1282" s="8"/>
      <c r="AQ1282" s="11"/>
      <c r="AR1282" s="11"/>
      <c r="AS1282" s="8"/>
      <c r="AT1282" s="8"/>
      <c r="AU1282" s="8"/>
      <c r="AV1282" s="8"/>
      <c r="AW1282" s="11"/>
      <c r="AX1282" s="11"/>
      <c r="AY1282" s="11"/>
    </row>
    <row r="128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11"/>
      <c r="AR1283" s="11"/>
      <c r="AS1283" s="8"/>
      <c r="AT1283" s="8"/>
      <c r="AU1283" s="8"/>
      <c r="AV1283" s="8"/>
      <c r="AW1283" s="11"/>
      <c r="AX1283" s="11"/>
      <c r="AY1283" s="11"/>
    </row>
    <row r="1284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  <c r="AP1284" s="8"/>
      <c r="AQ1284" s="11"/>
      <c r="AR1284" s="11"/>
      <c r="AS1284" s="8"/>
      <c r="AT1284" s="8"/>
      <c r="AU1284" s="8"/>
      <c r="AV1284" s="8"/>
      <c r="AW1284" s="11"/>
      <c r="AX1284" s="11"/>
      <c r="AY1284" s="11"/>
    </row>
    <row r="128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  <c r="AP1285" s="8"/>
      <c r="AQ1285" s="11"/>
      <c r="AR1285" s="11"/>
      <c r="AS1285" s="8"/>
      <c r="AT1285" s="8"/>
      <c r="AU1285" s="8"/>
      <c r="AV1285" s="8"/>
      <c r="AW1285" s="11"/>
      <c r="AX1285" s="11"/>
      <c r="AY1285" s="11"/>
    </row>
    <row r="1286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  <c r="AP1286" s="8"/>
      <c r="AQ1286" s="11"/>
      <c r="AR1286" s="11"/>
      <c r="AS1286" s="8"/>
      <c r="AT1286" s="8"/>
      <c r="AU1286" s="8"/>
      <c r="AV1286" s="8"/>
      <c r="AW1286" s="11"/>
      <c r="AX1286" s="11"/>
      <c r="AY1286" s="11"/>
    </row>
    <row r="1287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  <c r="AP1287" s="8"/>
      <c r="AQ1287" s="11"/>
      <c r="AR1287" s="11"/>
      <c r="AS1287" s="8"/>
      <c r="AT1287" s="8"/>
      <c r="AU1287" s="8"/>
      <c r="AV1287" s="8"/>
      <c r="AW1287" s="11"/>
      <c r="AX1287" s="11"/>
      <c r="AY1287" s="11"/>
    </row>
    <row r="1288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  <c r="AP1288" s="8"/>
      <c r="AQ1288" s="11"/>
      <c r="AR1288" s="11"/>
      <c r="AS1288" s="8"/>
      <c r="AT1288" s="8"/>
      <c r="AU1288" s="8"/>
      <c r="AV1288" s="8"/>
      <c r="AW1288" s="11"/>
      <c r="AX1288" s="11"/>
      <c r="AY1288" s="11"/>
    </row>
    <row r="1289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  <c r="AP1289" s="8"/>
      <c r="AQ1289" s="11"/>
      <c r="AR1289" s="11"/>
      <c r="AS1289" s="8"/>
      <c r="AT1289" s="8"/>
      <c r="AU1289" s="8"/>
      <c r="AV1289" s="8"/>
      <c r="AW1289" s="11"/>
      <c r="AX1289" s="11"/>
      <c r="AY1289" s="11"/>
    </row>
    <row r="1290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  <c r="AP1290" s="8"/>
      <c r="AQ1290" s="11"/>
      <c r="AR1290" s="11"/>
      <c r="AS1290" s="8"/>
      <c r="AT1290" s="8"/>
      <c r="AU1290" s="8"/>
      <c r="AV1290" s="8"/>
      <c r="AW1290" s="11"/>
      <c r="AX1290" s="11"/>
      <c r="AY1290" s="11"/>
    </row>
    <row r="129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  <c r="AP1291" s="8"/>
      <c r="AQ1291" s="11"/>
      <c r="AR1291" s="11"/>
      <c r="AS1291" s="8"/>
      <c r="AT1291" s="8"/>
      <c r="AU1291" s="8"/>
      <c r="AV1291" s="8"/>
      <c r="AW1291" s="11"/>
      <c r="AX1291" s="11"/>
      <c r="AY1291" s="11"/>
    </row>
    <row r="1292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  <c r="AP1292" s="8"/>
      <c r="AQ1292" s="11"/>
      <c r="AR1292" s="11"/>
      <c r="AS1292" s="8"/>
      <c r="AT1292" s="8"/>
      <c r="AU1292" s="8"/>
      <c r="AV1292" s="8"/>
      <c r="AW1292" s="11"/>
      <c r="AX1292" s="11"/>
      <c r="AY1292" s="11"/>
    </row>
    <row r="129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  <c r="AP1293" s="8"/>
      <c r="AQ1293" s="11"/>
      <c r="AR1293" s="11"/>
      <c r="AS1293" s="8"/>
      <c r="AT1293" s="8"/>
      <c r="AU1293" s="8"/>
      <c r="AV1293" s="8"/>
      <c r="AW1293" s="11"/>
      <c r="AX1293" s="11"/>
      <c r="AY1293" s="11"/>
    </row>
    <row r="1294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  <c r="AP1294" s="8"/>
      <c r="AQ1294" s="11"/>
      <c r="AR1294" s="11"/>
      <c r="AS1294" s="8"/>
      <c r="AT1294" s="8"/>
      <c r="AU1294" s="8"/>
      <c r="AV1294" s="8"/>
      <c r="AW1294" s="11"/>
      <c r="AX1294" s="11"/>
      <c r="AY1294" s="11"/>
    </row>
    <row r="129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  <c r="AP1295" s="8"/>
      <c r="AQ1295" s="11"/>
      <c r="AR1295" s="11"/>
      <c r="AS1295" s="8"/>
      <c r="AT1295" s="8"/>
      <c r="AU1295" s="8"/>
      <c r="AV1295" s="8"/>
      <c r="AW1295" s="11"/>
      <c r="AX1295" s="11"/>
      <c r="AY1295" s="11"/>
    </row>
    <row r="1296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  <c r="AP1296" s="8"/>
      <c r="AQ1296" s="11"/>
      <c r="AR1296" s="11"/>
      <c r="AS1296" s="8"/>
      <c r="AT1296" s="8"/>
      <c r="AU1296" s="8"/>
      <c r="AV1296" s="8"/>
      <c r="AW1296" s="11"/>
      <c r="AX1296" s="11"/>
      <c r="AY1296" s="11"/>
    </row>
    <row r="1297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  <c r="AP1297" s="8"/>
      <c r="AQ1297" s="11"/>
      <c r="AR1297" s="11"/>
      <c r="AS1297" s="8"/>
      <c r="AT1297" s="8"/>
      <c r="AU1297" s="8"/>
      <c r="AV1297" s="8"/>
      <c r="AW1297" s="11"/>
      <c r="AX1297" s="11"/>
      <c r="AY1297" s="11"/>
    </row>
    <row r="1298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  <c r="AP1298" s="8"/>
      <c r="AQ1298" s="11"/>
      <c r="AR1298" s="11"/>
      <c r="AS1298" s="8"/>
      <c r="AT1298" s="8"/>
      <c r="AU1298" s="8"/>
      <c r="AV1298" s="8"/>
      <c r="AW1298" s="11"/>
      <c r="AX1298" s="11"/>
      <c r="AY1298" s="11"/>
    </row>
    <row r="1299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  <c r="AP1299" s="8"/>
      <c r="AQ1299" s="11"/>
      <c r="AR1299" s="11"/>
      <c r="AS1299" s="8"/>
      <c r="AT1299" s="8"/>
      <c r="AU1299" s="8"/>
      <c r="AV1299" s="8"/>
      <c r="AW1299" s="11"/>
      <c r="AX1299" s="11"/>
      <c r="AY1299" s="11"/>
    </row>
    <row r="1300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  <c r="AP1300" s="8"/>
      <c r="AQ1300" s="11"/>
      <c r="AR1300" s="11"/>
      <c r="AS1300" s="8"/>
      <c r="AT1300" s="8"/>
      <c r="AU1300" s="8"/>
      <c r="AV1300" s="8"/>
      <c r="AW1300" s="11"/>
      <c r="AX1300" s="11"/>
      <c r="AY1300" s="11"/>
    </row>
    <row r="130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  <c r="AP1301" s="8"/>
      <c r="AQ1301" s="11"/>
      <c r="AR1301" s="11"/>
      <c r="AS1301" s="8"/>
      <c r="AT1301" s="8"/>
      <c r="AU1301" s="8"/>
      <c r="AV1301" s="8"/>
      <c r="AW1301" s="11"/>
      <c r="AX1301" s="11"/>
      <c r="AY1301" s="11"/>
    </row>
    <row r="1302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  <c r="AP1302" s="8"/>
      <c r="AQ1302" s="11"/>
      <c r="AR1302" s="11"/>
      <c r="AS1302" s="8"/>
      <c r="AT1302" s="8"/>
      <c r="AU1302" s="8"/>
      <c r="AV1302" s="8"/>
      <c r="AW1302" s="11"/>
      <c r="AX1302" s="11"/>
      <c r="AY1302" s="11"/>
    </row>
    <row r="130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  <c r="AP1303" s="8"/>
      <c r="AQ1303" s="11"/>
      <c r="AR1303" s="11"/>
      <c r="AS1303" s="8"/>
      <c r="AT1303" s="8"/>
      <c r="AU1303" s="8"/>
      <c r="AV1303" s="8"/>
      <c r="AW1303" s="11"/>
      <c r="AX1303" s="11"/>
      <c r="AY1303" s="11"/>
    </row>
    <row r="1304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  <c r="AP1304" s="8"/>
      <c r="AQ1304" s="11"/>
      <c r="AR1304" s="11"/>
      <c r="AS1304" s="8"/>
      <c r="AT1304" s="8"/>
      <c r="AU1304" s="8"/>
      <c r="AV1304" s="8"/>
      <c r="AW1304" s="11"/>
      <c r="AX1304" s="11"/>
      <c r="AY1304" s="11"/>
    </row>
    <row r="130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  <c r="AP1305" s="8"/>
      <c r="AQ1305" s="11"/>
      <c r="AR1305" s="11"/>
      <c r="AS1305" s="8"/>
      <c r="AT1305" s="8"/>
      <c r="AU1305" s="8"/>
      <c r="AV1305" s="8"/>
      <c r="AW1305" s="11"/>
      <c r="AX1305" s="11"/>
      <c r="AY1305" s="11"/>
    </row>
    <row r="1306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  <c r="AP1306" s="8"/>
      <c r="AQ1306" s="11"/>
      <c r="AR1306" s="11"/>
      <c r="AS1306" s="8"/>
      <c r="AT1306" s="8"/>
      <c r="AU1306" s="8"/>
      <c r="AV1306" s="8"/>
      <c r="AW1306" s="11"/>
      <c r="AX1306" s="11"/>
      <c r="AY1306" s="11"/>
    </row>
    <row r="1307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  <c r="AP1307" s="8"/>
      <c r="AQ1307" s="11"/>
      <c r="AR1307" s="11"/>
      <c r="AS1307" s="8"/>
      <c r="AT1307" s="8"/>
      <c r="AU1307" s="8"/>
      <c r="AV1307" s="8"/>
      <c r="AW1307" s="11"/>
      <c r="AX1307" s="11"/>
      <c r="AY1307" s="11"/>
    </row>
    <row r="1308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  <c r="AP1308" s="8"/>
      <c r="AQ1308" s="11"/>
      <c r="AR1308" s="11"/>
      <c r="AS1308" s="8"/>
      <c r="AT1308" s="8"/>
      <c r="AU1308" s="8"/>
      <c r="AV1308" s="8"/>
      <c r="AW1308" s="11"/>
      <c r="AX1308" s="11"/>
      <c r="AY1308" s="11"/>
    </row>
    <row r="1309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  <c r="AP1309" s="8"/>
      <c r="AQ1309" s="11"/>
      <c r="AR1309" s="11"/>
      <c r="AS1309" s="8"/>
      <c r="AT1309" s="8"/>
      <c r="AU1309" s="8"/>
      <c r="AV1309" s="8"/>
      <c r="AW1309" s="11"/>
      <c r="AX1309" s="11"/>
      <c r="AY1309" s="11"/>
    </row>
    <row r="1310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  <c r="AP1310" s="8"/>
      <c r="AQ1310" s="11"/>
      <c r="AR1310" s="11"/>
      <c r="AS1310" s="8"/>
      <c r="AT1310" s="8"/>
      <c r="AU1310" s="8"/>
      <c r="AV1310" s="8"/>
      <c r="AW1310" s="11"/>
      <c r="AX1310" s="11"/>
      <c r="AY1310" s="11"/>
    </row>
    <row r="13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  <c r="AP1311" s="8"/>
      <c r="AQ1311" s="11"/>
      <c r="AR1311" s="11"/>
      <c r="AS1311" s="8"/>
      <c r="AT1311" s="8"/>
      <c r="AU1311" s="8"/>
      <c r="AV1311" s="8"/>
      <c r="AW1311" s="11"/>
      <c r="AX1311" s="11"/>
      <c r="AY1311" s="11"/>
    </row>
    <row r="1312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  <c r="AP1312" s="8"/>
      <c r="AQ1312" s="11"/>
      <c r="AR1312" s="11"/>
      <c r="AS1312" s="8"/>
      <c r="AT1312" s="8"/>
      <c r="AU1312" s="8"/>
      <c r="AV1312" s="8"/>
      <c r="AW1312" s="11"/>
      <c r="AX1312" s="11"/>
      <c r="AY1312" s="11"/>
    </row>
    <row r="131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  <c r="AP1313" s="8"/>
      <c r="AQ1313" s="11"/>
      <c r="AR1313" s="11"/>
      <c r="AS1313" s="8"/>
      <c r="AT1313" s="8"/>
      <c r="AU1313" s="8"/>
      <c r="AV1313" s="8"/>
      <c r="AW1313" s="11"/>
      <c r="AX1313" s="11"/>
      <c r="AY1313" s="11"/>
    </row>
    <row r="1314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  <c r="AP1314" s="8"/>
      <c r="AQ1314" s="11"/>
      <c r="AR1314" s="11"/>
      <c r="AS1314" s="8"/>
      <c r="AT1314" s="8"/>
      <c r="AU1314" s="8"/>
      <c r="AV1314" s="8"/>
      <c r="AW1314" s="11"/>
      <c r="AX1314" s="11"/>
      <c r="AY1314" s="11"/>
    </row>
    <row r="131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  <c r="AP1315" s="8"/>
      <c r="AQ1315" s="11"/>
      <c r="AR1315" s="11"/>
      <c r="AS1315" s="8"/>
      <c r="AT1315" s="8"/>
      <c r="AU1315" s="8"/>
      <c r="AV1315" s="8"/>
      <c r="AW1315" s="11"/>
      <c r="AX1315" s="11"/>
      <c r="AY1315" s="11"/>
    </row>
    <row r="1316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  <c r="AP1316" s="8"/>
      <c r="AQ1316" s="11"/>
      <c r="AR1316" s="11"/>
      <c r="AS1316" s="8"/>
      <c r="AT1316" s="8"/>
      <c r="AU1316" s="8"/>
      <c r="AV1316" s="8"/>
      <c r="AW1316" s="11"/>
      <c r="AX1316" s="11"/>
      <c r="AY1316" s="11"/>
    </row>
    <row r="1317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  <c r="AP1317" s="8"/>
      <c r="AQ1317" s="11"/>
      <c r="AR1317" s="11"/>
      <c r="AS1317" s="8"/>
      <c r="AT1317" s="8"/>
      <c r="AU1317" s="8"/>
      <c r="AV1317" s="8"/>
      <c r="AW1317" s="11"/>
      <c r="AX1317" s="11"/>
      <c r="AY1317" s="11"/>
    </row>
    <row r="1318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  <c r="AP1318" s="8"/>
      <c r="AQ1318" s="11"/>
      <c r="AR1318" s="11"/>
      <c r="AS1318" s="8"/>
      <c r="AT1318" s="8"/>
      <c r="AU1318" s="8"/>
      <c r="AV1318" s="8"/>
      <c r="AW1318" s="11"/>
      <c r="AX1318" s="11"/>
      <c r="AY1318" s="11"/>
    </row>
    <row r="1319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  <c r="AP1319" s="8"/>
      <c r="AQ1319" s="11"/>
      <c r="AR1319" s="11"/>
      <c r="AS1319" s="8"/>
      <c r="AT1319" s="8"/>
      <c r="AU1319" s="8"/>
      <c r="AV1319" s="8"/>
      <c r="AW1319" s="11"/>
      <c r="AX1319" s="11"/>
      <c r="AY1319" s="11"/>
    </row>
    <row r="1320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  <c r="AP1320" s="8"/>
      <c r="AQ1320" s="11"/>
      <c r="AR1320" s="11"/>
      <c r="AS1320" s="8"/>
      <c r="AT1320" s="8"/>
      <c r="AU1320" s="8"/>
      <c r="AV1320" s="8"/>
      <c r="AW1320" s="11"/>
      <c r="AX1320" s="11"/>
      <c r="AY1320" s="11"/>
    </row>
    <row r="132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  <c r="AP1321" s="8"/>
      <c r="AQ1321" s="11"/>
      <c r="AR1321" s="11"/>
      <c r="AS1321" s="8"/>
      <c r="AT1321" s="8"/>
      <c r="AU1321" s="8"/>
      <c r="AV1321" s="8"/>
      <c r="AW1321" s="11"/>
      <c r="AX1321" s="11"/>
      <c r="AY1321" s="11"/>
    </row>
    <row r="1322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  <c r="AP1322" s="8"/>
      <c r="AQ1322" s="11"/>
      <c r="AR1322" s="11"/>
      <c r="AS1322" s="8"/>
      <c r="AT1322" s="8"/>
      <c r="AU1322" s="8"/>
      <c r="AV1322" s="8"/>
      <c r="AW1322" s="11"/>
      <c r="AX1322" s="11"/>
      <c r="AY1322" s="11"/>
    </row>
    <row r="132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  <c r="AP1323" s="8"/>
      <c r="AQ1323" s="11"/>
      <c r="AR1323" s="11"/>
      <c r="AS1323" s="8"/>
      <c r="AT1323" s="8"/>
      <c r="AU1323" s="8"/>
      <c r="AV1323" s="8"/>
      <c r="AW1323" s="11"/>
      <c r="AX1323" s="11"/>
      <c r="AY1323" s="11"/>
    </row>
    <row r="1324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  <c r="AP1324" s="8"/>
      <c r="AQ1324" s="11"/>
      <c r="AR1324" s="11"/>
      <c r="AS1324" s="8"/>
      <c r="AT1324" s="8"/>
      <c r="AU1324" s="8"/>
      <c r="AV1324" s="8"/>
      <c r="AW1324" s="11"/>
      <c r="AX1324" s="11"/>
      <c r="AY1324" s="11"/>
    </row>
    <row r="13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  <c r="AP1325" s="8"/>
      <c r="AQ1325" s="11"/>
      <c r="AR1325" s="11"/>
      <c r="AS1325" s="8"/>
      <c r="AT1325" s="8"/>
      <c r="AU1325" s="8"/>
      <c r="AV1325" s="8"/>
      <c r="AW1325" s="11"/>
      <c r="AX1325" s="11"/>
      <c r="AY1325" s="11"/>
    </row>
    <row r="1326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  <c r="AP1326" s="8"/>
      <c r="AQ1326" s="11"/>
      <c r="AR1326" s="11"/>
      <c r="AS1326" s="8"/>
      <c r="AT1326" s="8"/>
      <c r="AU1326" s="8"/>
      <c r="AV1326" s="8"/>
      <c r="AW1326" s="11"/>
      <c r="AX1326" s="11"/>
      <c r="AY1326" s="11"/>
    </row>
    <row r="1327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  <c r="AP1327" s="8"/>
      <c r="AQ1327" s="11"/>
      <c r="AR1327" s="11"/>
      <c r="AS1327" s="8"/>
      <c r="AT1327" s="8"/>
      <c r="AU1327" s="8"/>
      <c r="AV1327" s="8"/>
      <c r="AW1327" s="11"/>
      <c r="AX1327" s="11"/>
      <c r="AY1327" s="11"/>
    </row>
    <row r="1328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  <c r="AP1328" s="8"/>
      <c r="AQ1328" s="11"/>
      <c r="AR1328" s="11"/>
      <c r="AS1328" s="8"/>
      <c r="AT1328" s="8"/>
      <c r="AU1328" s="8"/>
      <c r="AV1328" s="8"/>
      <c r="AW1328" s="11"/>
      <c r="AX1328" s="11"/>
      <c r="AY1328" s="11"/>
    </row>
    <row r="1329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  <c r="AP1329" s="8"/>
      <c r="AQ1329" s="11"/>
      <c r="AR1329" s="11"/>
      <c r="AS1329" s="8"/>
      <c r="AT1329" s="8"/>
      <c r="AU1329" s="8"/>
      <c r="AV1329" s="8"/>
      <c r="AW1329" s="11"/>
      <c r="AX1329" s="11"/>
      <c r="AY1329" s="11"/>
    </row>
    <row r="1330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  <c r="AP1330" s="8"/>
      <c r="AQ1330" s="11"/>
      <c r="AR1330" s="11"/>
      <c r="AS1330" s="8"/>
      <c r="AT1330" s="8"/>
      <c r="AU1330" s="8"/>
      <c r="AV1330" s="8"/>
      <c r="AW1330" s="11"/>
      <c r="AX1330" s="11"/>
      <c r="AY1330" s="11"/>
    </row>
    <row r="133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  <c r="AP1331" s="8"/>
      <c r="AQ1331" s="11"/>
      <c r="AR1331" s="11"/>
      <c r="AS1331" s="8"/>
      <c r="AT1331" s="8"/>
      <c r="AU1331" s="8"/>
      <c r="AV1331" s="8"/>
      <c r="AW1331" s="11"/>
      <c r="AX1331" s="11"/>
      <c r="AY1331" s="11"/>
    </row>
    <row r="1332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  <c r="AP1332" s="8"/>
      <c r="AQ1332" s="11"/>
      <c r="AR1332" s="11"/>
      <c r="AS1332" s="8"/>
      <c r="AT1332" s="8"/>
      <c r="AU1332" s="8"/>
      <c r="AV1332" s="8"/>
      <c r="AW1332" s="11"/>
      <c r="AX1332" s="11"/>
      <c r="AY1332" s="11"/>
    </row>
    <row r="133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  <c r="AP1333" s="8"/>
      <c r="AQ1333" s="11"/>
      <c r="AR1333" s="11"/>
      <c r="AS1333" s="8"/>
      <c r="AT1333" s="8"/>
      <c r="AU1333" s="8"/>
      <c r="AV1333" s="8"/>
      <c r="AW1333" s="11"/>
      <c r="AX1333" s="11"/>
      <c r="AY1333" s="11"/>
    </row>
    <row r="1334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  <c r="AP1334" s="8"/>
      <c r="AQ1334" s="11"/>
      <c r="AR1334" s="11"/>
      <c r="AS1334" s="8"/>
      <c r="AT1334" s="8"/>
      <c r="AU1334" s="8"/>
      <c r="AV1334" s="8"/>
      <c r="AW1334" s="11"/>
      <c r="AX1334" s="11"/>
      <c r="AY1334" s="11"/>
    </row>
    <row r="133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  <c r="AP1335" s="8"/>
      <c r="AQ1335" s="11"/>
      <c r="AR1335" s="11"/>
      <c r="AS1335" s="8"/>
      <c r="AT1335" s="8"/>
      <c r="AU1335" s="8"/>
      <c r="AV1335" s="8"/>
      <c r="AW1335" s="11"/>
      <c r="AX1335" s="11"/>
      <c r="AY1335" s="11"/>
    </row>
    <row r="1336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  <c r="AP1336" s="8"/>
      <c r="AQ1336" s="11"/>
      <c r="AR1336" s="11"/>
      <c r="AS1336" s="8"/>
      <c r="AT1336" s="8"/>
      <c r="AU1336" s="8"/>
      <c r="AV1336" s="8"/>
      <c r="AW1336" s="11"/>
      <c r="AX1336" s="11"/>
      <c r="AY1336" s="11"/>
    </row>
    <row r="1337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  <c r="AP1337" s="8"/>
      <c r="AQ1337" s="11"/>
      <c r="AR1337" s="11"/>
      <c r="AS1337" s="8"/>
      <c r="AT1337" s="8"/>
      <c r="AU1337" s="8"/>
      <c r="AV1337" s="8"/>
      <c r="AW1337" s="11"/>
      <c r="AX1337" s="11"/>
      <c r="AY1337" s="11"/>
    </row>
    <row r="1338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  <c r="AP1338" s="8"/>
      <c r="AQ1338" s="11"/>
      <c r="AR1338" s="11"/>
      <c r="AS1338" s="8"/>
      <c r="AT1338" s="8"/>
      <c r="AU1338" s="8"/>
      <c r="AV1338" s="8"/>
      <c r="AW1338" s="11"/>
      <c r="AX1338" s="11"/>
      <c r="AY1338" s="11"/>
    </row>
    <row r="1339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  <c r="AP1339" s="8"/>
      <c r="AQ1339" s="11"/>
      <c r="AR1339" s="11"/>
      <c r="AS1339" s="8"/>
      <c r="AT1339" s="8"/>
      <c r="AU1339" s="8"/>
      <c r="AV1339" s="8"/>
      <c r="AW1339" s="11"/>
      <c r="AX1339" s="11"/>
      <c r="AY1339" s="11"/>
    </row>
    <row r="1340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  <c r="AP1340" s="8"/>
      <c r="AQ1340" s="11"/>
      <c r="AR1340" s="11"/>
      <c r="AS1340" s="8"/>
      <c r="AT1340" s="8"/>
      <c r="AU1340" s="8"/>
      <c r="AV1340" s="8"/>
      <c r="AW1340" s="11"/>
      <c r="AX1340" s="11"/>
      <c r="AY1340" s="11"/>
    </row>
    <row r="134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  <c r="AP1341" s="8"/>
      <c r="AQ1341" s="11"/>
      <c r="AR1341" s="11"/>
      <c r="AS1341" s="8"/>
      <c r="AT1341" s="8"/>
      <c r="AU1341" s="8"/>
      <c r="AV1341" s="8"/>
      <c r="AW1341" s="11"/>
      <c r="AX1341" s="11"/>
      <c r="AY1341" s="11"/>
    </row>
    <row r="1342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  <c r="AP1342" s="8"/>
      <c r="AQ1342" s="11"/>
      <c r="AR1342" s="11"/>
      <c r="AS1342" s="8"/>
      <c r="AT1342" s="8"/>
      <c r="AU1342" s="8"/>
      <c r="AV1342" s="8"/>
      <c r="AW1342" s="11"/>
      <c r="AX1342" s="11"/>
      <c r="AY1342" s="11"/>
    </row>
    <row r="134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  <c r="AP1343" s="8"/>
      <c r="AQ1343" s="11"/>
      <c r="AR1343" s="11"/>
      <c r="AS1343" s="8"/>
      <c r="AT1343" s="8"/>
      <c r="AU1343" s="8"/>
      <c r="AV1343" s="8"/>
      <c r="AW1343" s="11"/>
      <c r="AX1343" s="11"/>
      <c r="AY1343" s="11"/>
    </row>
    <row r="1344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  <c r="AP1344" s="8"/>
      <c r="AQ1344" s="11"/>
      <c r="AR1344" s="11"/>
      <c r="AS1344" s="8"/>
      <c r="AT1344" s="8"/>
      <c r="AU1344" s="8"/>
      <c r="AV1344" s="8"/>
      <c r="AW1344" s="11"/>
      <c r="AX1344" s="11"/>
      <c r="AY1344" s="11"/>
    </row>
    <row r="134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  <c r="AP1345" s="8"/>
      <c r="AQ1345" s="11"/>
      <c r="AR1345" s="11"/>
      <c r="AS1345" s="8"/>
      <c r="AT1345" s="8"/>
      <c r="AU1345" s="8"/>
      <c r="AV1345" s="8"/>
      <c r="AW1345" s="11"/>
      <c r="AX1345" s="11"/>
      <c r="AY1345" s="11"/>
    </row>
    <row r="1346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  <c r="AP1346" s="8"/>
      <c r="AQ1346" s="11"/>
      <c r="AR1346" s="11"/>
      <c r="AS1346" s="8"/>
      <c r="AT1346" s="8"/>
      <c r="AU1346" s="8"/>
      <c r="AV1346" s="8"/>
      <c r="AW1346" s="11"/>
      <c r="AX1346" s="11"/>
      <c r="AY1346" s="11"/>
    </row>
    <row r="1347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  <c r="AP1347" s="8"/>
      <c r="AQ1347" s="11"/>
      <c r="AR1347" s="11"/>
      <c r="AS1347" s="8"/>
      <c r="AT1347" s="8"/>
      <c r="AU1347" s="8"/>
      <c r="AV1347" s="8"/>
      <c r="AW1347" s="11"/>
      <c r="AX1347" s="11"/>
      <c r="AY1347" s="11"/>
    </row>
    <row r="1348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  <c r="AP1348" s="8"/>
      <c r="AQ1348" s="11"/>
      <c r="AR1348" s="11"/>
      <c r="AS1348" s="8"/>
      <c r="AT1348" s="8"/>
      <c r="AU1348" s="8"/>
      <c r="AV1348" s="8"/>
      <c r="AW1348" s="11"/>
      <c r="AX1348" s="11"/>
      <c r="AY1348" s="11"/>
    </row>
    <row r="1349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  <c r="AP1349" s="8"/>
      <c r="AQ1349" s="11"/>
      <c r="AR1349" s="11"/>
      <c r="AS1349" s="8"/>
      <c r="AT1349" s="8"/>
      <c r="AU1349" s="8"/>
      <c r="AV1349" s="8"/>
      <c r="AW1349" s="11"/>
      <c r="AX1349" s="11"/>
      <c r="AY1349" s="11"/>
    </row>
    <row r="1350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  <c r="AP1350" s="8"/>
      <c r="AQ1350" s="11"/>
      <c r="AR1350" s="11"/>
      <c r="AS1350" s="8"/>
      <c r="AT1350" s="8"/>
      <c r="AU1350" s="8"/>
      <c r="AV1350" s="8"/>
      <c r="AW1350" s="11"/>
      <c r="AX1350" s="11"/>
      <c r="AY1350" s="11"/>
    </row>
    <row r="135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  <c r="AP1351" s="8"/>
      <c r="AQ1351" s="11"/>
      <c r="AR1351" s="11"/>
      <c r="AS1351" s="8"/>
      <c r="AT1351" s="8"/>
      <c r="AU1351" s="8"/>
      <c r="AV1351" s="8"/>
      <c r="AW1351" s="11"/>
      <c r="AX1351" s="11"/>
      <c r="AY1351" s="11"/>
    </row>
    <row r="1352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  <c r="AP1352" s="8"/>
      <c r="AQ1352" s="11"/>
      <c r="AR1352" s="11"/>
      <c r="AS1352" s="8"/>
      <c r="AT1352" s="8"/>
      <c r="AU1352" s="8"/>
      <c r="AV1352" s="8"/>
      <c r="AW1352" s="11"/>
      <c r="AX1352" s="11"/>
      <c r="AY1352" s="11"/>
    </row>
    <row r="135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  <c r="AP1353" s="8"/>
      <c r="AQ1353" s="11"/>
      <c r="AR1353" s="11"/>
      <c r="AS1353" s="8"/>
      <c r="AT1353" s="8"/>
      <c r="AU1353" s="8"/>
      <c r="AV1353" s="8"/>
      <c r="AW1353" s="11"/>
      <c r="AX1353" s="11"/>
      <c r="AY1353" s="11"/>
    </row>
    <row r="1354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  <c r="AP1354" s="8"/>
      <c r="AQ1354" s="11"/>
      <c r="AR1354" s="11"/>
      <c r="AS1354" s="8"/>
      <c r="AT1354" s="8"/>
      <c r="AU1354" s="8"/>
      <c r="AV1354" s="8"/>
      <c r="AW1354" s="11"/>
      <c r="AX1354" s="11"/>
      <c r="AY1354" s="11"/>
    </row>
    <row r="135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  <c r="AP1355" s="8"/>
      <c r="AQ1355" s="11"/>
      <c r="AR1355" s="11"/>
      <c r="AS1355" s="8"/>
      <c r="AT1355" s="8"/>
      <c r="AU1355" s="8"/>
      <c r="AV1355" s="8"/>
      <c r="AW1355" s="11"/>
      <c r="AX1355" s="11"/>
      <c r="AY1355" s="11"/>
    </row>
    <row r="1356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  <c r="AP1356" s="8"/>
      <c r="AQ1356" s="11"/>
      <c r="AR1356" s="11"/>
      <c r="AS1356" s="8"/>
      <c r="AT1356" s="8"/>
      <c r="AU1356" s="8"/>
      <c r="AV1356" s="8"/>
      <c r="AW1356" s="11"/>
      <c r="AX1356" s="11"/>
      <c r="AY1356" s="11"/>
    </row>
    <row r="1357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  <c r="AP1357" s="8"/>
      <c r="AQ1357" s="11"/>
      <c r="AR1357" s="11"/>
      <c r="AS1357" s="8"/>
      <c r="AT1357" s="8"/>
      <c r="AU1357" s="8"/>
      <c r="AV1357" s="8"/>
      <c r="AW1357" s="11"/>
      <c r="AX1357" s="11"/>
      <c r="AY1357" s="11"/>
    </row>
    <row r="1358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  <c r="AP1358" s="8"/>
      <c r="AQ1358" s="11"/>
      <c r="AR1358" s="11"/>
      <c r="AS1358" s="8"/>
      <c r="AT1358" s="8"/>
      <c r="AU1358" s="8"/>
      <c r="AV1358" s="8"/>
      <c r="AW1358" s="11"/>
      <c r="AX1358" s="11"/>
      <c r="AY1358" s="11"/>
    </row>
    <row r="1359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  <c r="AP1359" s="8"/>
      <c r="AQ1359" s="11"/>
      <c r="AR1359" s="11"/>
      <c r="AS1359" s="8"/>
      <c r="AT1359" s="8"/>
      <c r="AU1359" s="8"/>
      <c r="AV1359" s="8"/>
      <c r="AW1359" s="11"/>
      <c r="AX1359" s="11"/>
      <c r="AY1359" s="11"/>
    </row>
    <row r="1360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  <c r="AP1360" s="8"/>
      <c r="AQ1360" s="11"/>
      <c r="AR1360" s="11"/>
      <c r="AS1360" s="8"/>
      <c r="AT1360" s="8"/>
      <c r="AU1360" s="8"/>
      <c r="AV1360" s="8"/>
      <c r="AW1360" s="11"/>
      <c r="AX1360" s="11"/>
      <c r="AY1360" s="11"/>
    </row>
    <row r="136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  <c r="AP1361" s="8"/>
      <c r="AQ1361" s="11"/>
      <c r="AR1361" s="11"/>
      <c r="AS1361" s="8"/>
      <c r="AT1361" s="8"/>
      <c r="AU1361" s="8"/>
      <c r="AV1361" s="8"/>
      <c r="AW1361" s="11"/>
      <c r="AX1361" s="11"/>
      <c r="AY1361" s="11"/>
    </row>
    <row r="1362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  <c r="AP1362" s="8"/>
      <c r="AQ1362" s="11"/>
      <c r="AR1362" s="11"/>
      <c r="AS1362" s="8"/>
      <c r="AT1362" s="8"/>
      <c r="AU1362" s="8"/>
      <c r="AV1362" s="8"/>
      <c r="AW1362" s="11"/>
      <c r="AX1362" s="11"/>
      <c r="AY1362" s="11"/>
    </row>
    <row r="136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  <c r="AP1363" s="8"/>
      <c r="AQ1363" s="11"/>
      <c r="AR1363" s="11"/>
      <c r="AS1363" s="8"/>
      <c r="AT1363" s="8"/>
      <c r="AU1363" s="8"/>
      <c r="AV1363" s="8"/>
      <c r="AW1363" s="11"/>
      <c r="AX1363" s="11"/>
      <c r="AY1363" s="11"/>
    </row>
    <row r="1364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  <c r="AP1364" s="8"/>
      <c r="AQ1364" s="11"/>
      <c r="AR1364" s="11"/>
      <c r="AS1364" s="8"/>
      <c r="AT1364" s="8"/>
      <c r="AU1364" s="8"/>
      <c r="AV1364" s="8"/>
      <c r="AW1364" s="11"/>
      <c r="AX1364" s="11"/>
      <c r="AY1364" s="11"/>
    </row>
    <row r="136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  <c r="AP1365" s="8"/>
      <c r="AQ1365" s="11"/>
      <c r="AR1365" s="11"/>
      <c r="AS1365" s="8"/>
      <c r="AT1365" s="8"/>
      <c r="AU1365" s="8"/>
      <c r="AV1365" s="8"/>
      <c r="AW1365" s="11"/>
      <c r="AX1365" s="11"/>
      <c r="AY1365" s="11"/>
    </row>
    <row r="1366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  <c r="AP1366" s="8"/>
      <c r="AQ1366" s="11"/>
      <c r="AR1366" s="11"/>
      <c r="AS1366" s="8"/>
      <c r="AT1366" s="8"/>
      <c r="AU1366" s="8"/>
      <c r="AV1366" s="8"/>
      <c r="AW1366" s="11"/>
      <c r="AX1366" s="11"/>
      <c r="AY1366" s="11"/>
    </row>
    <row r="1367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  <c r="AP1367" s="8"/>
      <c r="AQ1367" s="11"/>
      <c r="AR1367" s="11"/>
      <c r="AS1367" s="8"/>
      <c r="AT1367" s="8"/>
      <c r="AU1367" s="8"/>
      <c r="AV1367" s="8"/>
      <c r="AW1367" s="11"/>
      <c r="AX1367" s="11"/>
      <c r="AY1367" s="11"/>
    </row>
    <row r="1368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  <c r="AP1368" s="8"/>
      <c r="AQ1368" s="11"/>
      <c r="AR1368" s="11"/>
      <c r="AS1368" s="8"/>
      <c r="AT1368" s="8"/>
      <c r="AU1368" s="8"/>
      <c r="AV1368" s="8"/>
      <c r="AW1368" s="11"/>
      <c r="AX1368" s="11"/>
      <c r="AY1368" s="11"/>
    </row>
    <row r="1369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  <c r="AP1369" s="8"/>
      <c r="AQ1369" s="11"/>
      <c r="AR1369" s="11"/>
      <c r="AS1369" s="8"/>
      <c r="AT1369" s="8"/>
      <c r="AU1369" s="8"/>
      <c r="AV1369" s="8"/>
      <c r="AW1369" s="11"/>
      <c r="AX1369" s="11"/>
      <c r="AY1369" s="11"/>
    </row>
    <row r="1370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  <c r="AP1370" s="8"/>
      <c r="AQ1370" s="11"/>
      <c r="AR1370" s="11"/>
      <c r="AS1370" s="8"/>
      <c r="AT1370" s="8"/>
      <c r="AU1370" s="8"/>
      <c r="AV1370" s="8"/>
      <c r="AW1370" s="11"/>
      <c r="AX1370" s="11"/>
      <c r="AY1370" s="11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  <c r="AP1371" s="8"/>
      <c r="AQ1371" s="11"/>
      <c r="AR1371" s="11"/>
      <c r="AS1371" s="8"/>
      <c r="AT1371" s="8"/>
      <c r="AU1371" s="8"/>
      <c r="AV1371" s="8"/>
      <c r="AW1371" s="11"/>
      <c r="AX1371" s="11"/>
      <c r="AY1371" s="11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11"/>
      <c r="AR1372" s="11"/>
      <c r="AS1372" s="8"/>
      <c r="AT1372" s="8"/>
      <c r="AU1372" s="8"/>
      <c r="AV1372" s="8"/>
      <c r="AW1372" s="11"/>
      <c r="AX1372" s="11"/>
      <c r="AY1372" s="11"/>
    </row>
    <row r="137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/>
      <c r="AQ1373" s="11"/>
      <c r="AR1373" s="11"/>
      <c r="AS1373" s="8"/>
      <c r="AT1373" s="8"/>
      <c r="AU1373" s="8"/>
      <c r="AV1373" s="8"/>
      <c r="AW1373" s="11"/>
      <c r="AX1373" s="11"/>
      <c r="AY1373" s="11"/>
    </row>
    <row r="1374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  <c r="AP1374" s="8"/>
      <c r="AQ1374" s="11"/>
      <c r="AR1374" s="11"/>
      <c r="AS1374" s="8"/>
      <c r="AT1374" s="8"/>
      <c r="AU1374" s="8"/>
      <c r="AV1374" s="8"/>
      <c r="AW1374" s="11"/>
      <c r="AX1374" s="11"/>
      <c r="AY1374" s="11"/>
    </row>
    <row r="137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/>
      <c r="AQ1375" s="11"/>
      <c r="AR1375" s="11"/>
      <c r="AS1375" s="8"/>
      <c r="AT1375" s="8"/>
      <c r="AU1375" s="8"/>
      <c r="AV1375" s="8"/>
      <c r="AW1375" s="11"/>
      <c r="AX1375" s="11"/>
      <c r="AY1375" s="11"/>
    </row>
    <row r="1376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11"/>
      <c r="AR1376" s="11"/>
      <c r="AS1376" s="8"/>
      <c r="AT1376" s="8"/>
      <c r="AU1376" s="8"/>
      <c r="AV1376" s="8"/>
      <c r="AW1376" s="11"/>
      <c r="AX1376" s="11"/>
      <c r="AY1376" s="11"/>
    </row>
    <row r="1377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11"/>
      <c r="AR1377" s="11"/>
      <c r="AS1377" s="8"/>
      <c r="AT1377" s="8"/>
      <c r="AU1377" s="8"/>
      <c r="AV1377" s="8"/>
      <c r="AW1377" s="11"/>
      <c r="AX1377" s="11"/>
      <c r="AY1377" s="11"/>
    </row>
    <row r="1378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11"/>
      <c r="AR1378" s="11"/>
      <c r="AS1378" s="8"/>
      <c r="AT1378" s="8"/>
      <c r="AU1378" s="8"/>
      <c r="AV1378" s="8"/>
      <c r="AW1378" s="11"/>
      <c r="AX1378" s="11"/>
      <c r="AY1378" s="11"/>
    </row>
    <row r="1379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/>
      <c r="AQ1379" s="11"/>
      <c r="AR1379" s="11"/>
      <c r="AS1379" s="8"/>
      <c r="AT1379" s="8"/>
      <c r="AU1379" s="8"/>
      <c r="AV1379" s="8"/>
      <c r="AW1379" s="11"/>
      <c r="AX1379" s="11"/>
      <c r="AY1379" s="11"/>
    </row>
    <row r="1380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  <c r="AP1380" s="8"/>
      <c r="AQ1380" s="11"/>
      <c r="AR1380" s="11"/>
      <c r="AS1380" s="8"/>
      <c r="AT1380" s="8"/>
      <c r="AU1380" s="8"/>
      <c r="AV1380" s="8"/>
      <c r="AW1380" s="11"/>
      <c r="AX1380" s="11"/>
      <c r="AY1380" s="11"/>
    </row>
    <row r="138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/>
      <c r="AQ1381" s="11"/>
      <c r="AR1381" s="11"/>
      <c r="AS1381" s="8"/>
      <c r="AT1381" s="8"/>
      <c r="AU1381" s="8"/>
      <c r="AV1381" s="8"/>
      <c r="AW1381" s="11"/>
      <c r="AX1381" s="11"/>
      <c r="AY1381" s="11"/>
    </row>
    <row r="1382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  <c r="AP1382" s="8"/>
      <c r="AQ1382" s="11"/>
      <c r="AR1382" s="11"/>
      <c r="AS1382" s="8"/>
      <c r="AT1382" s="8"/>
      <c r="AU1382" s="8"/>
      <c r="AV1382" s="8"/>
      <c r="AW1382" s="11"/>
      <c r="AX1382" s="11"/>
      <c r="AY1382" s="11"/>
    </row>
    <row r="1383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  <c r="AP1383" s="8"/>
      <c r="AQ1383" s="11"/>
      <c r="AR1383" s="11"/>
      <c r="AS1383" s="8"/>
      <c r="AT1383" s="8"/>
      <c r="AU1383" s="8"/>
      <c r="AV1383" s="8"/>
      <c r="AW1383" s="11"/>
      <c r="AX1383" s="11"/>
      <c r="AY1383" s="11"/>
    </row>
    <row r="1384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  <c r="AP1384" s="8"/>
      <c r="AQ1384" s="11"/>
      <c r="AR1384" s="11"/>
      <c r="AS1384" s="8"/>
      <c r="AT1384" s="8"/>
      <c r="AU1384" s="8"/>
      <c r="AV1384" s="8"/>
      <c r="AW1384" s="11"/>
      <c r="AX1384" s="11"/>
      <c r="AY1384" s="11"/>
    </row>
    <row r="138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11"/>
      <c r="AR1385" s="11"/>
      <c r="AS1385" s="8"/>
      <c r="AT1385" s="8"/>
      <c r="AU1385" s="8"/>
      <c r="AV1385" s="8"/>
      <c r="AW1385" s="11"/>
      <c r="AX1385" s="11"/>
      <c r="AY1385" s="11"/>
    </row>
    <row r="1386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  <c r="AP1386" s="8"/>
      <c r="AQ1386" s="11"/>
      <c r="AR1386" s="11"/>
      <c r="AS1386" s="8"/>
      <c r="AT1386" s="8"/>
      <c r="AU1386" s="8"/>
      <c r="AV1386" s="8"/>
      <c r="AW1386" s="11"/>
      <c r="AX1386" s="11"/>
      <c r="AY1386" s="11"/>
    </row>
    <row r="1387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  <c r="AP1387" s="8"/>
      <c r="AQ1387" s="11"/>
      <c r="AR1387" s="11"/>
      <c r="AS1387" s="8"/>
      <c r="AT1387" s="8"/>
      <c r="AU1387" s="8"/>
      <c r="AV1387" s="8"/>
      <c r="AW1387" s="11"/>
      <c r="AX1387" s="11"/>
      <c r="AY1387" s="11"/>
    </row>
    <row r="1388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  <c r="AP1388" s="8"/>
      <c r="AQ1388" s="11"/>
      <c r="AR1388" s="11"/>
      <c r="AS1388" s="8"/>
      <c r="AT1388" s="8"/>
      <c r="AU1388" s="8"/>
      <c r="AV1388" s="8"/>
      <c r="AW1388" s="11"/>
      <c r="AX1388" s="11"/>
      <c r="AY1388" s="11"/>
    </row>
    <row r="1389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  <c r="AP1389" s="8"/>
      <c r="AQ1389" s="11"/>
      <c r="AR1389" s="11"/>
      <c r="AS1389" s="8"/>
      <c r="AT1389" s="8"/>
      <c r="AU1389" s="8"/>
      <c r="AV1389" s="8"/>
      <c r="AW1389" s="11"/>
      <c r="AX1389" s="11"/>
      <c r="AY1389" s="11"/>
    </row>
    <row r="1390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  <c r="AP1390" s="8"/>
      <c r="AQ1390" s="11"/>
      <c r="AR1390" s="11"/>
      <c r="AS1390" s="8"/>
      <c r="AT1390" s="8"/>
      <c r="AU1390" s="8"/>
      <c r="AV1390" s="8"/>
      <c r="AW1390" s="11"/>
      <c r="AX1390" s="11"/>
      <c r="AY1390" s="11"/>
    </row>
    <row r="139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  <c r="AP1391" s="8"/>
      <c r="AQ1391" s="11"/>
      <c r="AR1391" s="11"/>
      <c r="AS1391" s="8"/>
      <c r="AT1391" s="8"/>
      <c r="AU1391" s="8"/>
      <c r="AV1391" s="8"/>
      <c r="AW1391" s="11"/>
      <c r="AX1391" s="11"/>
      <c r="AY1391" s="11"/>
    </row>
    <row r="1392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  <c r="AP1392" s="8"/>
      <c r="AQ1392" s="11"/>
      <c r="AR1392" s="11"/>
      <c r="AS1392" s="8"/>
      <c r="AT1392" s="8"/>
      <c r="AU1392" s="8"/>
      <c r="AV1392" s="8"/>
      <c r="AW1392" s="11"/>
      <c r="AX1392" s="11"/>
      <c r="AY1392" s="11"/>
    </row>
    <row r="1393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  <c r="AP1393" s="8"/>
      <c r="AQ1393" s="11"/>
      <c r="AR1393" s="11"/>
      <c r="AS1393" s="8"/>
      <c r="AT1393" s="8"/>
      <c r="AU1393" s="8"/>
      <c r="AV1393" s="8"/>
      <c r="AW1393" s="11"/>
      <c r="AX1393" s="11"/>
      <c r="AY1393" s="11"/>
    </row>
    <row r="1394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  <c r="AP1394" s="8"/>
      <c r="AQ1394" s="11"/>
      <c r="AR1394" s="11"/>
      <c r="AS1394" s="8"/>
      <c r="AT1394" s="8"/>
      <c r="AU1394" s="8"/>
      <c r="AV1394" s="8"/>
      <c r="AW1394" s="11"/>
      <c r="AX1394" s="11"/>
      <c r="AY1394" s="11"/>
    </row>
    <row r="139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  <c r="AP1395" s="8"/>
      <c r="AQ1395" s="11"/>
      <c r="AR1395" s="11"/>
      <c r="AS1395" s="8"/>
      <c r="AT1395" s="8"/>
      <c r="AU1395" s="8"/>
      <c r="AV1395" s="8"/>
      <c r="AW1395" s="11"/>
      <c r="AX1395" s="11"/>
      <c r="AY1395" s="11"/>
    </row>
    <row r="1396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  <c r="AP1396" s="8"/>
      <c r="AQ1396" s="11"/>
      <c r="AR1396" s="11"/>
      <c r="AS1396" s="8"/>
      <c r="AT1396" s="8"/>
      <c r="AU1396" s="8"/>
      <c r="AV1396" s="8"/>
      <c r="AW1396" s="11"/>
      <c r="AX1396" s="11"/>
      <c r="AY1396" s="11"/>
    </row>
    <row r="1397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  <c r="AP1397" s="8"/>
      <c r="AQ1397" s="11"/>
      <c r="AR1397" s="11"/>
      <c r="AS1397" s="8"/>
      <c r="AT1397" s="8"/>
      <c r="AU1397" s="8"/>
      <c r="AV1397" s="8"/>
      <c r="AW1397" s="11"/>
      <c r="AX1397" s="11"/>
      <c r="AY1397" s="11"/>
    </row>
    <row r="1398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11"/>
      <c r="AR1398" s="11"/>
      <c r="AS1398" s="8"/>
      <c r="AT1398" s="8"/>
      <c r="AU1398" s="8"/>
      <c r="AV1398" s="8"/>
      <c r="AW1398" s="11"/>
      <c r="AX1398" s="11"/>
      <c r="AY1398" s="11"/>
    </row>
    <row r="1399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  <c r="AP1399" s="8"/>
      <c r="AQ1399" s="11"/>
      <c r="AR1399" s="11"/>
      <c r="AS1399" s="8"/>
      <c r="AT1399" s="8"/>
      <c r="AU1399" s="8"/>
      <c r="AV1399" s="8"/>
      <c r="AW1399" s="11"/>
      <c r="AX1399" s="11"/>
      <c r="AY1399" s="11"/>
    </row>
    <row r="1400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  <c r="AP1400" s="8"/>
      <c r="AQ1400" s="11"/>
      <c r="AR1400" s="11"/>
      <c r="AS1400" s="8"/>
      <c r="AT1400" s="8"/>
      <c r="AU1400" s="8"/>
      <c r="AV1400" s="8"/>
      <c r="AW1400" s="11"/>
      <c r="AX1400" s="11"/>
      <c r="AY1400" s="11"/>
    </row>
    <row r="140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  <c r="AP1401" s="8"/>
      <c r="AQ1401" s="11"/>
      <c r="AR1401" s="11"/>
      <c r="AS1401" s="8"/>
      <c r="AT1401" s="8"/>
      <c r="AU1401" s="8"/>
      <c r="AV1401" s="8"/>
      <c r="AW1401" s="11"/>
      <c r="AX1401" s="11"/>
      <c r="AY1401" s="11"/>
    </row>
    <row r="1402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  <c r="AP1402" s="8"/>
      <c r="AQ1402" s="11"/>
      <c r="AR1402" s="11"/>
      <c r="AS1402" s="8"/>
      <c r="AT1402" s="8"/>
      <c r="AU1402" s="8"/>
      <c r="AV1402" s="8"/>
      <c r="AW1402" s="11"/>
      <c r="AX1402" s="11"/>
      <c r="AY1402" s="11"/>
    </row>
    <row r="1403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  <c r="AP1403" s="8"/>
      <c r="AQ1403" s="11"/>
      <c r="AR1403" s="11"/>
      <c r="AS1403" s="8"/>
      <c r="AT1403" s="8"/>
      <c r="AU1403" s="8"/>
      <c r="AV1403" s="8"/>
      <c r="AW1403" s="11"/>
      <c r="AX1403" s="11"/>
      <c r="AY1403" s="11"/>
    </row>
    <row r="1404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  <c r="AP1404" s="8"/>
      <c r="AQ1404" s="11"/>
      <c r="AR1404" s="11"/>
      <c r="AS1404" s="8"/>
      <c r="AT1404" s="8"/>
      <c r="AU1404" s="8"/>
      <c r="AV1404" s="8"/>
      <c r="AW1404" s="11"/>
      <c r="AX1404" s="11"/>
      <c r="AY1404" s="11"/>
    </row>
    <row r="140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  <c r="AP1405" s="8"/>
      <c r="AQ1405" s="11"/>
      <c r="AR1405" s="11"/>
      <c r="AS1405" s="8"/>
      <c r="AT1405" s="8"/>
      <c r="AU1405" s="8"/>
      <c r="AV1405" s="8"/>
      <c r="AW1405" s="11"/>
      <c r="AX1405" s="11"/>
      <c r="AY1405" s="11"/>
    </row>
    <row r="1406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  <c r="AP1406" s="8"/>
      <c r="AQ1406" s="11"/>
      <c r="AR1406" s="11"/>
      <c r="AS1406" s="8"/>
      <c r="AT1406" s="8"/>
      <c r="AU1406" s="8"/>
      <c r="AV1406" s="8"/>
      <c r="AW1406" s="11"/>
      <c r="AX1406" s="11"/>
      <c r="AY1406" s="11"/>
    </row>
    <row r="1407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  <c r="AP1407" s="8"/>
      <c r="AQ1407" s="11"/>
      <c r="AR1407" s="11"/>
      <c r="AS1407" s="8"/>
      <c r="AT1407" s="8"/>
      <c r="AU1407" s="8"/>
      <c r="AV1407" s="8"/>
      <c r="AW1407" s="11"/>
      <c r="AX1407" s="11"/>
      <c r="AY1407" s="11"/>
    </row>
    <row r="1408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  <c r="AP1408" s="8"/>
      <c r="AQ1408" s="11"/>
      <c r="AR1408" s="11"/>
      <c r="AS1408" s="8"/>
      <c r="AT1408" s="8"/>
      <c r="AU1408" s="8"/>
      <c r="AV1408" s="8"/>
      <c r="AW1408" s="11"/>
      <c r="AX1408" s="11"/>
      <c r="AY1408" s="11"/>
    </row>
    <row r="1409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  <c r="AP1409" s="8"/>
      <c r="AQ1409" s="11"/>
      <c r="AR1409" s="11"/>
      <c r="AS1409" s="8"/>
      <c r="AT1409" s="8"/>
      <c r="AU1409" s="8"/>
      <c r="AV1409" s="8"/>
      <c r="AW1409" s="11"/>
      <c r="AX1409" s="11"/>
      <c r="AY1409" s="11"/>
    </row>
    <row r="1410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  <c r="AP1410" s="8"/>
      <c r="AQ1410" s="11"/>
      <c r="AR1410" s="11"/>
      <c r="AS1410" s="8"/>
      <c r="AT1410" s="8"/>
      <c r="AU1410" s="8"/>
      <c r="AV1410" s="8"/>
      <c r="AW1410" s="11"/>
      <c r="AX1410" s="11"/>
      <c r="AY1410" s="11"/>
    </row>
    <row r="14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  <c r="AP1411" s="8"/>
      <c r="AQ1411" s="11"/>
      <c r="AR1411" s="11"/>
      <c r="AS1411" s="8"/>
      <c r="AT1411" s="8"/>
      <c r="AU1411" s="8"/>
      <c r="AV1411" s="8"/>
      <c r="AW1411" s="11"/>
      <c r="AX1411" s="11"/>
      <c r="AY1411" s="11"/>
    </row>
    <row r="1412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  <c r="AP1412" s="8"/>
      <c r="AQ1412" s="11"/>
      <c r="AR1412" s="11"/>
      <c r="AS1412" s="8"/>
      <c r="AT1412" s="8"/>
      <c r="AU1412" s="8"/>
      <c r="AV1412" s="8"/>
      <c r="AW1412" s="11"/>
      <c r="AX1412" s="11"/>
      <c r="AY1412" s="11"/>
    </row>
    <row r="1413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  <c r="AP1413" s="8"/>
      <c r="AQ1413" s="11"/>
      <c r="AR1413" s="11"/>
      <c r="AS1413" s="8"/>
      <c r="AT1413" s="8"/>
      <c r="AU1413" s="8"/>
      <c r="AV1413" s="8"/>
      <c r="AW1413" s="11"/>
      <c r="AX1413" s="11"/>
      <c r="AY1413" s="11"/>
    </row>
    <row r="1414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  <c r="AP1414" s="8"/>
      <c r="AQ1414" s="11"/>
      <c r="AR1414" s="11"/>
      <c r="AS1414" s="8"/>
      <c r="AT1414" s="8"/>
      <c r="AU1414" s="8"/>
      <c r="AV1414" s="8"/>
      <c r="AW1414" s="11"/>
      <c r="AX1414" s="11"/>
      <c r="AY1414" s="11"/>
    </row>
    <row r="141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  <c r="AP1415" s="8"/>
      <c r="AQ1415" s="11"/>
      <c r="AR1415" s="11"/>
      <c r="AS1415" s="8"/>
      <c r="AT1415" s="8"/>
      <c r="AU1415" s="8"/>
      <c r="AV1415" s="8"/>
      <c r="AW1415" s="11"/>
      <c r="AX1415" s="11"/>
      <c r="AY1415" s="11"/>
    </row>
    <row r="1416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11"/>
      <c r="AR1416" s="11"/>
      <c r="AS1416" s="8"/>
      <c r="AT1416" s="8"/>
      <c r="AU1416" s="8"/>
      <c r="AV1416" s="8"/>
      <c r="AW1416" s="11"/>
      <c r="AX1416" s="11"/>
      <c r="AY1416" s="11"/>
    </row>
    <row r="1417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11"/>
      <c r="AR1417" s="11"/>
      <c r="AS1417" s="8"/>
      <c r="AT1417" s="8"/>
      <c r="AU1417" s="8"/>
      <c r="AV1417" s="8"/>
      <c r="AW1417" s="11"/>
      <c r="AX1417" s="11"/>
      <c r="AY1417" s="11"/>
    </row>
    <row r="1418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  <c r="AP1418" s="8"/>
      <c r="AQ1418" s="11"/>
      <c r="AR1418" s="11"/>
      <c r="AS1418" s="8"/>
      <c r="AT1418" s="8"/>
      <c r="AU1418" s="8"/>
      <c r="AV1418" s="8"/>
      <c r="AW1418" s="11"/>
      <c r="AX1418" s="11"/>
      <c r="AY1418" s="11"/>
    </row>
    <row r="1419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  <c r="AP1419" s="8"/>
      <c r="AQ1419" s="11"/>
      <c r="AR1419" s="11"/>
      <c r="AS1419" s="8"/>
      <c r="AT1419" s="8"/>
      <c r="AU1419" s="8"/>
      <c r="AV1419" s="8"/>
      <c r="AW1419" s="11"/>
      <c r="AX1419" s="11"/>
      <c r="AY1419" s="11"/>
    </row>
    <row r="1420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  <c r="AP1420" s="8"/>
      <c r="AQ1420" s="11"/>
      <c r="AR1420" s="11"/>
      <c r="AS1420" s="8"/>
      <c r="AT1420" s="8"/>
      <c r="AU1420" s="8"/>
      <c r="AV1420" s="8"/>
      <c r="AW1420" s="11"/>
      <c r="AX1420" s="11"/>
      <c r="AY1420" s="11"/>
    </row>
    <row r="142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  <c r="AP1421" s="8"/>
      <c r="AQ1421" s="11"/>
      <c r="AR1421" s="11"/>
      <c r="AS1421" s="8"/>
      <c r="AT1421" s="8"/>
      <c r="AU1421" s="8"/>
      <c r="AV1421" s="8"/>
      <c r="AW1421" s="11"/>
      <c r="AX1421" s="11"/>
      <c r="AY1421" s="11"/>
    </row>
    <row r="1422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  <c r="AP1422" s="8"/>
      <c r="AQ1422" s="11"/>
      <c r="AR1422" s="11"/>
      <c r="AS1422" s="8"/>
      <c r="AT1422" s="8"/>
      <c r="AU1422" s="8"/>
      <c r="AV1422" s="8"/>
      <c r="AW1422" s="11"/>
      <c r="AX1422" s="11"/>
      <c r="AY1422" s="11"/>
    </row>
    <row r="1423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  <c r="AP1423" s="8"/>
      <c r="AQ1423" s="11"/>
      <c r="AR1423" s="11"/>
      <c r="AS1423" s="8"/>
      <c r="AT1423" s="8"/>
      <c r="AU1423" s="8"/>
      <c r="AV1423" s="8"/>
      <c r="AW1423" s="11"/>
      <c r="AX1423" s="11"/>
      <c r="AY1423" s="11"/>
    </row>
    <row r="1424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  <c r="AP1424" s="8"/>
      <c r="AQ1424" s="11"/>
      <c r="AR1424" s="11"/>
      <c r="AS1424" s="8"/>
      <c r="AT1424" s="8"/>
      <c r="AU1424" s="8"/>
      <c r="AV1424" s="8"/>
      <c r="AW1424" s="11"/>
      <c r="AX1424" s="11"/>
      <c r="AY1424" s="11"/>
    </row>
    <row r="14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  <c r="AP1425" s="8"/>
      <c r="AQ1425" s="11"/>
      <c r="AR1425" s="11"/>
      <c r="AS1425" s="8"/>
      <c r="AT1425" s="8"/>
      <c r="AU1425" s="8"/>
      <c r="AV1425" s="8"/>
      <c r="AW1425" s="11"/>
      <c r="AX1425" s="11"/>
      <c r="AY1425" s="11"/>
    </row>
    <row r="1426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  <c r="AP1426" s="8"/>
      <c r="AQ1426" s="11"/>
      <c r="AR1426" s="11"/>
      <c r="AS1426" s="8"/>
      <c r="AT1426" s="8"/>
      <c r="AU1426" s="8"/>
      <c r="AV1426" s="8"/>
      <c r="AW1426" s="11"/>
      <c r="AX1426" s="11"/>
      <c r="AY1426" s="11"/>
    </row>
    <row r="1427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  <c r="AP1427" s="8"/>
      <c r="AQ1427" s="11"/>
      <c r="AR1427" s="11"/>
      <c r="AS1427" s="8"/>
      <c r="AT1427" s="8"/>
      <c r="AU1427" s="8"/>
      <c r="AV1427" s="8"/>
      <c r="AW1427" s="11"/>
      <c r="AX1427" s="11"/>
      <c r="AY1427" s="11"/>
    </row>
    <row r="1428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  <c r="AP1428" s="8"/>
      <c r="AQ1428" s="11"/>
      <c r="AR1428" s="11"/>
      <c r="AS1428" s="8"/>
      <c r="AT1428" s="8"/>
      <c r="AU1428" s="8"/>
      <c r="AV1428" s="8"/>
      <c r="AW1428" s="11"/>
      <c r="AX1428" s="11"/>
      <c r="AY1428" s="11"/>
    </row>
    <row r="1429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  <c r="AP1429" s="8"/>
      <c r="AQ1429" s="11"/>
      <c r="AR1429" s="11"/>
      <c r="AS1429" s="8"/>
      <c r="AT1429" s="8"/>
      <c r="AU1429" s="8"/>
      <c r="AV1429" s="8"/>
      <c r="AW1429" s="11"/>
      <c r="AX1429" s="11"/>
      <c r="AY1429" s="11"/>
    </row>
    <row r="1430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  <c r="AP1430" s="8"/>
      <c r="AQ1430" s="11"/>
      <c r="AR1430" s="11"/>
      <c r="AS1430" s="8"/>
      <c r="AT1430" s="8"/>
      <c r="AU1430" s="8"/>
      <c r="AV1430" s="8"/>
      <c r="AW1430" s="11"/>
      <c r="AX1430" s="11"/>
      <c r="AY1430" s="11"/>
    </row>
    <row r="143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  <c r="AP1431" s="8"/>
      <c r="AQ1431" s="11"/>
      <c r="AR1431" s="11"/>
      <c r="AS1431" s="8"/>
      <c r="AT1431" s="8"/>
      <c r="AU1431" s="8"/>
      <c r="AV1431" s="8"/>
      <c r="AW1431" s="11"/>
      <c r="AX1431" s="11"/>
      <c r="AY1431" s="11"/>
    </row>
    <row r="1432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  <c r="AP1432" s="8"/>
      <c r="AQ1432" s="11"/>
      <c r="AR1432" s="11"/>
      <c r="AS1432" s="8"/>
      <c r="AT1432" s="8"/>
      <c r="AU1432" s="8"/>
      <c r="AV1432" s="8"/>
      <c r="AW1432" s="11"/>
      <c r="AX1432" s="11"/>
      <c r="AY1432" s="11"/>
    </row>
    <row r="1433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  <c r="AP1433" s="8"/>
      <c r="AQ1433" s="11"/>
      <c r="AR1433" s="11"/>
      <c r="AS1433" s="8"/>
      <c r="AT1433" s="8"/>
      <c r="AU1433" s="8"/>
      <c r="AV1433" s="8"/>
      <c r="AW1433" s="11"/>
      <c r="AX1433" s="11"/>
      <c r="AY1433" s="11"/>
    </row>
    <row r="1434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  <c r="AP1434" s="8"/>
      <c r="AQ1434" s="11"/>
      <c r="AR1434" s="11"/>
      <c r="AS1434" s="8"/>
      <c r="AT1434" s="8"/>
      <c r="AU1434" s="8"/>
      <c r="AV1434" s="8"/>
      <c r="AW1434" s="11"/>
      <c r="AX1434" s="11"/>
      <c r="AY1434" s="11"/>
    </row>
    <row r="143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  <c r="AP1435" s="8"/>
      <c r="AQ1435" s="11"/>
      <c r="AR1435" s="11"/>
      <c r="AS1435" s="8"/>
      <c r="AT1435" s="8"/>
      <c r="AU1435" s="8"/>
      <c r="AV1435" s="8"/>
      <c r="AW1435" s="11"/>
      <c r="AX1435" s="11"/>
      <c r="AY1435" s="11"/>
    </row>
    <row r="1436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  <c r="AP1436" s="8"/>
      <c r="AQ1436" s="11"/>
      <c r="AR1436" s="11"/>
      <c r="AS1436" s="8"/>
      <c r="AT1436" s="8"/>
      <c r="AU1436" s="8"/>
      <c r="AV1436" s="8"/>
      <c r="AW1436" s="11"/>
      <c r="AX1436" s="11"/>
      <c r="AY1436" s="11"/>
    </row>
    <row r="1437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  <c r="AP1437" s="8"/>
      <c r="AQ1437" s="11"/>
      <c r="AR1437" s="11"/>
      <c r="AS1437" s="8"/>
      <c r="AT1437" s="8"/>
      <c r="AU1437" s="8"/>
      <c r="AV1437" s="8"/>
      <c r="AW1437" s="11"/>
      <c r="AX1437" s="11"/>
      <c r="AY1437" s="11"/>
    </row>
    <row r="1438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  <c r="AP1438" s="8"/>
      <c r="AQ1438" s="11"/>
      <c r="AR1438" s="11"/>
      <c r="AS1438" s="8"/>
      <c r="AT1438" s="8"/>
      <c r="AU1438" s="8"/>
      <c r="AV1438" s="8"/>
      <c r="AW1438" s="11"/>
      <c r="AX1438" s="11"/>
      <c r="AY1438" s="11"/>
    </row>
    <row r="1439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/>
      <c r="AQ1439" s="11"/>
      <c r="AR1439" s="11"/>
      <c r="AS1439" s="8"/>
      <c r="AT1439" s="8"/>
      <c r="AU1439" s="8"/>
      <c r="AV1439" s="8"/>
      <c r="AW1439" s="11"/>
      <c r="AX1439" s="11"/>
      <c r="AY1439" s="11"/>
    </row>
    <row r="1440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  <c r="AP1440" s="8"/>
      <c r="AQ1440" s="11"/>
      <c r="AR1440" s="11"/>
      <c r="AS1440" s="8"/>
      <c r="AT1440" s="8"/>
      <c r="AU1440" s="8"/>
      <c r="AV1440" s="8"/>
      <c r="AW1440" s="11"/>
      <c r="AX1440" s="11"/>
      <c r="AY1440" s="11"/>
    </row>
    <row r="144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  <c r="AP1441" s="8"/>
      <c r="AQ1441" s="11"/>
      <c r="AR1441" s="11"/>
      <c r="AS1441" s="8"/>
      <c r="AT1441" s="8"/>
      <c r="AU1441" s="8"/>
      <c r="AV1441" s="8"/>
      <c r="AW1441" s="11"/>
      <c r="AX1441" s="11"/>
      <c r="AY1441" s="11"/>
    </row>
    <row r="1442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  <c r="AP1442" s="8"/>
      <c r="AQ1442" s="11"/>
      <c r="AR1442" s="11"/>
      <c r="AS1442" s="8"/>
      <c r="AT1442" s="8"/>
      <c r="AU1442" s="8"/>
      <c r="AV1442" s="8"/>
      <c r="AW1442" s="11"/>
      <c r="AX1442" s="11"/>
      <c r="AY1442" s="11"/>
    </row>
    <row r="1443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  <c r="AP1443" s="8"/>
      <c r="AQ1443" s="11"/>
      <c r="AR1443" s="11"/>
      <c r="AS1443" s="8"/>
      <c r="AT1443" s="8"/>
      <c r="AU1443" s="8"/>
      <c r="AV1443" s="8"/>
      <c r="AW1443" s="11"/>
      <c r="AX1443" s="11"/>
      <c r="AY1443" s="11"/>
    </row>
    <row r="1444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  <c r="AP1444" s="8"/>
      <c r="AQ1444" s="11"/>
      <c r="AR1444" s="11"/>
      <c r="AS1444" s="8"/>
      <c r="AT1444" s="8"/>
      <c r="AU1444" s="8"/>
      <c r="AV1444" s="8"/>
      <c r="AW1444" s="11"/>
      <c r="AX1444" s="11"/>
      <c r="AY1444" s="11"/>
    </row>
    <row r="144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  <c r="AP1445" s="8"/>
      <c r="AQ1445" s="11"/>
      <c r="AR1445" s="11"/>
      <c r="AS1445" s="8"/>
      <c r="AT1445" s="8"/>
      <c r="AU1445" s="8"/>
      <c r="AV1445" s="8"/>
      <c r="AW1445" s="11"/>
      <c r="AX1445" s="11"/>
      <c r="AY1445" s="11"/>
    </row>
    <row r="1446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  <c r="AP1446" s="8"/>
      <c r="AQ1446" s="11"/>
      <c r="AR1446" s="11"/>
      <c r="AS1446" s="8"/>
      <c r="AT1446" s="8"/>
      <c r="AU1446" s="8"/>
      <c r="AV1446" s="8"/>
      <c r="AW1446" s="11"/>
      <c r="AX1446" s="11"/>
      <c r="AY1446" s="11"/>
    </row>
    <row r="1447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  <c r="AP1447" s="8"/>
      <c r="AQ1447" s="11"/>
      <c r="AR1447" s="11"/>
      <c r="AS1447" s="8"/>
      <c r="AT1447" s="8"/>
      <c r="AU1447" s="8"/>
      <c r="AV1447" s="8"/>
      <c r="AW1447" s="11"/>
      <c r="AX1447" s="11"/>
      <c r="AY1447" s="11"/>
    </row>
    <row r="1448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  <c r="AP1448" s="8"/>
      <c r="AQ1448" s="11"/>
      <c r="AR1448" s="11"/>
      <c r="AS1448" s="8"/>
      <c r="AT1448" s="8"/>
      <c r="AU1448" s="8"/>
      <c r="AV1448" s="8"/>
      <c r="AW1448" s="11"/>
      <c r="AX1448" s="11"/>
      <c r="AY1448" s="11"/>
    </row>
    <row r="1449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  <c r="AP1449" s="8"/>
      <c r="AQ1449" s="11"/>
      <c r="AR1449" s="11"/>
      <c r="AS1449" s="8"/>
      <c r="AT1449" s="8"/>
      <c r="AU1449" s="8"/>
      <c r="AV1449" s="8"/>
      <c r="AW1449" s="11"/>
      <c r="AX1449" s="11"/>
      <c r="AY1449" s="11"/>
    </row>
    <row r="1450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  <c r="AP1450" s="8"/>
      <c r="AQ1450" s="11"/>
      <c r="AR1450" s="11"/>
      <c r="AS1450" s="8"/>
      <c r="AT1450" s="8"/>
      <c r="AU1450" s="8"/>
      <c r="AV1450" s="8"/>
      <c r="AW1450" s="11"/>
      <c r="AX1450" s="11"/>
      <c r="AY1450" s="11"/>
    </row>
    <row r="145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/>
      <c r="AQ1451" s="11"/>
      <c r="AR1451" s="11"/>
      <c r="AS1451" s="8"/>
      <c r="AT1451" s="8"/>
      <c r="AU1451" s="8"/>
      <c r="AV1451" s="8"/>
      <c r="AW1451" s="11"/>
      <c r="AX1451" s="11"/>
      <c r="AY1451" s="11"/>
    </row>
    <row r="1452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  <c r="AP1452" s="8"/>
      <c r="AQ1452" s="11"/>
      <c r="AR1452" s="11"/>
      <c r="AS1452" s="8"/>
      <c r="AT1452" s="8"/>
      <c r="AU1452" s="8"/>
      <c r="AV1452" s="8"/>
      <c r="AW1452" s="11"/>
      <c r="AX1452" s="11"/>
      <c r="AY1452" s="11"/>
    </row>
    <row r="1453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/>
      <c r="AQ1453" s="11"/>
      <c r="AR1453" s="11"/>
      <c r="AS1453" s="8"/>
      <c r="AT1453" s="8"/>
      <c r="AU1453" s="8"/>
      <c r="AV1453" s="8"/>
      <c r="AW1453" s="11"/>
      <c r="AX1453" s="11"/>
      <c r="AY1453" s="11"/>
    </row>
    <row r="1454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  <c r="AP1454" s="8"/>
      <c r="AQ1454" s="11"/>
      <c r="AR1454" s="11"/>
      <c r="AS1454" s="8"/>
      <c r="AT1454" s="8"/>
      <c r="AU1454" s="8"/>
      <c r="AV1454" s="8"/>
      <c r="AW1454" s="11"/>
      <c r="AX1454" s="11"/>
      <c r="AY1454" s="11"/>
    </row>
    <row r="145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  <c r="AP1455" s="8"/>
      <c r="AQ1455" s="11"/>
      <c r="AR1455" s="11"/>
      <c r="AS1455" s="8"/>
      <c r="AT1455" s="8"/>
      <c r="AU1455" s="8"/>
      <c r="AV1455" s="8"/>
      <c r="AW1455" s="11"/>
      <c r="AX1455" s="11"/>
      <c r="AY1455" s="11"/>
    </row>
    <row r="1456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11"/>
      <c r="AR1456" s="11"/>
      <c r="AS1456" s="8"/>
      <c r="AT1456" s="8"/>
      <c r="AU1456" s="8"/>
      <c r="AV1456" s="8"/>
      <c r="AW1456" s="11"/>
      <c r="AX1456" s="11"/>
      <c r="AY1456" s="11"/>
    </row>
    <row r="1457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11"/>
      <c r="AR1457" s="11"/>
      <c r="AS1457" s="8"/>
      <c r="AT1457" s="8"/>
      <c r="AU1457" s="8"/>
      <c r="AV1457" s="8"/>
      <c r="AW1457" s="11"/>
      <c r="AX1457" s="11"/>
      <c r="AY1457" s="11"/>
    </row>
    <row r="1458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  <c r="AP1458" s="8"/>
      <c r="AQ1458" s="11"/>
      <c r="AR1458" s="11"/>
      <c r="AS1458" s="8"/>
      <c r="AT1458" s="8"/>
      <c r="AU1458" s="8"/>
      <c r="AV1458" s="8"/>
      <c r="AW1458" s="11"/>
      <c r="AX1458" s="11"/>
      <c r="AY1458" s="11"/>
    </row>
    <row r="1459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/>
      <c r="AQ1459" s="11"/>
      <c r="AR1459" s="11"/>
      <c r="AS1459" s="8"/>
      <c r="AT1459" s="8"/>
      <c r="AU1459" s="8"/>
      <c r="AV1459" s="8"/>
      <c r="AW1459" s="11"/>
      <c r="AX1459" s="11"/>
      <c r="AY1459" s="11"/>
    </row>
    <row r="1460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  <c r="AP1460" s="8"/>
      <c r="AQ1460" s="11"/>
      <c r="AR1460" s="11"/>
      <c r="AS1460" s="8"/>
      <c r="AT1460" s="8"/>
      <c r="AU1460" s="8"/>
      <c r="AV1460" s="8"/>
      <c r="AW1460" s="11"/>
      <c r="AX1460" s="11"/>
      <c r="AY1460" s="11"/>
    </row>
    <row r="146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/>
      <c r="AQ1461" s="11"/>
      <c r="AR1461" s="11"/>
      <c r="AS1461" s="8"/>
      <c r="AT1461" s="8"/>
      <c r="AU1461" s="8"/>
      <c r="AV1461" s="8"/>
      <c r="AW1461" s="11"/>
      <c r="AX1461" s="11"/>
      <c r="AY1461" s="11"/>
    </row>
    <row r="1462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  <c r="AP1462" s="8"/>
      <c r="AQ1462" s="11"/>
      <c r="AR1462" s="11"/>
      <c r="AS1462" s="8"/>
      <c r="AT1462" s="8"/>
      <c r="AU1462" s="8"/>
      <c r="AV1462" s="8"/>
      <c r="AW1462" s="11"/>
      <c r="AX1462" s="11"/>
      <c r="AY1462" s="11"/>
    </row>
    <row r="1463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11"/>
      <c r="AR1463" s="11"/>
      <c r="AS1463" s="8"/>
      <c r="AT1463" s="8"/>
      <c r="AU1463" s="8"/>
      <c r="AV1463" s="8"/>
      <c r="AW1463" s="11"/>
      <c r="AX1463" s="11"/>
      <c r="AY1463" s="11"/>
    </row>
    <row r="1464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  <c r="AP1464" s="8"/>
      <c r="AQ1464" s="11"/>
      <c r="AR1464" s="11"/>
      <c r="AS1464" s="8"/>
      <c r="AT1464" s="8"/>
      <c r="AU1464" s="8"/>
      <c r="AV1464" s="8"/>
      <c r="AW1464" s="11"/>
      <c r="AX1464" s="11"/>
      <c r="AY1464" s="11"/>
    </row>
    <row r="146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  <c r="AP1465" s="8"/>
      <c r="AQ1465" s="11"/>
      <c r="AR1465" s="11"/>
      <c r="AS1465" s="8"/>
      <c r="AT1465" s="8"/>
      <c r="AU1465" s="8"/>
      <c r="AV1465" s="8"/>
      <c r="AW1465" s="11"/>
      <c r="AX1465" s="11"/>
      <c r="AY1465" s="11"/>
    </row>
    <row r="1466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  <c r="AP1466" s="8"/>
      <c r="AQ1466" s="11"/>
      <c r="AR1466" s="11"/>
      <c r="AS1466" s="8"/>
      <c r="AT1466" s="8"/>
      <c r="AU1466" s="8"/>
      <c r="AV1466" s="8"/>
      <c r="AW1466" s="11"/>
      <c r="AX1466" s="11"/>
      <c r="AY1466" s="11"/>
    </row>
    <row r="1467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  <c r="AP1467" s="8"/>
      <c r="AQ1467" s="11"/>
      <c r="AR1467" s="11"/>
      <c r="AS1467" s="8"/>
      <c r="AT1467" s="8"/>
      <c r="AU1467" s="8"/>
      <c r="AV1467" s="8"/>
      <c r="AW1467" s="11"/>
      <c r="AX1467" s="11"/>
      <c r="AY1467" s="11"/>
    </row>
    <row r="1468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  <c r="AP1468" s="8"/>
      <c r="AQ1468" s="11"/>
      <c r="AR1468" s="11"/>
      <c r="AS1468" s="8"/>
      <c r="AT1468" s="8"/>
      <c r="AU1468" s="8"/>
      <c r="AV1468" s="8"/>
      <c r="AW1468" s="11"/>
      <c r="AX1468" s="11"/>
      <c r="AY1468" s="11"/>
    </row>
    <row r="1469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  <c r="AP1469" s="8"/>
      <c r="AQ1469" s="11"/>
      <c r="AR1469" s="11"/>
      <c r="AS1469" s="8"/>
      <c r="AT1469" s="8"/>
      <c r="AU1469" s="8"/>
      <c r="AV1469" s="8"/>
      <c r="AW1469" s="11"/>
      <c r="AX1469" s="11"/>
      <c r="AY1469" s="11"/>
    </row>
    <row r="1470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  <c r="AP1470" s="8"/>
      <c r="AQ1470" s="11"/>
      <c r="AR1470" s="11"/>
      <c r="AS1470" s="8"/>
      <c r="AT1470" s="8"/>
      <c r="AU1470" s="8"/>
      <c r="AV1470" s="8"/>
      <c r="AW1470" s="11"/>
      <c r="AX1470" s="11"/>
      <c r="AY1470" s="11"/>
    </row>
    <row r="147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  <c r="AP1471" s="8"/>
      <c r="AQ1471" s="11"/>
      <c r="AR1471" s="11"/>
      <c r="AS1471" s="8"/>
      <c r="AT1471" s="8"/>
      <c r="AU1471" s="8"/>
      <c r="AV1471" s="8"/>
      <c r="AW1471" s="11"/>
      <c r="AX1471" s="11"/>
      <c r="AY1471" s="11"/>
    </row>
    <row r="1472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11"/>
      <c r="AR1472" s="11"/>
      <c r="AS1472" s="8"/>
      <c r="AT1472" s="8"/>
      <c r="AU1472" s="8"/>
      <c r="AV1472" s="8"/>
      <c r="AW1472" s="11"/>
      <c r="AX1472" s="11"/>
      <c r="AY1472" s="11"/>
    </row>
    <row r="1473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/>
      <c r="AQ1473" s="11"/>
      <c r="AR1473" s="11"/>
      <c r="AS1473" s="8"/>
      <c r="AT1473" s="8"/>
      <c r="AU1473" s="8"/>
      <c r="AV1473" s="8"/>
      <c r="AW1473" s="11"/>
      <c r="AX1473" s="11"/>
      <c r="AY1473" s="11"/>
    </row>
    <row r="1474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  <c r="AP1474" s="8"/>
      <c r="AQ1474" s="11"/>
      <c r="AR1474" s="11"/>
      <c r="AS1474" s="8"/>
      <c r="AT1474" s="8"/>
      <c r="AU1474" s="8"/>
      <c r="AV1474" s="8"/>
      <c r="AW1474" s="11"/>
      <c r="AX1474" s="11"/>
      <c r="AY1474" s="11"/>
    </row>
    <row r="147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  <c r="AP1475" s="8"/>
      <c r="AQ1475" s="11"/>
      <c r="AR1475" s="11"/>
      <c r="AS1475" s="8"/>
      <c r="AT1475" s="8"/>
      <c r="AU1475" s="8"/>
      <c r="AV1475" s="8"/>
      <c r="AW1475" s="11"/>
      <c r="AX1475" s="11"/>
      <c r="AY1475" s="11"/>
    </row>
    <row r="1476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  <c r="AP1476" s="8"/>
      <c r="AQ1476" s="11"/>
      <c r="AR1476" s="11"/>
      <c r="AS1476" s="8"/>
      <c r="AT1476" s="8"/>
      <c r="AU1476" s="8"/>
      <c r="AV1476" s="8"/>
      <c r="AW1476" s="11"/>
      <c r="AX1476" s="11"/>
      <c r="AY1476" s="11"/>
    </row>
    <row r="1477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  <c r="AP1477" s="8"/>
      <c r="AQ1477" s="11"/>
      <c r="AR1477" s="11"/>
      <c r="AS1477" s="8"/>
      <c r="AT1477" s="8"/>
      <c r="AU1477" s="8"/>
      <c r="AV1477" s="8"/>
      <c r="AW1477" s="11"/>
      <c r="AX1477" s="11"/>
      <c r="AY1477" s="11"/>
    </row>
    <row r="1478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  <c r="AP1478" s="8"/>
      <c r="AQ1478" s="11"/>
      <c r="AR1478" s="11"/>
      <c r="AS1478" s="8"/>
      <c r="AT1478" s="8"/>
      <c r="AU1478" s="8"/>
      <c r="AV1478" s="8"/>
      <c r="AW1478" s="11"/>
      <c r="AX1478" s="11"/>
      <c r="AY1478" s="11"/>
    </row>
    <row r="1479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  <c r="AP1479" s="8"/>
      <c r="AQ1479" s="11"/>
      <c r="AR1479" s="11"/>
      <c r="AS1479" s="8"/>
      <c r="AT1479" s="8"/>
      <c r="AU1479" s="8"/>
      <c r="AV1479" s="8"/>
      <c r="AW1479" s="11"/>
      <c r="AX1479" s="11"/>
      <c r="AY1479" s="11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0"/>
    <col customWidth="1" min="2" max="2" width="13.57"/>
  </cols>
  <sheetData>
    <row r="1">
      <c r="A1" s="2" t="s">
        <v>49</v>
      </c>
      <c r="B1" s="2" t="s">
        <v>50</v>
      </c>
      <c r="C1" s="2" t="s">
        <v>51</v>
      </c>
      <c r="D1" s="2" t="s">
        <v>52</v>
      </c>
      <c r="E1" s="9" t="s">
        <v>53</v>
      </c>
      <c r="F1" s="9" t="s">
        <v>55</v>
      </c>
      <c r="G1" s="9" t="s">
        <v>56</v>
      </c>
      <c r="H1" s="9" t="s">
        <v>57</v>
      </c>
      <c r="I1" s="9" t="s">
        <v>58</v>
      </c>
      <c r="J1" s="9" t="s">
        <v>59</v>
      </c>
      <c r="K1" s="9" t="s">
        <v>60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2">
        <v>401.0</v>
      </c>
      <c r="B2" s="2">
        <v>553.0</v>
      </c>
      <c r="C2" s="2">
        <v>7.0</v>
      </c>
      <c r="D2" s="2">
        <v>2.0</v>
      </c>
      <c r="E2" s="2">
        <v>1.478931575E9</v>
      </c>
      <c r="F2" s="8"/>
      <c r="G2" s="2">
        <v>0.0</v>
      </c>
      <c r="H2" s="2">
        <v>0.0</v>
      </c>
      <c r="I2" s="2" t="s">
        <v>61</v>
      </c>
      <c r="J2" s="2">
        <v>0.0</v>
      </c>
      <c r="K2" s="2">
        <v>0.0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2">
        <v>401.0</v>
      </c>
      <c r="B3" s="2">
        <v>554.0</v>
      </c>
      <c r="C3" s="2">
        <v>7.0</v>
      </c>
      <c r="D3" s="2">
        <v>2.0</v>
      </c>
      <c r="E3" s="2">
        <v>1.478931626E9</v>
      </c>
      <c r="F3" s="8"/>
      <c r="G3" s="2">
        <v>0.0</v>
      </c>
      <c r="H3" s="2">
        <v>1.478931636E9</v>
      </c>
      <c r="I3" s="2">
        <v>0.0</v>
      </c>
      <c r="J3" s="2">
        <v>0.0</v>
      </c>
      <c r="K3" s="2">
        <v>0.0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A4" s="2">
        <v>401.0</v>
      </c>
      <c r="B4" s="2">
        <v>555.0</v>
      </c>
      <c r="C4" s="2">
        <v>7.0</v>
      </c>
      <c r="D4" s="2">
        <v>2.0</v>
      </c>
      <c r="E4" s="2">
        <v>1.4789319E9</v>
      </c>
      <c r="F4" s="8"/>
      <c r="G4" s="2">
        <v>0.0</v>
      </c>
      <c r="H4" s="2">
        <v>0.0</v>
      </c>
      <c r="I4" s="2" t="s">
        <v>61</v>
      </c>
      <c r="J4" s="2">
        <v>0.0</v>
      </c>
      <c r="K4" s="2">
        <v>0.0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>
      <c r="A5" s="2">
        <v>401.0</v>
      </c>
      <c r="B5" s="2">
        <v>556.0</v>
      </c>
      <c r="C5" s="2">
        <v>7.0</v>
      </c>
      <c r="D5" s="2">
        <v>2.0</v>
      </c>
      <c r="E5" s="2">
        <v>1.478931961E9</v>
      </c>
      <c r="F5" s="8"/>
      <c r="G5" s="2">
        <v>0.0</v>
      </c>
      <c r="H5" s="2">
        <v>1.478931965E9</v>
      </c>
      <c r="I5" s="2">
        <v>0.0</v>
      </c>
      <c r="J5" s="2">
        <v>0.0</v>
      </c>
      <c r="K5" s="2">
        <v>0.0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2">
        <v>401.0</v>
      </c>
      <c r="B6" s="2">
        <v>557.0</v>
      </c>
      <c r="C6" s="2">
        <v>7.0</v>
      </c>
      <c r="D6" s="2">
        <v>2.0</v>
      </c>
      <c r="E6" s="2">
        <v>1.478933145E9</v>
      </c>
      <c r="F6" s="14"/>
      <c r="G6" s="2">
        <v>0.0</v>
      </c>
      <c r="H6" s="2">
        <v>0.0</v>
      </c>
      <c r="I6" s="2" t="s">
        <v>61</v>
      </c>
      <c r="J6" s="2">
        <v>0.0</v>
      </c>
      <c r="K6" s="2">
        <v>0.0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>
      <c r="A7" s="2">
        <v>401.0</v>
      </c>
      <c r="B7" s="2">
        <v>558.0</v>
      </c>
      <c r="C7" s="2">
        <v>7.0</v>
      </c>
      <c r="D7" s="2">
        <v>2.0</v>
      </c>
      <c r="E7" s="2">
        <v>1.47893319E9</v>
      </c>
      <c r="F7" s="8"/>
      <c r="G7" s="2">
        <v>0.0</v>
      </c>
      <c r="H7" s="2">
        <v>1.478933194E9</v>
      </c>
      <c r="I7" s="2">
        <v>0.0</v>
      </c>
      <c r="J7" s="2">
        <v>0.0</v>
      </c>
      <c r="K7" s="2">
        <v>0.0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>
      <c r="A8" s="9">
        <v>401.0</v>
      </c>
      <c r="B8" s="9">
        <v>560.0</v>
      </c>
      <c r="C8" s="9">
        <v>7.0</v>
      </c>
      <c r="D8" s="9">
        <v>2.0</v>
      </c>
      <c r="E8" s="9">
        <v>1.478933237E9</v>
      </c>
      <c r="F8" s="8"/>
      <c r="G8" s="9">
        <v>0.0</v>
      </c>
      <c r="H8" s="9">
        <v>1.478933241E9</v>
      </c>
      <c r="I8" s="9">
        <v>0.0</v>
      </c>
      <c r="J8" s="9">
        <v>0.0</v>
      </c>
      <c r="K8" s="9">
        <v>0.0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>
      <c r="A9" s="9">
        <v>401.0</v>
      </c>
      <c r="B9" s="9">
        <v>561.0</v>
      </c>
      <c r="C9" s="9">
        <v>7.0</v>
      </c>
      <c r="D9" s="9">
        <v>2.0</v>
      </c>
      <c r="E9" s="9">
        <v>1.478933296E9</v>
      </c>
      <c r="F9" s="8"/>
      <c r="G9" s="9">
        <v>0.0</v>
      </c>
      <c r="H9" s="9">
        <v>1.4789333E9</v>
      </c>
      <c r="I9" s="9">
        <v>0.0</v>
      </c>
      <c r="J9" s="9">
        <v>0.0</v>
      </c>
      <c r="K9" s="9">
        <v>0.0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>
      <c r="A10" s="9">
        <v>401.0</v>
      </c>
      <c r="B10" s="9">
        <v>562.0</v>
      </c>
      <c r="C10" s="9">
        <v>7.0</v>
      </c>
      <c r="D10" s="9">
        <v>2.0</v>
      </c>
      <c r="E10" s="9">
        <v>1.478933814E9</v>
      </c>
      <c r="F10" s="8"/>
      <c r="G10" s="9">
        <v>0.0</v>
      </c>
      <c r="H10" s="9">
        <v>1.478933819E9</v>
      </c>
      <c r="I10" s="9">
        <v>0.0</v>
      </c>
      <c r="J10" s="9">
        <v>0.0</v>
      </c>
      <c r="K10" s="9">
        <v>0.0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>
      <c r="A11" s="9">
        <v>401.0</v>
      </c>
      <c r="B11" s="9">
        <v>1.0</v>
      </c>
      <c r="C11" s="9">
        <v>7.0</v>
      </c>
      <c r="D11" s="9">
        <v>10115.0</v>
      </c>
      <c r="E11" s="9">
        <v>1.478903143E9</v>
      </c>
      <c r="F11" s="8"/>
      <c r="G11" s="9">
        <v>0.0</v>
      </c>
      <c r="H11" s="9">
        <v>0.0</v>
      </c>
      <c r="I11" s="9" t="s">
        <v>61</v>
      </c>
      <c r="J11" s="9">
        <v>0.0</v>
      </c>
      <c r="K11" s="9">
        <v>0.0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A12" s="9">
        <v>401.0</v>
      </c>
      <c r="B12" s="9">
        <v>3.0</v>
      </c>
      <c r="C12" s="9">
        <v>7.0</v>
      </c>
      <c r="D12" s="9">
        <v>10115.0</v>
      </c>
      <c r="E12" s="9">
        <v>1.478903167E9</v>
      </c>
      <c r="F12" s="8"/>
      <c r="G12" s="9">
        <v>0.0</v>
      </c>
      <c r="H12" s="9">
        <v>1.478903186E9</v>
      </c>
      <c r="I12" s="9">
        <v>0.0</v>
      </c>
      <c r="J12" s="9">
        <v>0.0</v>
      </c>
      <c r="K12" s="9">
        <v>0.0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>
      <c r="A13" s="9">
        <v>401.0</v>
      </c>
      <c r="B13" s="9">
        <v>12.0</v>
      </c>
      <c r="C13" s="9">
        <v>7.0</v>
      </c>
      <c r="D13" s="9">
        <v>10116.0</v>
      </c>
      <c r="E13" s="9">
        <v>1.478906451E9</v>
      </c>
      <c r="F13" s="8"/>
      <c r="G13" s="9">
        <v>0.0</v>
      </c>
      <c r="H13" s="9">
        <v>0.0</v>
      </c>
      <c r="I13" s="9" t="s">
        <v>61</v>
      </c>
      <c r="J13" s="9">
        <v>0.0</v>
      </c>
      <c r="K13" s="9">
        <v>0.0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>
      <c r="A14" s="9">
        <v>401.0</v>
      </c>
      <c r="B14" s="9">
        <v>15.0</v>
      </c>
      <c r="C14" s="9">
        <v>7.0</v>
      </c>
      <c r="D14" s="9">
        <v>10116.0</v>
      </c>
      <c r="E14" s="9">
        <v>1.478906473E9</v>
      </c>
      <c r="F14" s="8"/>
      <c r="G14" s="9">
        <v>0.0</v>
      </c>
      <c r="H14" s="9">
        <v>1.478906495E9</v>
      </c>
      <c r="I14" s="9">
        <v>10.0</v>
      </c>
      <c r="J14" s="9">
        <v>0.0</v>
      </c>
      <c r="K14" s="9">
        <v>0.0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>
      <c r="A15" s="9">
        <v>401.0</v>
      </c>
      <c r="B15" s="9">
        <v>76.0</v>
      </c>
      <c r="C15" s="9">
        <v>7.0</v>
      </c>
      <c r="D15" s="9">
        <v>10116.0</v>
      </c>
      <c r="E15" s="9">
        <v>1.478907073E9</v>
      </c>
      <c r="F15" s="8"/>
      <c r="G15" s="9">
        <v>0.0</v>
      </c>
      <c r="H15" s="9">
        <v>1.478907075E9</v>
      </c>
      <c r="I15" s="9">
        <v>10.0</v>
      </c>
      <c r="J15" s="9">
        <v>0.0</v>
      </c>
      <c r="K15" s="9">
        <v>0.0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>
      <c r="A16" s="9">
        <v>401.0</v>
      </c>
      <c r="B16" s="9">
        <v>34.0</v>
      </c>
      <c r="C16" s="9">
        <v>7.0</v>
      </c>
      <c r="D16" s="9">
        <v>10119.0</v>
      </c>
      <c r="E16" s="9">
        <v>1.478906632E9</v>
      </c>
      <c r="F16" s="8"/>
      <c r="G16" s="9">
        <v>0.0</v>
      </c>
      <c r="H16" s="9">
        <v>1.47890666E9</v>
      </c>
      <c r="I16" s="9">
        <v>0.0</v>
      </c>
      <c r="J16" s="9">
        <v>0.0</v>
      </c>
      <c r="K16" s="9">
        <v>0.0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>
      <c r="A17" s="9">
        <v>401.0</v>
      </c>
      <c r="B17" s="9">
        <v>17.0</v>
      </c>
      <c r="C17" s="9">
        <v>7.0</v>
      </c>
      <c r="D17" s="9">
        <v>10120.0</v>
      </c>
      <c r="E17" s="9">
        <v>1.478906487E9</v>
      </c>
      <c r="F17" s="8"/>
      <c r="G17" s="9">
        <v>0.0</v>
      </c>
      <c r="H17" s="9">
        <v>0.0</v>
      </c>
      <c r="I17" s="9" t="s">
        <v>61</v>
      </c>
      <c r="J17" s="9">
        <v>0.0</v>
      </c>
      <c r="K17" s="9">
        <v>0.0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>
      <c r="A18" s="9">
        <v>401.0</v>
      </c>
      <c r="B18" s="9">
        <v>21.0</v>
      </c>
      <c r="C18" s="9">
        <v>7.0</v>
      </c>
      <c r="D18" s="9">
        <v>10120.0</v>
      </c>
      <c r="E18" s="9">
        <v>1.478906532E9</v>
      </c>
      <c r="F18" s="8"/>
      <c r="G18" s="9">
        <v>0.0</v>
      </c>
      <c r="H18" s="9">
        <v>0.0</v>
      </c>
      <c r="I18" s="9" t="s">
        <v>61</v>
      </c>
      <c r="J18" s="9">
        <v>0.0</v>
      </c>
      <c r="K18" s="9">
        <v>0.0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>
      <c r="A19" s="9">
        <v>401.0</v>
      </c>
      <c r="B19" s="9">
        <v>50.0</v>
      </c>
      <c r="C19" s="9">
        <v>7.0</v>
      </c>
      <c r="D19" s="9">
        <v>10120.0</v>
      </c>
      <c r="E19" s="9">
        <v>1.478906731E9</v>
      </c>
      <c r="F19" s="8"/>
      <c r="G19" s="9">
        <v>0.0</v>
      </c>
      <c r="H19" s="9">
        <v>0.0</v>
      </c>
      <c r="I19" s="9" t="s">
        <v>61</v>
      </c>
      <c r="J19" s="9">
        <v>0.0</v>
      </c>
      <c r="K19" s="9">
        <v>0.0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>
      <c r="A20" s="9">
        <v>401.0</v>
      </c>
      <c r="B20" s="9">
        <v>54.0</v>
      </c>
      <c r="C20" s="9">
        <v>7.0</v>
      </c>
      <c r="D20" s="9">
        <v>10120.0</v>
      </c>
      <c r="E20" s="9">
        <v>1.478906768E9</v>
      </c>
      <c r="F20" s="8"/>
      <c r="G20" s="9">
        <v>0.0</v>
      </c>
      <c r="H20" s="9">
        <v>0.0</v>
      </c>
      <c r="I20" s="9" t="s">
        <v>61</v>
      </c>
      <c r="J20" s="9">
        <v>0.0</v>
      </c>
      <c r="K20" s="9">
        <v>0.0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>
      <c r="A21" s="9">
        <v>401.0</v>
      </c>
      <c r="B21" s="9">
        <v>58.0</v>
      </c>
      <c r="C21" s="9">
        <v>7.0</v>
      </c>
      <c r="D21" s="9">
        <v>10120.0</v>
      </c>
      <c r="E21" s="9">
        <v>1.478906845E9</v>
      </c>
      <c r="F21" s="8"/>
      <c r="G21" s="9">
        <v>0.0</v>
      </c>
      <c r="H21" s="9">
        <v>0.0</v>
      </c>
      <c r="I21" s="9" t="s">
        <v>61</v>
      </c>
      <c r="J21" s="9">
        <v>0.0</v>
      </c>
      <c r="K21" s="9">
        <v>0.0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>
      <c r="A22" s="9">
        <v>401.0</v>
      </c>
      <c r="B22" s="9">
        <v>61.0</v>
      </c>
      <c r="C22" s="9">
        <v>7.0</v>
      </c>
      <c r="D22" s="9">
        <v>10120.0</v>
      </c>
      <c r="E22" s="9">
        <v>1.478906878E9</v>
      </c>
      <c r="F22" s="8"/>
      <c r="G22" s="9">
        <v>0.0</v>
      </c>
      <c r="H22" s="9">
        <v>0.0</v>
      </c>
      <c r="I22" s="9" t="s">
        <v>61</v>
      </c>
      <c r="J22" s="9">
        <v>0.0</v>
      </c>
      <c r="K22" s="9">
        <v>0.0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>
      <c r="A23" s="9">
        <v>401.0</v>
      </c>
      <c r="B23" s="9">
        <v>64.0</v>
      </c>
      <c r="C23" s="9">
        <v>7.0</v>
      </c>
      <c r="D23" s="9">
        <v>10120.0</v>
      </c>
      <c r="E23" s="9">
        <v>1.478906952E9</v>
      </c>
      <c r="F23" s="8"/>
      <c r="G23" s="9">
        <v>0.0</v>
      </c>
      <c r="H23" s="9">
        <v>0.0</v>
      </c>
      <c r="I23" s="9" t="s">
        <v>61</v>
      </c>
      <c r="J23" s="9">
        <v>0.0</v>
      </c>
      <c r="K23" s="9">
        <v>0.0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>
      <c r="A24" s="9">
        <v>401.0</v>
      </c>
      <c r="B24" s="9">
        <v>77.0</v>
      </c>
      <c r="C24" s="9">
        <v>7.0</v>
      </c>
      <c r="D24" s="9">
        <v>10120.0</v>
      </c>
      <c r="E24" s="9">
        <v>1.478907074E9</v>
      </c>
      <c r="F24" s="8"/>
      <c r="G24" s="9">
        <v>0.0</v>
      </c>
      <c r="H24" s="9">
        <v>0.0</v>
      </c>
      <c r="I24" s="9" t="s">
        <v>61</v>
      </c>
      <c r="J24" s="9">
        <v>0.0</v>
      </c>
      <c r="K24" s="9">
        <v>0.0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>
      <c r="A25" s="9">
        <v>401.0</v>
      </c>
      <c r="B25" s="9">
        <v>80.0</v>
      </c>
      <c r="C25" s="9">
        <v>7.0</v>
      </c>
      <c r="D25" s="9">
        <v>10120.0</v>
      </c>
      <c r="E25" s="9">
        <v>1.478907116E9</v>
      </c>
      <c r="F25" s="8"/>
      <c r="G25" s="9">
        <v>0.0</v>
      </c>
      <c r="H25" s="9">
        <v>0.0</v>
      </c>
      <c r="I25" s="9" t="s">
        <v>61</v>
      </c>
      <c r="J25" s="9">
        <v>0.0</v>
      </c>
      <c r="K25" s="9">
        <v>0.0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>
      <c r="A26" s="9">
        <v>401.0</v>
      </c>
      <c r="B26" s="9">
        <v>90.0</v>
      </c>
      <c r="C26" s="9">
        <v>7.0</v>
      </c>
      <c r="D26" s="9">
        <v>10120.0</v>
      </c>
      <c r="E26" s="9">
        <v>1.478907162E9</v>
      </c>
      <c r="F26" s="8"/>
      <c r="G26" s="9">
        <v>0.0</v>
      </c>
      <c r="H26" s="9">
        <v>0.0</v>
      </c>
      <c r="I26" s="9" t="s">
        <v>61</v>
      </c>
      <c r="J26" s="9">
        <v>0.0</v>
      </c>
      <c r="K26" s="9">
        <v>0.0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>
      <c r="A27" s="9">
        <v>401.0</v>
      </c>
      <c r="B27" s="9">
        <v>95.0</v>
      </c>
      <c r="C27" s="9">
        <v>7.0</v>
      </c>
      <c r="D27" s="9">
        <v>10120.0</v>
      </c>
      <c r="E27" s="9">
        <v>1.47890722E9</v>
      </c>
      <c r="F27" s="8"/>
      <c r="G27" s="9">
        <v>0.0</v>
      </c>
      <c r="H27" s="9">
        <v>0.0</v>
      </c>
      <c r="I27" s="9" t="s">
        <v>61</v>
      </c>
      <c r="J27" s="9">
        <v>0.0</v>
      </c>
      <c r="K27" s="9">
        <v>0.0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>
      <c r="A28" s="9">
        <v>401.0</v>
      </c>
      <c r="B28" s="9">
        <v>106.0</v>
      </c>
      <c r="C28" s="9">
        <v>7.0</v>
      </c>
      <c r="D28" s="9">
        <v>10120.0</v>
      </c>
      <c r="E28" s="9">
        <v>1.47890728E9</v>
      </c>
      <c r="F28" s="8"/>
      <c r="G28" s="9">
        <v>0.0</v>
      </c>
      <c r="H28" s="9">
        <v>0.0</v>
      </c>
      <c r="I28" s="9" t="s">
        <v>61</v>
      </c>
      <c r="J28" s="9">
        <v>0.0</v>
      </c>
      <c r="K28" s="9">
        <v>0.0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>
      <c r="A29" s="9">
        <v>401.0</v>
      </c>
      <c r="B29" s="9">
        <v>128.0</v>
      </c>
      <c r="C29" s="9">
        <v>7.0</v>
      </c>
      <c r="D29" s="9">
        <v>10120.0</v>
      </c>
      <c r="E29" s="9">
        <v>1.478907403E9</v>
      </c>
      <c r="F29" s="8"/>
      <c r="G29" s="9">
        <v>0.0</v>
      </c>
      <c r="H29" s="9">
        <v>0.0</v>
      </c>
      <c r="I29" s="9" t="s">
        <v>61</v>
      </c>
      <c r="J29" s="9">
        <v>0.0</v>
      </c>
      <c r="K29" s="9">
        <v>0.0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>
      <c r="A30" s="9">
        <v>401.0</v>
      </c>
      <c r="B30" s="9">
        <v>129.0</v>
      </c>
      <c r="C30" s="9">
        <v>7.0</v>
      </c>
      <c r="D30" s="9">
        <v>10120.0</v>
      </c>
      <c r="E30" s="9">
        <v>1.478907409E9</v>
      </c>
      <c r="F30" s="8"/>
      <c r="G30" s="9">
        <v>0.0</v>
      </c>
      <c r="H30" s="9">
        <v>0.0</v>
      </c>
      <c r="I30" s="9" t="s">
        <v>61</v>
      </c>
      <c r="J30" s="9">
        <v>0.0</v>
      </c>
      <c r="K30" s="9">
        <v>0.0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>
      <c r="A31" s="9">
        <v>401.0</v>
      </c>
      <c r="B31" s="9">
        <v>138.0</v>
      </c>
      <c r="C31" s="9">
        <v>7.0</v>
      </c>
      <c r="D31" s="9">
        <v>10120.0</v>
      </c>
      <c r="E31" s="9">
        <v>1.478907464E9</v>
      </c>
      <c r="F31" s="8"/>
      <c r="G31" s="9">
        <v>0.0</v>
      </c>
      <c r="H31" s="9">
        <v>0.0</v>
      </c>
      <c r="I31" s="9" t="s">
        <v>61</v>
      </c>
      <c r="J31" s="9">
        <v>0.0</v>
      </c>
      <c r="K31" s="9">
        <v>0.0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>
      <c r="A32" s="9">
        <v>401.0</v>
      </c>
      <c r="B32" s="9">
        <v>149.0</v>
      </c>
      <c r="C32" s="9">
        <v>7.0</v>
      </c>
      <c r="D32" s="9">
        <v>10120.0</v>
      </c>
      <c r="E32" s="9">
        <v>1.478907569E9</v>
      </c>
      <c r="F32" s="8"/>
      <c r="G32" s="9">
        <v>0.0</v>
      </c>
      <c r="H32" s="9">
        <v>1.478907589E9</v>
      </c>
      <c r="I32" s="9">
        <v>10.0</v>
      </c>
      <c r="J32" s="9">
        <v>0.0</v>
      </c>
      <c r="K32" s="9">
        <v>0.0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>
      <c r="A33" s="9">
        <v>401.0</v>
      </c>
      <c r="B33" s="9">
        <v>73.0</v>
      </c>
      <c r="C33" s="9">
        <v>7.0</v>
      </c>
      <c r="D33" s="9">
        <v>10121.0</v>
      </c>
      <c r="E33" s="9">
        <v>1.478907053E9</v>
      </c>
      <c r="F33" s="8"/>
      <c r="G33" s="9">
        <v>0.0</v>
      </c>
      <c r="H33" s="9">
        <v>1.478907245E9</v>
      </c>
      <c r="I33" s="9">
        <v>0.0</v>
      </c>
      <c r="J33" s="9">
        <v>0.0</v>
      </c>
      <c r="K33" s="9">
        <v>0.0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>
      <c r="A34" s="9">
        <v>401.0</v>
      </c>
      <c r="B34" s="9">
        <v>104.0</v>
      </c>
      <c r="C34" s="9">
        <v>7.0</v>
      </c>
      <c r="D34" s="9">
        <v>10121.0</v>
      </c>
      <c r="E34" s="9">
        <v>1.478907279E9</v>
      </c>
      <c r="F34" s="8"/>
      <c r="G34" s="9">
        <v>0.0</v>
      </c>
      <c r="H34" s="9">
        <v>1.478907359E9</v>
      </c>
      <c r="I34" s="9">
        <v>0.0</v>
      </c>
      <c r="J34" s="9">
        <v>0.0</v>
      </c>
      <c r="K34" s="9">
        <v>0.0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>
      <c r="A35" s="9">
        <v>401.0</v>
      </c>
      <c r="B35" s="9">
        <v>132.0</v>
      </c>
      <c r="C35" s="9">
        <v>7.0</v>
      </c>
      <c r="D35" s="9">
        <v>10121.0</v>
      </c>
      <c r="E35" s="9">
        <v>1.478907422E9</v>
      </c>
      <c r="F35" s="8"/>
      <c r="G35" s="9">
        <v>0.0</v>
      </c>
      <c r="H35" s="9">
        <v>0.0</v>
      </c>
      <c r="I35" s="9" t="s">
        <v>61</v>
      </c>
      <c r="J35" s="9">
        <v>0.0</v>
      </c>
      <c r="K35" s="9">
        <v>0.0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>
      <c r="A36" s="9">
        <v>401.0</v>
      </c>
      <c r="B36" s="9">
        <v>141.0</v>
      </c>
      <c r="C36" s="9">
        <v>7.0</v>
      </c>
      <c r="D36" s="9">
        <v>10121.0</v>
      </c>
      <c r="E36" s="9">
        <v>1.478907482E9</v>
      </c>
      <c r="F36" s="8"/>
      <c r="G36" s="9">
        <v>0.0</v>
      </c>
      <c r="H36" s="9">
        <v>1.478907512E9</v>
      </c>
      <c r="I36" s="9">
        <v>0.0</v>
      </c>
      <c r="J36" s="9">
        <v>0.0</v>
      </c>
      <c r="K36" s="9">
        <v>0.0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>
      <c r="A37" s="9">
        <v>401.0</v>
      </c>
      <c r="B37" s="9">
        <v>145.0</v>
      </c>
      <c r="C37" s="9">
        <v>7.0</v>
      </c>
      <c r="D37" s="9">
        <v>10121.0</v>
      </c>
      <c r="E37" s="9">
        <v>1.478907531E9</v>
      </c>
      <c r="F37" s="8"/>
      <c r="G37" s="9">
        <v>0.0</v>
      </c>
      <c r="H37" s="9">
        <v>0.0</v>
      </c>
      <c r="I37" s="9" t="s">
        <v>61</v>
      </c>
      <c r="J37" s="9">
        <v>0.0</v>
      </c>
      <c r="K37" s="9">
        <v>0.0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>
      <c r="A38" s="9">
        <v>401.0</v>
      </c>
      <c r="B38" s="9">
        <v>148.0</v>
      </c>
      <c r="C38" s="9">
        <v>7.0</v>
      </c>
      <c r="D38" s="9">
        <v>10121.0</v>
      </c>
      <c r="E38" s="9">
        <v>1.478907564E9</v>
      </c>
      <c r="F38" s="8"/>
      <c r="G38" s="9">
        <v>0.0</v>
      </c>
      <c r="H38" s="9">
        <v>0.0</v>
      </c>
      <c r="I38" s="9" t="s">
        <v>61</v>
      </c>
      <c r="J38" s="9">
        <v>0.0</v>
      </c>
      <c r="K38" s="9">
        <v>0.0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>
      <c r="A39" s="9">
        <v>401.0</v>
      </c>
      <c r="B39" s="9">
        <v>156.0</v>
      </c>
      <c r="C39" s="9">
        <v>7.0</v>
      </c>
      <c r="D39" s="9">
        <v>10121.0</v>
      </c>
      <c r="E39" s="9">
        <v>1.478907613E9</v>
      </c>
      <c r="F39" s="8"/>
      <c r="G39" s="9">
        <v>0.0</v>
      </c>
      <c r="H39" s="9">
        <v>1.478907623E9</v>
      </c>
      <c r="I39" s="9">
        <v>10.0</v>
      </c>
      <c r="J39" s="9">
        <v>0.0</v>
      </c>
      <c r="K39" s="9">
        <v>0.0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>
      <c r="A40" s="9">
        <v>401.0</v>
      </c>
      <c r="B40" s="9">
        <v>218.0</v>
      </c>
      <c r="C40" s="9">
        <v>7.0</v>
      </c>
      <c r="D40" s="9">
        <v>10122.0</v>
      </c>
      <c r="E40" s="9">
        <v>1.47890805E9</v>
      </c>
      <c r="F40" s="8"/>
      <c r="G40" s="9">
        <v>0.0</v>
      </c>
      <c r="H40" s="9">
        <v>1.478908053E9</v>
      </c>
      <c r="I40" s="9">
        <v>0.0</v>
      </c>
      <c r="J40" s="9">
        <v>0.0</v>
      </c>
      <c r="K40" s="9">
        <v>0.0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>
      <c r="A41" s="9">
        <v>401.0</v>
      </c>
      <c r="B41" s="9">
        <v>222.0</v>
      </c>
      <c r="C41" s="9">
        <v>7.0</v>
      </c>
      <c r="D41" s="9">
        <v>10122.0</v>
      </c>
      <c r="E41" s="9">
        <v>1.478908093E9</v>
      </c>
      <c r="F41" s="8"/>
      <c r="G41" s="9">
        <v>0.0</v>
      </c>
      <c r="H41" s="9">
        <v>1.478908097E9</v>
      </c>
      <c r="I41" s="9">
        <v>0.0</v>
      </c>
      <c r="J41" s="9">
        <v>0.0</v>
      </c>
      <c r="K41" s="9">
        <v>0.0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>
      <c r="A42" s="9">
        <v>401.0</v>
      </c>
      <c r="B42" s="9">
        <v>348.0</v>
      </c>
      <c r="C42" s="9">
        <v>7.0</v>
      </c>
      <c r="D42" s="9">
        <v>10122.0</v>
      </c>
      <c r="E42" s="9">
        <v>1.478909105E9</v>
      </c>
      <c r="F42" s="8"/>
      <c r="G42" s="9">
        <v>0.0</v>
      </c>
      <c r="H42" s="9">
        <v>1.478909163E9</v>
      </c>
      <c r="I42" s="9">
        <v>0.0</v>
      </c>
      <c r="J42" s="9">
        <v>0.0</v>
      </c>
      <c r="K42" s="9">
        <v>0.0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>
      <c r="A43" s="9">
        <v>401.0</v>
      </c>
      <c r="B43" s="9">
        <v>357.0</v>
      </c>
      <c r="C43" s="9">
        <v>7.0</v>
      </c>
      <c r="D43" s="9">
        <v>10122.0</v>
      </c>
      <c r="E43" s="9">
        <v>1.478909212E9</v>
      </c>
      <c r="F43" s="8"/>
      <c r="G43" s="9">
        <v>0.0</v>
      </c>
      <c r="H43" s="9">
        <v>0.0</v>
      </c>
      <c r="I43" s="9" t="s">
        <v>61</v>
      </c>
      <c r="J43" s="9">
        <v>0.0</v>
      </c>
      <c r="K43" s="9">
        <v>0.0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>
      <c r="A44" s="9">
        <v>401.0</v>
      </c>
      <c r="B44" s="9">
        <v>359.0</v>
      </c>
      <c r="C44" s="9">
        <v>7.0</v>
      </c>
      <c r="D44" s="9">
        <v>10122.0</v>
      </c>
      <c r="E44" s="9">
        <v>1.478909232E9</v>
      </c>
      <c r="F44" s="8"/>
      <c r="G44" s="9">
        <v>0.0</v>
      </c>
      <c r="H44" s="9">
        <v>1.47890924E9</v>
      </c>
      <c r="I44" s="9">
        <v>10.0</v>
      </c>
      <c r="J44" s="9">
        <v>0.0</v>
      </c>
      <c r="K44" s="9">
        <v>0.0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>
      <c r="A45" s="9">
        <v>401.0</v>
      </c>
      <c r="B45" s="9">
        <v>14.0</v>
      </c>
      <c r="C45" s="9">
        <v>7.0</v>
      </c>
      <c r="D45" s="9">
        <v>10123.0</v>
      </c>
      <c r="E45" s="9">
        <v>1.478906472E9</v>
      </c>
      <c r="F45" s="8"/>
      <c r="G45" s="9">
        <v>0.0</v>
      </c>
      <c r="H45" s="9">
        <v>1.478906484E9</v>
      </c>
      <c r="I45" s="9">
        <v>0.0</v>
      </c>
      <c r="J45" s="9">
        <v>0.0</v>
      </c>
      <c r="K45" s="9">
        <v>0.0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>
      <c r="A46" s="9">
        <v>401.0</v>
      </c>
      <c r="B46" s="9">
        <v>18.0</v>
      </c>
      <c r="C46" s="9">
        <v>7.0</v>
      </c>
      <c r="D46" s="9">
        <v>10123.0</v>
      </c>
      <c r="E46" s="9">
        <v>1.478906507E9</v>
      </c>
      <c r="F46" s="8"/>
      <c r="G46" s="9">
        <v>0.0</v>
      </c>
      <c r="H46" s="9">
        <v>1.478906509E9</v>
      </c>
      <c r="I46" s="9">
        <v>0.0</v>
      </c>
      <c r="J46" s="9">
        <v>0.0</v>
      </c>
      <c r="K46" s="9">
        <v>0.0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>
      <c r="A47" s="9">
        <v>401.0</v>
      </c>
      <c r="B47" s="9">
        <v>24.0</v>
      </c>
      <c r="C47" s="9">
        <v>7.0</v>
      </c>
      <c r="D47" s="9">
        <v>10123.0</v>
      </c>
      <c r="E47" s="9">
        <v>1.478906563E9</v>
      </c>
      <c r="F47" s="8"/>
      <c r="G47" s="9">
        <v>0.0</v>
      </c>
      <c r="H47" s="9">
        <v>1.478906565E9</v>
      </c>
      <c r="I47" s="9">
        <v>0.0</v>
      </c>
      <c r="J47" s="9">
        <v>0.0</v>
      </c>
      <c r="K47" s="9">
        <v>0.0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>
      <c r="A48" s="9">
        <v>401.0</v>
      </c>
      <c r="B48" s="9">
        <v>32.0</v>
      </c>
      <c r="C48" s="9">
        <v>7.0</v>
      </c>
      <c r="D48" s="9">
        <v>10123.0</v>
      </c>
      <c r="E48" s="9">
        <v>1.478906621E9</v>
      </c>
      <c r="F48" s="8"/>
      <c r="G48" s="9">
        <v>0.0</v>
      </c>
      <c r="H48" s="9">
        <v>1.478906623E9</v>
      </c>
      <c r="I48" s="9">
        <v>0.0</v>
      </c>
      <c r="J48" s="9">
        <v>0.0</v>
      </c>
      <c r="K48" s="9">
        <v>0.0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>
      <c r="A49" s="9">
        <v>401.0</v>
      </c>
      <c r="B49" s="9">
        <v>38.0</v>
      </c>
      <c r="C49" s="9">
        <v>7.0</v>
      </c>
      <c r="D49" s="9">
        <v>10123.0</v>
      </c>
      <c r="E49" s="9">
        <v>1.478906675E9</v>
      </c>
      <c r="F49" s="8"/>
      <c r="G49" s="9">
        <v>0.0</v>
      </c>
      <c r="H49" s="9">
        <v>1.478906677E9</v>
      </c>
      <c r="I49" s="9">
        <v>0.0</v>
      </c>
      <c r="J49" s="9">
        <v>0.0</v>
      </c>
      <c r="K49" s="9">
        <v>0.0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>
      <c r="A50" s="9">
        <v>401.0</v>
      </c>
      <c r="B50" s="9">
        <v>44.0</v>
      </c>
      <c r="C50" s="9">
        <v>7.0</v>
      </c>
      <c r="D50" s="9">
        <v>10123.0</v>
      </c>
      <c r="E50" s="9">
        <v>1.478906705E9</v>
      </c>
      <c r="F50" s="8"/>
      <c r="G50" s="9">
        <v>0.0</v>
      </c>
      <c r="H50" s="9">
        <v>1.478906741E9</v>
      </c>
      <c r="I50" s="9">
        <v>0.0</v>
      </c>
      <c r="J50" s="9">
        <v>0.0</v>
      </c>
      <c r="K50" s="9">
        <v>0.0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>
      <c r="A51" s="9">
        <v>401.0</v>
      </c>
      <c r="B51" s="9">
        <v>55.0</v>
      </c>
      <c r="C51" s="9">
        <v>7.0</v>
      </c>
      <c r="D51" s="9">
        <v>10123.0</v>
      </c>
      <c r="E51" s="9">
        <v>1.478906783E9</v>
      </c>
      <c r="F51" s="8"/>
      <c r="G51" s="9">
        <v>0.0</v>
      </c>
      <c r="H51" s="9">
        <v>1.478906785E9</v>
      </c>
      <c r="I51" s="9">
        <v>10.0</v>
      </c>
      <c r="J51" s="9">
        <v>0.0</v>
      </c>
      <c r="K51" s="9">
        <v>0.0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>
      <c r="A52" s="9">
        <v>401.0</v>
      </c>
      <c r="B52" s="9">
        <v>10.0</v>
      </c>
      <c r="C52" s="9">
        <v>7.0</v>
      </c>
      <c r="D52" s="9">
        <v>10125.0</v>
      </c>
      <c r="E52" s="9">
        <v>1.478906411E9</v>
      </c>
      <c r="F52" s="8"/>
      <c r="G52" s="9">
        <v>0.0</v>
      </c>
      <c r="H52" s="9">
        <v>1.478906418E9</v>
      </c>
      <c r="I52" s="9">
        <v>0.0</v>
      </c>
      <c r="J52" s="9">
        <v>0.0</v>
      </c>
      <c r="K52" s="9">
        <v>0.0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>
      <c r="A53" s="9">
        <v>401.0</v>
      </c>
      <c r="B53" s="9">
        <v>13.0</v>
      </c>
      <c r="C53" s="9">
        <v>7.0</v>
      </c>
      <c r="D53" s="9">
        <v>10125.0</v>
      </c>
      <c r="E53" s="9">
        <v>1.478906466E9</v>
      </c>
      <c r="F53" s="8"/>
      <c r="G53" s="9">
        <v>0.0</v>
      </c>
      <c r="H53" s="9">
        <v>0.0</v>
      </c>
      <c r="I53" s="9" t="s">
        <v>61</v>
      </c>
      <c r="J53" s="9">
        <v>0.0</v>
      </c>
      <c r="K53" s="9">
        <v>0.0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>
      <c r="A54" s="9">
        <v>401.0</v>
      </c>
      <c r="B54" s="9">
        <v>20.0</v>
      </c>
      <c r="C54" s="9">
        <v>7.0</v>
      </c>
      <c r="D54" s="9">
        <v>10125.0</v>
      </c>
      <c r="E54" s="9">
        <v>1.478906524E9</v>
      </c>
      <c r="F54" s="8"/>
      <c r="G54" s="9">
        <v>0.0</v>
      </c>
      <c r="H54" s="9">
        <v>0.0</v>
      </c>
      <c r="I54" s="9" t="s">
        <v>61</v>
      </c>
      <c r="J54" s="9">
        <v>0.0</v>
      </c>
      <c r="K54" s="9">
        <v>0.0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>
      <c r="A55" s="9">
        <v>401.0</v>
      </c>
      <c r="B55" s="9">
        <v>26.0</v>
      </c>
      <c r="C55" s="9">
        <v>7.0</v>
      </c>
      <c r="D55" s="9">
        <v>10125.0</v>
      </c>
      <c r="E55" s="9">
        <v>1.478906579E9</v>
      </c>
      <c r="F55" s="8"/>
      <c r="G55" s="9">
        <v>0.0</v>
      </c>
      <c r="H55" s="9">
        <v>1.478906604E9</v>
      </c>
      <c r="I55" s="9">
        <v>0.0</v>
      </c>
      <c r="J55" s="9">
        <v>0.0</v>
      </c>
      <c r="K55" s="9">
        <v>0.0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>
      <c r="A56" s="9">
        <v>401.0</v>
      </c>
      <c r="B56" s="9">
        <v>31.0</v>
      </c>
      <c r="C56" s="9">
        <v>7.0</v>
      </c>
      <c r="D56" s="9">
        <v>10125.0</v>
      </c>
      <c r="E56" s="9">
        <v>1.478906614E9</v>
      </c>
      <c r="F56" s="8"/>
      <c r="G56" s="9">
        <v>0.0</v>
      </c>
      <c r="H56" s="9">
        <v>1.478906632E9</v>
      </c>
      <c r="I56" s="9">
        <v>0.0</v>
      </c>
      <c r="J56" s="9">
        <v>0.0</v>
      </c>
      <c r="K56" s="9">
        <v>0.0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>
      <c r="A57" s="9">
        <v>401.0</v>
      </c>
      <c r="B57" s="9">
        <v>40.0</v>
      </c>
      <c r="C57" s="9">
        <v>7.0</v>
      </c>
      <c r="D57" s="9">
        <v>10125.0</v>
      </c>
      <c r="E57" s="9">
        <v>1.478906681E9</v>
      </c>
      <c r="F57" s="8"/>
      <c r="G57" s="9">
        <v>0.0</v>
      </c>
      <c r="H57" s="9">
        <v>0.0</v>
      </c>
      <c r="I57" s="9" t="s">
        <v>61</v>
      </c>
      <c r="J57" s="9">
        <v>0.0</v>
      </c>
      <c r="K57" s="9">
        <v>0.0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>
      <c r="A58" s="9">
        <v>401.0</v>
      </c>
      <c r="B58" s="9">
        <v>49.0</v>
      </c>
      <c r="C58" s="9">
        <v>7.0</v>
      </c>
      <c r="D58" s="9">
        <v>10125.0</v>
      </c>
      <c r="E58" s="9">
        <v>1.47890673E9</v>
      </c>
      <c r="F58" s="8"/>
      <c r="G58" s="9">
        <v>0.0</v>
      </c>
      <c r="H58" s="9">
        <v>0.0</v>
      </c>
      <c r="I58" s="9" t="s">
        <v>61</v>
      </c>
      <c r="J58" s="9">
        <v>0.0</v>
      </c>
      <c r="K58" s="9">
        <v>0.0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>
      <c r="A59" s="9">
        <v>401.0</v>
      </c>
      <c r="B59" s="9">
        <v>53.0</v>
      </c>
      <c r="C59" s="9">
        <v>7.0</v>
      </c>
      <c r="D59" s="9">
        <v>10125.0</v>
      </c>
      <c r="E59" s="9">
        <v>1.478906766E9</v>
      </c>
      <c r="F59" s="8"/>
      <c r="G59" s="9">
        <v>0.0</v>
      </c>
      <c r="H59" s="9">
        <v>1.478906776E9</v>
      </c>
      <c r="I59" s="9">
        <v>10.0</v>
      </c>
      <c r="J59" s="9">
        <v>0.0</v>
      </c>
      <c r="K59" s="9">
        <v>0.0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>
      <c r="A60" s="9">
        <v>401.0</v>
      </c>
      <c r="B60" s="9">
        <v>72.0</v>
      </c>
      <c r="C60" s="9">
        <v>7.0</v>
      </c>
      <c r="D60" s="9">
        <v>10126.0</v>
      </c>
      <c r="E60" s="9">
        <v>1.478907053E9</v>
      </c>
      <c r="F60" s="8"/>
      <c r="G60" s="9">
        <v>0.0</v>
      </c>
      <c r="H60" s="9">
        <v>0.0</v>
      </c>
      <c r="I60" s="9" t="s">
        <v>61</v>
      </c>
      <c r="J60" s="9">
        <v>0.0</v>
      </c>
      <c r="K60" s="9">
        <v>0.0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>
      <c r="A61" s="9">
        <v>401.0</v>
      </c>
      <c r="B61" s="9">
        <v>78.0</v>
      </c>
      <c r="C61" s="9">
        <v>7.0</v>
      </c>
      <c r="D61" s="9">
        <v>10126.0</v>
      </c>
      <c r="E61" s="9">
        <v>1.478907081E9</v>
      </c>
      <c r="F61" s="8"/>
      <c r="G61" s="9">
        <v>0.0</v>
      </c>
      <c r="H61" s="9">
        <v>0.0</v>
      </c>
      <c r="I61" s="9" t="s">
        <v>61</v>
      </c>
      <c r="J61" s="9">
        <v>0.0</v>
      </c>
      <c r="K61" s="9">
        <v>0.0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>
      <c r="A62" s="9">
        <v>401.0</v>
      </c>
      <c r="B62" s="9">
        <v>81.0</v>
      </c>
      <c r="C62" s="9">
        <v>7.0</v>
      </c>
      <c r="D62" s="9">
        <v>10126.0</v>
      </c>
      <c r="E62" s="9">
        <v>1.478907124E9</v>
      </c>
      <c r="F62" s="8"/>
      <c r="G62" s="9">
        <v>0.0</v>
      </c>
      <c r="H62" s="9">
        <v>0.0</v>
      </c>
      <c r="I62" s="9" t="s">
        <v>61</v>
      </c>
      <c r="J62" s="9">
        <v>0.0</v>
      </c>
      <c r="K62" s="9">
        <v>0.0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>
      <c r="A63" s="9">
        <v>401.0</v>
      </c>
      <c r="B63" s="9">
        <v>88.0</v>
      </c>
      <c r="C63" s="9">
        <v>7.0</v>
      </c>
      <c r="D63" s="9">
        <v>10126.0</v>
      </c>
      <c r="E63" s="9">
        <v>1.478907156E9</v>
      </c>
      <c r="F63" s="8"/>
      <c r="G63" s="9">
        <v>0.0</v>
      </c>
      <c r="H63" s="9">
        <v>0.0</v>
      </c>
      <c r="I63" s="9" t="s">
        <v>61</v>
      </c>
      <c r="J63" s="9">
        <v>0.0</v>
      </c>
      <c r="K63" s="9">
        <v>0.0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>
      <c r="A64" s="9">
        <v>401.0</v>
      </c>
      <c r="B64" s="9">
        <v>103.0</v>
      </c>
      <c r="C64" s="9">
        <v>7.0</v>
      </c>
      <c r="D64" s="9">
        <v>10126.0</v>
      </c>
      <c r="E64" s="9">
        <v>1.47890727E9</v>
      </c>
      <c r="F64" s="8"/>
      <c r="G64" s="9">
        <v>0.0</v>
      </c>
      <c r="H64" s="9">
        <v>0.0</v>
      </c>
      <c r="I64" s="9" t="s">
        <v>61</v>
      </c>
      <c r="J64" s="9">
        <v>0.0</v>
      </c>
      <c r="K64" s="9">
        <v>0.0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>
      <c r="A65" s="9">
        <v>401.0</v>
      </c>
      <c r="B65" s="9">
        <v>127.0</v>
      </c>
      <c r="C65" s="9">
        <v>7.0</v>
      </c>
      <c r="D65" s="9">
        <v>10126.0</v>
      </c>
      <c r="E65" s="9">
        <v>1.4789074E9</v>
      </c>
      <c r="F65" s="8"/>
      <c r="G65" s="9">
        <v>0.0</v>
      </c>
      <c r="H65" s="9">
        <v>0.0</v>
      </c>
      <c r="I65" s="9" t="s">
        <v>61</v>
      </c>
      <c r="J65" s="9">
        <v>0.0</v>
      </c>
      <c r="K65" s="9">
        <v>0.0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>
      <c r="A66" s="9">
        <v>401.0</v>
      </c>
      <c r="B66" s="9">
        <v>161.0</v>
      </c>
      <c r="C66" s="9">
        <v>7.0</v>
      </c>
      <c r="D66" s="9">
        <v>10126.0</v>
      </c>
      <c r="E66" s="9">
        <v>1.478907628E9</v>
      </c>
      <c r="F66" s="8"/>
      <c r="G66" s="9">
        <v>0.0</v>
      </c>
      <c r="H66" s="9">
        <v>1.478907644E9</v>
      </c>
      <c r="I66" s="9">
        <v>10.0</v>
      </c>
      <c r="J66" s="9">
        <v>0.0</v>
      </c>
      <c r="K66" s="9">
        <v>0.0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>
      <c r="A67" s="9">
        <v>401.0</v>
      </c>
      <c r="B67" s="9">
        <v>82.0</v>
      </c>
      <c r="C67" s="9">
        <v>7.0</v>
      </c>
      <c r="D67" s="9">
        <v>10127.0</v>
      </c>
      <c r="E67" s="9">
        <v>1.47890713E9</v>
      </c>
      <c r="F67" s="8"/>
      <c r="G67" s="9">
        <v>0.0</v>
      </c>
      <c r="H67" s="9">
        <v>1.47890714E9</v>
      </c>
      <c r="I67" s="9">
        <v>0.0</v>
      </c>
      <c r="J67" s="9">
        <v>0.0</v>
      </c>
      <c r="K67" s="9">
        <v>0.0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>
      <c r="A68" s="9">
        <v>401.0</v>
      </c>
      <c r="B68" s="9">
        <v>94.0</v>
      </c>
      <c r="C68" s="9">
        <v>7.0</v>
      </c>
      <c r="D68" s="9">
        <v>10127.0</v>
      </c>
      <c r="E68" s="9">
        <v>1.478907218E9</v>
      </c>
      <c r="F68" s="8"/>
      <c r="G68" s="9">
        <v>0.0</v>
      </c>
      <c r="H68" s="9">
        <v>1.478907243E9</v>
      </c>
      <c r="I68" s="9">
        <v>0.0</v>
      </c>
      <c r="J68" s="9">
        <v>0.0</v>
      </c>
      <c r="K68" s="9">
        <v>0.0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>
      <c r="A69" s="9">
        <v>401.0</v>
      </c>
      <c r="B69" s="9">
        <v>110.0</v>
      </c>
      <c r="C69" s="9">
        <v>7.0</v>
      </c>
      <c r="D69" s="9">
        <v>10127.0</v>
      </c>
      <c r="E69" s="9">
        <v>1.478907304E9</v>
      </c>
      <c r="F69" s="8"/>
      <c r="G69" s="9">
        <v>0.0</v>
      </c>
      <c r="H69" s="9">
        <v>1.478907316E9</v>
      </c>
      <c r="I69" s="9">
        <v>0.0</v>
      </c>
      <c r="J69" s="9">
        <v>0.0</v>
      </c>
      <c r="K69" s="9">
        <v>0.0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>
      <c r="A70" s="9">
        <v>401.0</v>
      </c>
      <c r="B70" s="9">
        <v>124.0</v>
      </c>
      <c r="C70" s="9">
        <v>7.0</v>
      </c>
      <c r="D70" s="9">
        <v>10127.0</v>
      </c>
      <c r="E70" s="9">
        <v>1.478907371E9</v>
      </c>
      <c r="F70" s="8"/>
      <c r="G70" s="9">
        <v>0.0</v>
      </c>
      <c r="H70" s="9">
        <v>0.0</v>
      </c>
      <c r="I70" s="9" t="s">
        <v>61</v>
      </c>
      <c r="J70" s="9">
        <v>0.0</v>
      </c>
      <c r="K70" s="9">
        <v>0.0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>
      <c r="A71" s="9">
        <v>401.0</v>
      </c>
      <c r="B71" s="9">
        <v>135.0</v>
      </c>
      <c r="C71" s="9">
        <v>7.0</v>
      </c>
      <c r="D71" s="9">
        <v>10127.0</v>
      </c>
      <c r="E71" s="9">
        <v>1.478907445E9</v>
      </c>
      <c r="F71" s="8"/>
      <c r="G71" s="9">
        <v>0.0</v>
      </c>
      <c r="H71" s="9">
        <v>1.478907488E9</v>
      </c>
      <c r="I71" s="9">
        <v>0.0</v>
      </c>
      <c r="J71" s="9">
        <v>0.0</v>
      </c>
      <c r="K71" s="9">
        <v>0.0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>
      <c r="A72" s="9">
        <v>401.0</v>
      </c>
      <c r="B72" s="9">
        <v>147.0</v>
      </c>
      <c r="C72" s="9">
        <v>7.0</v>
      </c>
      <c r="D72" s="9">
        <v>10127.0</v>
      </c>
      <c r="E72" s="9">
        <v>1.478907551E9</v>
      </c>
      <c r="F72" s="8"/>
      <c r="G72" s="9">
        <v>0.0</v>
      </c>
      <c r="H72" s="9">
        <v>0.0</v>
      </c>
      <c r="I72" s="9" t="s">
        <v>61</v>
      </c>
      <c r="J72" s="9">
        <v>0.0</v>
      </c>
      <c r="K72" s="9">
        <v>0.0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>
      <c r="A73" s="9">
        <v>401.0</v>
      </c>
      <c r="B73" s="9">
        <v>152.0</v>
      </c>
      <c r="C73" s="9">
        <v>7.0</v>
      </c>
      <c r="D73" s="9">
        <v>10127.0</v>
      </c>
      <c r="E73" s="9">
        <v>1.478907582E9</v>
      </c>
      <c r="F73" s="8"/>
      <c r="G73" s="9">
        <v>0.0</v>
      </c>
      <c r="H73" s="9">
        <v>0.0</v>
      </c>
      <c r="I73" s="9" t="s">
        <v>61</v>
      </c>
      <c r="J73" s="9">
        <v>0.0</v>
      </c>
      <c r="K73" s="9">
        <v>0.0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>
      <c r="A74" s="9">
        <v>401.0</v>
      </c>
      <c r="B74" s="9">
        <v>163.0</v>
      </c>
      <c r="C74" s="9">
        <v>7.0</v>
      </c>
      <c r="D74" s="9">
        <v>10127.0</v>
      </c>
      <c r="E74" s="9">
        <v>1.47890764E9</v>
      </c>
      <c r="F74" s="8"/>
      <c r="G74" s="9">
        <v>0.0</v>
      </c>
      <c r="H74" s="9">
        <v>0.0</v>
      </c>
      <c r="I74" s="9" t="s">
        <v>61</v>
      </c>
      <c r="J74" s="9">
        <v>0.0</v>
      </c>
      <c r="K74" s="9">
        <v>0.0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>
      <c r="A75" s="9">
        <v>401.0</v>
      </c>
      <c r="B75" s="9">
        <v>169.0</v>
      </c>
      <c r="C75" s="9">
        <v>7.0</v>
      </c>
      <c r="D75" s="9">
        <v>10127.0</v>
      </c>
      <c r="E75" s="9">
        <v>1.478907689E9</v>
      </c>
      <c r="F75" s="8"/>
      <c r="G75" s="9">
        <v>0.0</v>
      </c>
      <c r="H75" s="9">
        <v>1.478907722E9</v>
      </c>
      <c r="I75" s="9">
        <v>10.0</v>
      </c>
      <c r="J75" s="9">
        <v>0.0</v>
      </c>
      <c r="K75" s="9">
        <v>0.0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>
      <c r="A76" s="9">
        <v>401.0</v>
      </c>
      <c r="B76" s="9">
        <v>8.0</v>
      </c>
      <c r="C76" s="9">
        <v>7.0</v>
      </c>
      <c r="D76" s="9">
        <v>10128.0</v>
      </c>
      <c r="E76" s="9">
        <v>1.478906295E9</v>
      </c>
      <c r="F76" s="8"/>
      <c r="G76" s="9">
        <v>0.0</v>
      </c>
      <c r="H76" s="9">
        <v>1.47890633E9</v>
      </c>
      <c r="I76" s="9">
        <v>0.0</v>
      </c>
      <c r="J76" s="9">
        <v>0.0</v>
      </c>
      <c r="K76" s="9">
        <v>0.0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>
      <c r="A77" s="9">
        <v>401.0</v>
      </c>
      <c r="B77" s="9">
        <v>9.0</v>
      </c>
      <c r="C77" s="9">
        <v>7.0</v>
      </c>
      <c r="D77" s="9">
        <v>10128.0</v>
      </c>
      <c r="E77" s="9">
        <v>1.478906373E9</v>
      </c>
      <c r="F77" s="8"/>
      <c r="G77" s="9">
        <v>0.0</v>
      </c>
      <c r="H77" s="9">
        <v>0.0</v>
      </c>
      <c r="I77" s="9" t="s">
        <v>61</v>
      </c>
      <c r="J77" s="9">
        <v>0.0</v>
      </c>
      <c r="K77" s="9">
        <v>0.0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>
      <c r="A78" s="9">
        <v>401.0</v>
      </c>
      <c r="B78" s="9">
        <v>22.0</v>
      </c>
      <c r="C78" s="9">
        <v>7.0</v>
      </c>
      <c r="D78" s="9">
        <v>10128.0</v>
      </c>
      <c r="E78" s="9">
        <v>1.478906546E9</v>
      </c>
      <c r="F78" s="8"/>
      <c r="G78" s="9">
        <v>0.0</v>
      </c>
      <c r="H78" s="9">
        <v>1.478906552E9</v>
      </c>
      <c r="I78" s="9">
        <v>10.0</v>
      </c>
      <c r="J78" s="9">
        <v>0.0</v>
      </c>
      <c r="K78" s="9">
        <v>0.0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>
      <c r="A79" s="9">
        <v>401.0</v>
      </c>
      <c r="B79" s="9">
        <v>102.0</v>
      </c>
      <c r="C79" s="9">
        <v>7.0</v>
      </c>
      <c r="D79" s="9">
        <v>10129.0</v>
      </c>
      <c r="E79" s="9">
        <v>1.478907265E9</v>
      </c>
      <c r="F79" s="8"/>
      <c r="G79" s="9">
        <v>0.0</v>
      </c>
      <c r="H79" s="9">
        <v>0.0</v>
      </c>
      <c r="I79" s="9" t="s">
        <v>61</v>
      </c>
      <c r="J79" s="9">
        <v>0.0</v>
      </c>
      <c r="K79" s="9">
        <v>0.0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>
      <c r="A80" s="9">
        <v>401.0</v>
      </c>
      <c r="B80" s="9">
        <v>108.0</v>
      </c>
      <c r="C80" s="9">
        <v>7.0</v>
      </c>
      <c r="D80" s="9">
        <v>10129.0</v>
      </c>
      <c r="E80" s="9">
        <v>1.478907291E9</v>
      </c>
      <c r="F80" s="8"/>
      <c r="G80" s="9">
        <v>0.0</v>
      </c>
      <c r="H80" s="9">
        <v>1.478907311E9</v>
      </c>
      <c r="I80" s="9">
        <v>0.0</v>
      </c>
      <c r="J80" s="9">
        <v>0.0</v>
      </c>
      <c r="K80" s="9">
        <v>0.0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>
      <c r="A81" s="9">
        <v>401.0</v>
      </c>
      <c r="B81" s="9">
        <v>794.0</v>
      </c>
      <c r="C81" s="9">
        <v>7.0</v>
      </c>
      <c r="D81" s="9">
        <v>10129.0</v>
      </c>
      <c r="E81" s="9">
        <v>1.479344695E9</v>
      </c>
      <c r="F81" s="8"/>
      <c r="G81" s="9">
        <v>0.0</v>
      </c>
      <c r="H81" s="9">
        <v>1.479344735E9</v>
      </c>
      <c r="I81" s="9">
        <v>0.0</v>
      </c>
      <c r="J81" s="9">
        <v>0.0</v>
      </c>
      <c r="K81" s="9">
        <v>0.0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>
      <c r="A82" s="9">
        <v>401.0</v>
      </c>
      <c r="B82" s="9">
        <v>184.0</v>
      </c>
      <c r="C82" s="9">
        <v>7.0</v>
      </c>
      <c r="D82" s="9">
        <v>10130.0</v>
      </c>
      <c r="E82" s="9">
        <v>1.478907779E9</v>
      </c>
      <c r="F82" s="8"/>
      <c r="G82" s="9">
        <v>0.0</v>
      </c>
      <c r="H82" s="9">
        <v>1.478907932E9</v>
      </c>
      <c r="I82" s="9">
        <v>10.0</v>
      </c>
      <c r="J82" s="9">
        <v>0.0</v>
      </c>
      <c r="K82" s="9">
        <v>0.0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>
      <c r="A83" s="9">
        <v>401.0</v>
      </c>
      <c r="B83" s="9">
        <v>173.0</v>
      </c>
      <c r="C83" s="9">
        <v>7.0</v>
      </c>
      <c r="D83" s="9">
        <v>10132.0</v>
      </c>
      <c r="E83" s="9">
        <v>1.478907704E9</v>
      </c>
      <c r="F83" s="8"/>
      <c r="G83" s="9">
        <v>0.0</v>
      </c>
      <c r="H83" s="9">
        <v>1.478907735E9</v>
      </c>
      <c r="I83" s="9">
        <v>0.0</v>
      </c>
      <c r="J83" s="9">
        <v>0.0</v>
      </c>
      <c r="K83" s="9">
        <v>0.0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>
      <c r="A84" s="9">
        <v>401.0</v>
      </c>
      <c r="B84" s="9">
        <v>217.0</v>
      </c>
      <c r="C84" s="9">
        <v>7.0</v>
      </c>
      <c r="D84" s="9">
        <v>10132.0</v>
      </c>
      <c r="E84" s="9">
        <v>1.478908036E9</v>
      </c>
      <c r="F84" s="8"/>
      <c r="G84" s="9">
        <v>0.0</v>
      </c>
      <c r="H84" s="9">
        <v>1.478908087E9</v>
      </c>
      <c r="I84" s="9">
        <v>0.0</v>
      </c>
      <c r="J84" s="9">
        <v>0.0</v>
      </c>
      <c r="K84" s="9">
        <v>0.0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>
      <c r="A85" s="9">
        <v>401.0</v>
      </c>
      <c r="B85" s="9">
        <v>225.0</v>
      </c>
      <c r="C85" s="9">
        <v>7.0</v>
      </c>
      <c r="D85" s="9">
        <v>10132.0</v>
      </c>
      <c r="E85" s="9">
        <v>1.478908146E9</v>
      </c>
      <c r="F85" s="8"/>
      <c r="G85" s="9">
        <v>0.0</v>
      </c>
      <c r="H85" s="9">
        <v>1.478908197E9</v>
      </c>
      <c r="I85" s="9">
        <v>0.0</v>
      </c>
      <c r="J85" s="9">
        <v>0.0</v>
      </c>
      <c r="K85" s="9">
        <v>0.0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>
      <c r="A86" s="9">
        <v>401.0</v>
      </c>
      <c r="B86" s="9">
        <v>215.0</v>
      </c>
      <c r="C86" s="9">
        <v>7.0</v>
      </c>
      <c r="D86" s="9">
        <v>10133.0</v>
      </c>
      <c r="E86" s="9">
        <v>1.47890803E9</v>
      </c>
      <c r="F86" s="8"/>
      <c r="G86" s="9">
        <v>0.0</v>
      </c>
      <c r="H86" s="9">
        <v>0.0</v>
      </c>
      <c r="I86" s="9" t="s">
        <v>61</v>
      </c>
      <c r="J86" s="9">
        <v>0.0</v>
      </c>
      <c r="K86" s="9">
        <v>0.0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>
      <c r="A87" s="9">
        <v>401.0</v>
      </c>
      <c r="B87" s="9">
        <v>253.0</v>
      </c>
      <c r="C87" s="9">
        <v>7.0</v>
      </c>
      <c r="D87" s="9">
        <v>10133.0</v>
      </c>
      <c r="E87" s="9">
        <v>1.478908343E9</v>
      </c>
      <c r="F87" s="8"/>
      <c r="G87" s="9">
        <v>0.0</v>
      </c>
      <c r="H87" s="9">
        <v>0.0</v>
      </c>
      <c r="I87" s="9" t="s">
        <v>61</v>
      </c>
      <c r="J87" s="9">
        <v>0.0</v>
      </c>
      <c r="K87" s="9">
        <v>0.0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>
      <c r="A88" s="9">
        <v>401.0</v>
      </c>
      <c r="B88" s="9">
        <v>279.0</v>
      </c>
      <c r="C88" s="9">
        <v>7.0</v>
      </c>
      <c r="D88" s="9">
        <v>10133.0</v>
      </c>
      <c r="E88" s="9">
        <v>1.478908482E9</v>
      </c>
      <c r="F88" s="8"/>
      <c r="G88" s="9">
        <v>0.0</v>
      </c>
      <c r="H88" s="9">
        <v>1.47890854E9</v>
      </c>
      <c r="I88" s="9">
        <v>0.0</v>
      </c>
      <c r="J88" s="9">
        <v>0.0</v>
      </c>
      <c r="K88" s="9">
        <v>0.0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>
      <c r="A89" s="9">
        <v>401.0</v>
      </c>
      <c r="B89" s="9">
        <v>304.0</v>
      </c>
      <c r="C89" s="9">
        <v>7.0</v>
      </c>
      <c r="D89" s="9">
        <v>10133.0</v>
      </c>
      <c r="E89" s="9">
        <v>1.478908676E9</v>
      </c>
      <c r="F89" s="8"/>
      <c r="G89" s="9">
        <v>0.0</v>
      </c>
      <c r="H89" s="9">
        <v>1.478908685E9</v>
      </c>
      <c r="I89" s="9">
        <v>0.0</v>
      </c>
      <c r="J89" s="9">
        <v>0.0</v>
      </c>
      <c r="K89" s="9">
        <v>0.0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>
      <c r="A90" s="9">
        <v>401.0</v>
      </c>
      <c r="B90" s="9">
        <v>307.0</v>
      </c>
      <c r="C90" s="9">
        <v>7.0</v>
      </c>
      <c r="D90" s="9">
        <v>10133.0</v>
      </c>
      <c r="E90" s="9">
        <v>1.478908695E9</v>
      </c>
      <c r="F90" s="8"/>
      <c r="G90" s="9">
        <v>0.0</v>
      </c>
      <c r="H90" s="9">
        <v>1.478910458E9</v>
      </c>
      <c r="I90" s="9">
        <v>0.0</v>
      </c>
      <c r="J90" s="9">
        <v>0.0</v>
      </c>
      <c r="K90" s="9">
        <v>0.0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>
      <c r="A91" s="9">
        <v>401.0</v>
      </c>
      <c r="B91" s="9">
        <v>453.0</v>
      </c>
      <c r="C91" s="9">
        <v>7.0</v>
      </c>
      <c r="D91" s="9">
        <v>10133.0</v>
      </c>
      <c r="E91" s="9">
        <v>1.478910482E9</v>
      </c>
      <c r="F91" s="8"/>
      <c r="G91" s="9">
        <v>0.0</v>
      </c>
      <c r="H91" s="9">
        <v>0.0</v>
      </c>
      <c r="I91" s="9" t="s">
        <v>61</v>
      </c>
      <c r="J91" s="9">
        <v>0.0</v>
      </c>
      <c r="K91" s="9">
        <v>0.0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>
      <c r="A92" s="9">
        <v>401.0</v>
      </c>
      <c r="B92" s="9">
        <v>455.0</v>
      </c>
      <c r="C92" s="9">
        <v>7.0</v>
      </c>
      <c r="D92" s="9">
        <v>10133.0</v>
      </c>
      <c r="E92" s="9">
        <v>1.478910543E9</v>
      </c>
      <c r="F92" s="8"/>
      <c r="G92" s="9">
        <v>0.0</v>
      </c>
      <c r="H92" s="9">
        <v>0.0</v>
      </c>
      <c r="I92" s="9" t="s">
        <v>61</v>
      </c>
      <c r="J92" s="9">
        <v>0.0</v>
      </c>
      <c r="K92" s="9">
        <v>0.0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>
      <c r="A93" s="9">
        <v>401.0</v>
      </c>
      <c r="B93" s="9">
        <v>456.0</v>
      </c>
      <c r="C93" s="9">
        <v>7.0</v>
      </c>
      <c r="D93" s="9">
        <v>10133.0</v>
      </c>
      <c r="E93" s="9">
        <v>1.478910564E9</v>
      </c>
      <c r="F93" s="8"/>
      <c r="G93" s="9">
        <v>0.0</v>
      </c>
      <c r="H93" s="9">
        <v>1.478910575E9</v>
      </c>
      <c r="I93" s="9">
        <v>0.0</v>
      </c>
      <c r="J93" s="9">
        <v>0.0</v>
      </c>
      <c r="K93" s="9">
        <v>0.0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>
      <c r="A94" s="9">
        <v>401.0</v>
      </c>
      <c r="B94" s="9">
        <v>471.0</v>
      </c>
      <c r="C94" s="9">
        <v>7.0</v>
      </c>
      <c r="D94" s="9">
        <v>10133.0</v>
      </c>
      <c r="E94" s="9">
        <v>1.478910861E9</v>
      </c>
      <c r="F94" s="8"/>
      <c r="G94" s="9">
        <v>0.0</v>
      </c>
      <c r="H94" s="9">
        <v>1.478910871E9</v>
      </c>
      <c r="I94" s="9">
        <v>10.0</v>
      </c>
      <c r="J94" s="9">
        <v>0.0</v>
      </c>
      <c r="K94" s="9">
        <v>0.0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>
      <c r="A95" s="9">
        <v>401.0</v>
      </c>
      <c r="B95" s="9">
        <v>19.0</v>
      </c>
      <c r="C95" s="9">
        <v>7.0</v>
      </c>
      <c r="D95" s="9">
        <v>10134.0</v>
      </c>
      <c r="E95" s="9">
        <v>1.478906512E9</v>
      </c>
      <c r="F95" s="8"/>
      <c r="G95" s="9">
        <v>0.0</v>
      </c>
      <c r="H95" s="9">
        <v>0.0</v>
      </c>
      <c r="I95" s="9" t="s">
        <v>61</v>
      </c>
      <c r="J95" s="9">
        <v>0.0</v>
      </c>
      <c r="K95" s="9">
        <v>0.0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>
      <c r="A96" s="9">
        <v>401.0</v>
      </c>
      <c r="B96" s="9">
        <v>27.0</v>
      </c>
      <c r="C96" s="9">
        <v>7.0</v>
      </c>
      <c r="D96" s="9">
        <v>10134.0</v>
      </c>
      <c r="E96" s="9">
        <v>1.47890658E9</v>
      </c>
      <c r="F96" s="8"/>
      <c r="G96" s="9">
        <v>0.0</v>
      </c>
      <c r="H96" s="9">
        <v>0.0</v>
      </c>
      <c r="I96" s="9" t="s">
        <v>61</v>
      </c>
      <c r="J96" s="9">
        <v>0.0</v>
      </c>
      <c r="K96" s="9">
        <v>0.0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>
      <c r="A97" s="9">
        <v>401.0</v>
      </c>
      <c r="B97" s="9">
        <v>30.0</v>
      </c>
      <c r="C97" s="9">
        <v>7.0</v>
      </c>
      <c r="D97" s="9">
        <v>10134.0</v>
      </c>
      <c r="E97" s="9">
        <v>1.478906608E9</v>
      </c>
      <c r="F97" s="8"/>
      <c r="G97" s="9">
        <v>0.0</v>
      </c>
      <c r="H97" s="9">
        <v>0.0</v>
      </c>
      <c r="I97" s="9" t="s">
        <v>61</v>
      </c>
      <c r="J97" s="9">
        <v>0.0</v>
      </c>
      <c r="K97" s="9">
        <v>0.0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>
      <c r="A98" s="9">
        <v>401.0</v>
      </c>
      <c r="B98" s="9">
        <v>41.0</v>
      </c>
      <c r="C98" s="9">
        <v>7.0</v>
      </c>
      <c r="D98" s="9">
        <v>10134.0</v>
      </c>
      <c r="E98" s="9">
        <v>1.478906692E9</v>
      </c>
      <c r="F98" s="8"/>
      <c r="G98" s="9">
        <v>0.0</v>
      </c>
      <c r="H98" s="9">
        <v>0.0</v>
      </c>
      <c r="I98" s="9" t="s">
        <v>61</v>
      </c>
      <c r="J98" s="9">
        <v>0.0</v>
      </c>
      <c r="K98" s="9">
        <v>0.0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>
      <c r="A99" s="9">
        <v>401.0</v>
      </c>
      <c r="B99" s="9">
        <v>48.0</v>
      </c>
      <c r="C99" s="9">
        <v>7.0</v>
      </c>
      <c r="D99" s="9">
        <v>10134.0</v>
      </c>
      <c r="E99" s="9">
        <v>1.478906728E9</v>
      </c>
      <c r="F99" s="8"/>
      <c r="G99" s="9">
        <v>0.0</v>
      </c>
      <c r="H99" s="9">
        <v>0.0</v>
      </c>
      <c r="I99" s="9" t="s">
        <v>61</v>
      </c>
      <c r="J99" s="9">
        <v>0.0</v>
      </c>
      <c r="K99" s="9">
        <v>0.0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>
      <c r="A100" s="9">
        <v>401.0</v>
      </c>
      <c r="B100" s="9">
        <v>52.0</v>
      </c>
      <c r="C100" s="9">
        <v>7.0</v>
      </c>
      <c r="D100" s="9">
        <v>10134.0</v>
      </c>
      <c r="E100" s="9">
        <v>1.478906752E9</v>
      </c>
      <c r="F100" s="8"/>
      <c r="G100" s="9">
        <v>0.0</v>
      </c>
      <c r="H100" s="9">
        <v>0.0</v>
      </c>
      <c r="I100" s="9" t="s">
        <v>61</v>
      </c>
      <c r="J100" s="9">
        <v>0.0</v>
      </c>
      <c r="K100" s="9">
        <v>0.0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>
      <c r="A101" s="9">
        <v>401.0</v>
      </c>
      <c r="B101" s="9">
        <v>56.0</v>
      </c>
      <c r="C101" s="9">
        <v>7.0</v>
      </c>
      <c r="D101" s="9">
        <v>10134.0</v>
      </c>
      <c r="E101" s="9">
        <v>1.478906799E9</v>
      </c>
      <c r="F101" s="8"/>
      <c r="G101" s="9">
        <v>0.0</v>
      </c>
      <c r="H101" s="9">
        <v>0.0</v>
      </c>
      <c r="I101" s="9" t="s">
        <v>61</v>
      </c>
      <c r="J101" s="9">
        <v>0.0</v>
      </c>
      <c r="K101" s="9">
        <v>0.0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>
      <c r="A102" s="9">
        <v>401.0</v>
      </c>
      <c r="B102" s="9">
        <v>59.0</v>
      </c>
      <c r="C102" s="9">
        <v>7.0</v>
      </c>
      <c r="D102" s="9">
        <v>10134.0</v>
      </c>
      <c r="E102" s="9">
        <v>1.478906849E9</v>
      </c>
      <c r="F102" s="8"/>
      <c r="G102" s="9">
        <v>0.0</v>
      </c>
      <c r="H102" s="9">
        <v>0.0</v>
      </c>
      <c r="I102" s="9" t="s">
        <v>61</v>
      </c>
      <c r="J102" s="9">
        <v>0.0</v>
      </c>
      <c r="K102" s="9">
        <v>0.0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>
      <c r="A103" s="9">
        <v>401.0</v>
      </c>
      <c r="B103" s="9">
        <v>62.0</v>
      </c>
      <c r="C103" s="9">
        <v>7.0</v>
      </c>
      <c r="D103" s="9">
        <v>10134.0</v>
      </c>
      <c r="E103" s="9">
        <v>1.478906892E9</v>
      </c>
      <c r="F103" s="8"/>
      <c r="G103" s="9">
        <v>0.0</v>
      </c>
      <c r="H103" s="9">
        <v>0.0</v>
      </c>
      <c r="I103" s="9" t="s">
        <v>61</v>
      </c>
      <c r="J103" s="9">
        <v>0.0</v>
      </c>
      <c r="K103" s="9">
        <v>0.0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>
      <c r="A104" s="9">
        <v>401.0</v>
      </c>
      <c r="B104" s="9">
        <v>63.0</v>
      </c>
      <c r="C104" s="9">
        <v>7.0</v>
      </c>
      <c r="D104" s="9">
        <v>10134.0</v>
      </c>
      <c r="E104" s="9">
        <v>1.478906931E9</v>
      </c>
      <c r="F104" s="8"/>
      <c r="G104" s="9">
        <v>0.0</v>
      </c>
      <c r="H104" s="9">
        <v>0.0</v>
      </c>
      <c r="I104" s="9" t="s">
        <v>61</v>
      </c>
      <c r="J104" s="9">
        <v>0.0</v>
      </c>
      <c r="K104" s="9">
        <v>0.0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>
      <c r="A105" s="9">
        <v>401.0</v>
      </c>
      <c r="B105" s="9">
        <v>79.0</v>
      </c>
      <c r="C105" s="9">
        <v>7.0</v>
      </c>
      <c r="D105" s="9">
        <v>10134.0</v>
      </c>
      <c r="E105" s="9">
        <v>1.478907116E9</v>
      </c>
      <c r="F105" s="8"/>
      <c r="G105" s="9">
        <v>0.0</v>
      </c>
      <c r="H105" s="9">
        <v>0.0</v>
      </c>
      <c r="I105" s="9" t="s">
        <v>61</v>
      </c>
      <c r="J105" s="9">
        <v>0.0</v>
      </c>
      <c r="K105" s="9">
        <v>0.0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>
      <c r="A106" s="9">
        <v>401.0</v>
      </c>
      <c r="B106" s="9">
        <v>97.0</v>
      </c>
      <c r="C106" s="9">
        <v>7.0</v>
      </c>
      <c r="D106" s="9">
        <v>10134.0</v>
      </c>
      <c r="E106" s="9">
        <v>1.478907232E9</v>
      </c>
      <c r="F106" s="8"/>
      <c r="G106" s="9">
        <v>0.0</v>
      </c>
      <c r="H106" s="9">
        <v>0.0</v>
      </c>
      <c r="I106" s="9" t="s">
        <v>61</v>
      </c>
      <c r="J106" s="9">
        <v>0.0</v>
      </c>
      <c r="K106" s="9">
        <v>0.0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>
      <c r="A107" s="9">
        <v>401.0</v>
      </c>
      <c r="B107" s="9">
        <v>112.0</v>
      </c>
      <c r="C107" s="9">
        <v>7.0</v>
      </c>
      <c r="D107" s="9">
        <v>10134.0</v>
      </c>
      <c r="E107" s="9">
        <v>1.478907317E9</v>
      </c>
      <c r="F107" s="8"/>
      <c r="G107" s="9">
        <v>0.0</v>
      </c>
      <c r="H107" s="9">
        <v>0.0</v>
      </c>
      <c r="I107" s="9" t="s">
        <v>61</v>
      </c>
      <c r="J107" s="9">
        <v>0.0</v>
      </c>
      <c r="K107" s="9">
        <v>0.0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>
      <c r="A108" s="9">
        <v>401.0</v>
      </c>
      <c r="B108" s="9">
        <v>151.0</v>
      </c>
      <c r="C108" s="9">
        <v>7.0</v>
      </c>
      <c r="D108" s="9">
        <v>10134.0</v>
      </c>
      <c r="E108" s="9">
        <v>1.478907575E9</v>
      </c>
      <c r="F108" s="8"/>
      <c r="G108" s="9">
        <v>0.0</v>
      </c>
      <c r="H108" s="9">
        <v>0.0</v>
      </c>
      <c r="I108" s="9" t="s">
        <v>61</v>
      </c>
      <c r="J108" s="9">
        <v>0.0</v>
      </c>
      <c r="K108" s="9">
        <v>0.0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>
      <c r="A109" s="9">
        <v>401.0</v>
      </c>
      <c r="B109" s="9">
        <v>158.0</v>
      </c>
      <c r="C109" s="9">
        <v>7.0</v>
      </c>
      <c r="D109" s="9">
        <v>10134.0</v>
      </c>
      <c r="E109" s="9">
        <v>1.47890762E9</v>
      </c>
      <c r="F109" s="8"/>
      <c r="G109" s="9">
        <v>0.0</v>
      </c>
      <c r="H109" s="9">
        <v>0.0</v>
      </c>
      <c r="I109" s="9" t="s">
        <v>61</v>
      </c>
      <c r="J109" s="9">
        <v>0.0</v>
      </c>
      <c r="K109" s="9">
        <v>0.0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>
      <c r="A110" s="9">
        <v>401.0</v>
      </c>
      <c r="B110" s="9">
        <v>168.0</v>
      </c>
      <c r="C110" s="9">
        <v>7.0</v>
      </c>
      <c r="D110" s="9">
        <v>10134.0</v>
      </c>
      <c r="E110" s="9">
        <v>1.478907688E9</v>
      </c>
      <c r="F110" s="8"/>
      <c r="G110" s="9">
        <v>0.0</v>
      </c>
      <c r="H110" s="9">
        <v>1.478907743E9</v>
      </c>
      <c r="I110" s="9">
        <v>0.0</v>
      </c>
      <c r="J110" s="9">
        <v>0.0</v>
      </c>
      <c r="K110" s="9">
        <v>0.0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>
      <c r="A111" s="9">
        <v>401.0</v>
      </c>
      <c r="B111" s="9">
        <v>66.0</v>
      </c>
      <c r="C111" s="9">
        <v>7.0</v>
      </c>
      <c r="D111" s="9">
        <v>10135.0</v>
      </c>
      <c r="E111" s="9">
        <v>1.478906965E9</v>
      </c>
      <c r="F111" s="8"/>
      <c r="G111" s="9">
        <v>0.0</v>
      </c>
      <c r="H111" s="9">
        <v>1.478907006E9</v>
      </c>
      <c r="I111" s="9">
        <v>0.0</v>
      </c>
      <c r="J111" s="9">
        <v>0.0</v>
      </c>
      <c r="K111" s="9">
        <v>0.0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>
      <c r="A112" s="9">
        <v>401.0</v>
      </c>
      <c r="B112" s="9">
        <v>70.0</v>
      </c>
      <c r="C112" s="9">
        <v>7.0</v>
      </c>
      <c r="D112" s="9">
        <v>10135.0</v>
      </c>
      <c r="E112" s="9">
        <v>1.478907039E9</v>
      </c>
      <c r="F112" s="8"/>
      <c r="G112" s="9">
        <v>0.0</v>
      </c>
      <c r="H112" s="9">
        <v>0.0</v>
      </c>
      <c r="I112" s="9" t="s">
        <v>61</v>
      </c>
      <c r="J112" s="9">
        <v>0.0</v>
      </c>
      <c r="K112" s="9">
        <v>0.0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>
      <c r="A113" s="9">
        <v>401.0</v>
      </c>
      <c r="B113" s="9">
        <v>123.0</v>
      </c>
      <c r="C113" s="9">
        <v>7.0</v>
      </c>
      <c r="D113" s="9">
        <v>10135.0</v>
      </c>
      <c r="E113" s="9">
        <v>1.478907362E9</v>
      </c>
      <c r="F113" s="8"/>
      <c r="G113" s="9">
        <v>0.0</v>
      </c>
      <c r="H113" s="9">
        <v>0.0</v>
      </c>
      <c r="I113" s="9" t="s">
        <v>61</v>
      </c>
      <c r="J113" s="9">
        <v>0.0</v>
      </c>
      <c r="K113" s="9">
        <v>0.0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>
      <c r="A114" s="9">
        <v>401.0</v>
      </c>
      <c r="B114" s="9">
        <v>180.0</v>
      </c>
      <c r="C114" s="9">
        <v>7.0</v>
      </c>
      <c r="D114" s="9">
        <v>10135.0</v>
      </c>
      <c r="E114" s="9">
        <v>1.478907753E9</v>
      </c>
      <c r="F114" s="8"/>
      <c r="G114" s="9">
        <v>0.0</v>
      </c>
      <c r="H114" s="9">
        <v>0.0</v>
      </c>
      <c r="I114" s="9" t="s">
        <v>61</v>
      </c>
      <c r="J114" s="9">
        <v>0.0</v>
      </c>
      <c r="K114" s="9">
        <v>0.0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>
      <c r="A115" s="9">
        <v>401.0</v>
      </c>
      <c r="B115" s="9">
        <v>185.0</v>
      </c>
      <c r="C115" s="9">
        <v>7.0</v>
      </c>
      <c r="D115" s="9">
        <v>10135.0</v>
      </c>
      <c r="E115" s="9">
        <v>1.47890778E9</v>
      </c>
      <c r="F115" s="8"/>
      <c r="G115" s="9">
        <v>0.0</v>
      </c>
      <c r="H115" s="9">
        <v>0.0</v>
      </c>
      <c r="I115" s="9" t="s">
        <v>61</v>
      </c>
      <c r="J115" s="9">
        <v>0.0</v>
      </c>
      <c r="K115" s="9">
        <v>0.0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>
      <c r="A116" s="9">
        <v>401.0</v>
      </c>
      <c r="B116" s="9">
        <v>200.0</v>
      </c>
      <c r="C116" s="9">
        <v>7.0</v>
      </c>
      <c r="D116" s="9">
        <v>10135.0</v>
      </c>
      <c r="E116" s="9">
        <v>1.478907867E9</v>
      </c>
      <c r="F116" s="8"/>
      <c r="G116" s="9">
        <v>0.0</v>
      </c>
      <c r="H116" s="9">
        <v>0.0</v>
      </c>
      <c r="I116" s="9" t="s">
        <v>61</v>
      </c>
      <c r="J116" s="9">
        <v>0.0</v>
      </c>
      <c r="K116" s="9">
        <v>0.0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>
      <c r="A117" s="9">
        <v>401.0</v>
      </c>
      <c r="B117" s="9">
        <v>248.0</v>
      </c>
      <c r="C117" s="9">
        <v>7.0</v>
      </c>
      <c r="D117" s="9">
        <v>10135.0</v>
      </c>
      <c r="E117" s="9">
        <v>1.478908298E9</v>
      </c>
      <c r="F117" s="8"/>
      <c r="G117" s="9">
        <v>0.0</v>
      </c>
      <c r="H117" s="9">
        <v>1.478908632E9</v>
      </c>
      <c r="I117" s="9">
        <v>0.0</v>
      </c>
      <c r="J117" s="9">
        <v>0.0</v>
      </c>
      <c r="K117" s="9">
        <v>0.0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>
      <c r="A118" s="9">
        <v>401.0</v>
      </c>
      <c r="B118" s="9">
        <v>324.0</v>
      </c>
      <c r="C118" s="9">
        <v>7.0</v>
      </c>
      <c r="D118" s="9">
        <v>10135.0</v>
      </c>
      <c r="E118" s="9">
        <v>1.478908875E9</v>
      </c>
      <c r="F118" s="8"/>
      <c r="G118" s="9">
        <v>0.0</v>
      </c>
      <c r="H118" s="9">
        <v>0.0</v>
      </c>
      <c r="I118" s="9" t="s">
        <v>61</v>
      </c>
      <c r="J118" s="9">
        <v>0.0</v>
      </c>
      <c r="K118" s="9">
        <v>0.0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>
      <c r="A119" s="9">
        <v>401.0</v>
      </c>
      <c r="B119" s="9">
        <v>335.0</v>
      </c>
      <c r="C119" s="9">
        <v>7.0</v>
      </c>
      <c r="D119" s="9">
        <v>10135.0</v>
      </c>
      <c r="E119" s="9">
        <v>1.478908986E9</v>
      </c>
      <c r="F119" s="8"/>
      <c r="G119" s="9">
        <v>0.0</v>
      </c>
      <c r="H119" s="9">
        <v>0.0</v>
      </c>
      <c r="I119" s="9" t="s">
        <v>61</v>
      </c>
      <c r="J119" s="9">
        <v>0.0</v>
      </c>
      <c r="K119" s="9">
        <v>0.0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>
      <c r="A120" s="9">
        <v>401.0</v>
      </c>
      <c r="B120" s="9">
        <v>341.0</v>
      </c>
      <c r="C120" s="9">
        <v>7.0</v>
      </c>
      <c r="D120" s="9">
        <v>10135.0</v>
      </c>
      <c r="E120" s="9">
        <v>1.478909041E9</v>
      </c>
      <c r="F120" s="8"/>
      <c r="G120" s="9">
        <v>0.0</v>
      </c>
      <c r="H120" s="9">
        <v>0.0</v>
      </c>
      <c r="I120" s="9" t="s">
        <v>61</v>
      </c>
      <c r="J120" s="9">
        <v>0.0</v>
      </c>
      <c r="K120" s="9">
        <v>0.0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>
      <c r="A121" s="9">
        <v>401.0</v>
      </c>
      <c r="B121" s="9">
        <v>347.0</v>
      </c>
      <c r="C121" s="9">
        <v>7.0</v>
      </c>
      <c r="D121" s="9">
        <v>10135.0</v>
      </c>
      <c r="E121" s="9">
        <v>1.478909099E9</v>
      </c>
      <c r="F121" s="8"/>
      <c r="G121" s="9">
        <v>0.0</v>
      </c>
      <c r="H121" s="9">
        <v>0.0</v>
      </c>
      <c r="I121" s="9" t="s">
        <v>61</v>
      </c>
      <c r="J121" s="9">
        <v>0.0</v>
      </c>
      <c r="K121" s="9">
        <v>0.0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>
      <c r="A122" s="9">
        <v>401.0</v>
      </c>
      <c r="B122" s="9">
        <v>351.0</v>
      </c>
      <c r="C122" s="9">
        <v>7.0</v>
      </c>
      <c r="D122" s="9">
        <v>10135.0</v>
      </c>
      <c r="E122" s="9">
        <v>1.478909146E9</v>
      </c>
      <c r="F122" s="8"/>
      <c r="G122" s="9">
        <v>0.0</v>
      </c>
      <c r="H122" s="9">
        <v>0.0</v>
      </c>
      <c r="I122" s="9" t="s">
        <v>61</v>
      </c>
      <c r="J122" s="9">
        <v>0.0</v>
      </c>
      <c r="K122" s="9">
        <v>0.0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>
      <c r="A123" s="9">
        <v>401.0</v>
      </c>
      <c r="B123" s="9">
        <v>354.0</v>
      </c>
      <c r="C123" s="9">
        <v>7.0</v>
      </c>
      <c r="D123" s="9">
        <v>10135.0</v>
      </c>
      <c r="E123" s="9">
        <v>1.478909165E9</v>
      </c>
      <c r="F123" s="8"/>
      <c r="G123" s="9">
        <v>0.0</v>
      </c>
      <c r="H123" s="9">
        <v>1.478909179E9</v>
      </c>
      <c r="I123" s="9">
        <v>10.0</v>
      </c>
      <c r="J123" s="9">
        <v>0.0</v>
      </c>
      <c r="K123" s="9">
        <v>0.0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>
      <c r="A124" s="9">
        <v>401.0</v>
      </c>
      <c r="B124" s="9">
        <v>573.0</v>
      </c>
      <c r="C124" s="9">
        <v>7.0</v>
      </c>
      <c r="D124" s="9">
        <v>10135.0</v>
      </c>
      <c r="E124" s="9">
        <v>1.478955878E9</v>
      </c>
      <c r="F124" s="8"/>
      <c r="G124" s="9">
        <v>0.0</v>
      </c>
      <c r="H124" s="9">
        <v>1.47895589E9</v>
      </c>
      <c r="I124" s="9">
        <v>10.0</v>
      </c>
      <c r="J124" s="9">
        <v>0.0</v>
      </c>
      <c r="K124" s="9">
        <v>0.0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>
      <c r="A125" s="9">
        <v>401.0</v>
      </c>
      <c r="B125" s="9">
        <v>33.0</v>
      </c>
      <c r="C125" s="9">
        <v>7.0</v>
      </c>
      <c r="D125" s="9">
        <v>10136.0</v>
      </c>
      <c r="E125" s="9">
        <v>1.478906621E9</v>
      </c>
      <c r="F125" s="8"/>
      <c r="G125" s="9">
        <v>0.0</v>
      </c>
      <c r="H125" s="9">
        <v>0.0</v>
      </c>
      <c r="I125" s="9" t="s">
        <v>61</v>
      </c>
      <c r="J125" s="9">
        <v>0.0</v>
      </c>
      <c r="K125" s="9">
        <v>0.0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>
      <c r="A126" s="9">
        <v>401.0</v>
      </c>
      <c r="B126" s="9">
        <v>39.0</v>
      </c>
      <c r="C126" s="9">
        <v>7.0</v>
      </c>
      <c r="D126" s="9">
        <v>10136.0</v>
      </c>
      <c r="E126" s="9">
        <v>1.478906677E9</v>
      </c>
      <c r="F126" s="8"/>
      <c r="G126" s="9">
        <v>0.0</v>
      </c>
      <c r="H126" s="9">
        <v>1.47891697E9</v>
      </c>
      <c r="I126" s="9">
        <v>0.0</v>
      </c>
      <c r="J126" s="9">
        <v>0.0</v>
      </c>
      <c r="K126" s="9">
        <v>0.0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>
      <c r="A127" s="9">
        <v>401.0</v>
      </c>
      <c r="B127" s="9">
        <v>74.0</v>
      </c>
      <c r="C127" s="9">
        <v>7.0</v>
      </c>
      <c r="D127" s="9">
        <v>10137.0</v>
      </c>
      <c r="E127" s="9">
        <v>1.478907067E9</v>
      </c>
      <c r="F127" s="8"/>
      <c r="G127" s="9">
        <v>0.0</v>
      </c>
      <c r="H127" s="9">
        <v>0.0</v>
      </c>
      <c r="I127" s="9" t="s">
        <v>61</v>
      </c>
      <c r="J127" s="9">
        <v>0.0</v>
      </c>
      <c r="K127" s="9">
        <v>0.0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>
      <c r="A128" s="9">
        <v>401.0</v>
      </c>
      <c r="B128" s="9">
        <v>87.0</v>
      </c>
      <c r="C128" s="9">
        <v>7.0</v>
      </c>
      <c r="D128" s="9">
        <v>10137.0</v>
      </c>
      <c r="E128" s="9">
        <v>1.478907156E9</v>
      </c>
      <c r="F128" s="8"/>
      <c r="G128" s="9">
        <v>0.0</v>
      </c>
      <c r="H128" s="9">
        <v>0.0</v>
      </c>
      <c r="I128" s="9" t="s">
        <v>61</v>
      </c>
      <c r="J128" s="9">
        <v>0.0</v>
      </c>
      <c r="K128" s="9">
        <v>0.0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>
      <c r="A129" s="9">
        <v>401.0</v>
      </c>
      <c r="B129" s="9">
        <v>107.0</v>
      </c>
      <c r="C129" s="9">
        <v>7.0</v>
      </c>
      <c r="D129" s="9">
        <v>10137.0</v>
      </c>
      <c r="E129" s="9">
        <v>1.478907289E9</v>
      </c>
      <c r="F129" s="8"/>
      <c r="G129" s="9">
        <v>0.0</v>
      </c>
      <c r="H129" s="9">
        <v>0.0</v>
      </c>
      <c r="I129" s="9" t="s">
        <v>61</v>
      </c>
      <c r="J129" s="9">
        <v>0.0</v>
      </c>
      <c r="K129" s="9">
        <v>0.0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>
      <c r="A130" s="9">
        <v>401.0</v>
      </c>
      <c r="B130" s="9">
        <v>116.0</v>
      </c>
      <c r="C130" s="9">
        <v>7.0</v>
      </c>
      <c r="D130" s="9">
        <v>10137.0</v>
      </c>
      <c r="E130" s="9">
        <v>1.478907337E9</v>
      </c>
      <c r="F130" s="8"/>
      <c r="G130" s="9">
        <v>0.0</v>
      </c>
      <c r="H130" s="9">
        <v>0.0</v>
      </c>
      <c r="I130" s="9" t="s">
        <v>61</v>
      </c>
      <c r="J130" s="9">
        <v>0.0</v>
      </c>
      <c r="K130" s="9">
        <v>0.0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>
      <c r="A131" s="9">
        <v>401.0</v>
      </c>
      <c r="B131" s="9">
        <v>119.0</v>
      </c>
      <c r="C131" s="9">
        <v>7.0</v>
      </c>
      <c r="D131" s="9">
        <v>10137.0</v>
      </c>
      <c r="E131" s="9">
        <v>1.478907351E9</v>
      </c>
      <c r="F131" s="8"/>
      <c r="G131" s="9">
        <v>0.0</v>
      </c>
      <c r="H131" s="9">
        <v>1.478907363E9</v>
      </c>
      <c r="I131" s="9">
        <v>0.0</v>
      </c>
      <c r="J131" s="9">
        <v>0.0</v>
      </c>
      <c r="K131" s="9">
        <v>0.0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>
      <c r="A132" s="9">
        <v>401.0</v>
      </c>
      <c r="B132" s="9">
        <v>136.0</v>
      </c>
      <c r="C132" s="9">
        <v>7.0</v>
      </c>
      <c r="D132" s="9">
        <v>10137.0</v>
      </c>
      <c r="E132" s="9">
        <v>1.478907449E9</v>
      </c>
      <c r="F132" s="8"/>
      <c r="G132" s="9">
        <v>0.0</v>
      </c>
      <c r="H132" s="9">
        <v>0.0</v>
      </c>
      <c r="I132" s="9" t="s">
        <v>61</v>
      </c>
      <c r="J132" s="9">
        <v>0.0</v>
      </c>
      <c r="K132" s="9">
        <v>0.0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>
      <c r="A133" s="9">
        <v>401.0</v>
      </c>
      <c r="B133" s="9">
        <v>142.0</v>
      </c>
      <c r="C133" s="9">
        <v>7.0</v>
      </c>
      <c r="D133" s="9">
        <v>10137.0</v>
      </c>
      <c r="E133" s="9">
        <v>1.478907485E9</v>
      </c>
      <c r="F133" s="8"/>
      <c r="G133" s="9">
        <v>0.0</v>
      </c>
      <c r="H133" s="9">
        <v>0.0</v>
      </c>
      <c r="I133" s="9" t="s">
        <v>61</v>
      </c>
      <c r="J133" s="9">
        <v>0.0</v>
      </c>
      <c r="K133" s="9">
        <v>0.0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>
      <c r="A134" s="9">
        <v>401.0</v>
      </c>
      <c r="B134" s="9">
        <v>144.0</v>
      </c>
      <c r="C134" s="9">
        <v>7.0</v>
      </c>
      <c r="D134" s="9">
        <v>10137.0</v>
      </c>
      <c r="E134" s="9">
        <v>1.478907526E9</v>
      </c>
      <c r="F134" s="8"/>
      <c r="G134" s="9">
        <v>0.0</v>
      </c>
      <c r="H134" s="9">
        <v>0.0</v>
      </c>
      <c r="I134" s="9" t="s">
        <v>61</v>
      </c>
      <c r="J134" s="9">
        <v>0.0</v>
      </c>
      <c r="K134" s="9">
        <v>0.0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>
      <c r="A135" s="9">
        <v>401.0</v>
      </c>
      <c r="B135" s="9">
        <v>154.0</v>
      </c>
      <c r="C135" s="9">
        <v>7.0</v>
      </c>
      <c r="D135" s="9">
        <v>10137.0</v>
      </c>
      <c r="E135" s="9">
        <v>1.478907595E9</v>
      </c>
      <c r="F135" s="8"/>
      <c r="G135" s="9">
        <v>0.0</v>
      </c>
      <c r="H135" s="9">
        <v>0.0</v>
      </c>
      <c r="I135" s="9" t="s">
        <v>61</v>
      </c>
      <c r="J135" s="9">
        <v>0.0</v>
      </c>
      <c r="K135" s="9">
        <v>0.0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>
      <c r="A136" s="9">
        <v>401.0</v>
      </c>
      <c r="B136" s="9">
        <v>164.0</v>
      </c>
      <c r="C136" s="9">
        <v>7.0</v>
      </c>
      <c r="D136" s="9">
        <v>10137.0</v>
      </c>
      <c r="E136" s="9">
        <v>1.47890765E9</v>
      </c>
      <c r="F136" s="8"/>
      <c r="G136" s="9">
        <v>0.0</v>
      </c>
      <c r="H136" s="9">
        <v>1.478907669E9</v>
      </c>
      <c r="I136" s="9">
        <v>0.0</v>
      </c>
      <c r="J136" s="9">
        <v>0.0</v>
      </c>
      <c r="K136" s="9">
        <v>0.0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>
      <c r="A137" s="9">
        <v>401.0</v>
      </c>
      <c r="B137" s="9">
        <v>171.0</v>
      </c>
      <c r="C137" s="9">
        <v>7.0</v>
      </c>
      <c r="D137" s="9">
        <v>10137.0</v>
      </c>
      <c r="E137" s="9">
        <v>1.478907697E9</v>
      </c>
      <c r="F137" s="8"/>
      <c r="G137" s="9">
        <v>0.0</v>
      </c>
      <c r="H137" s="9">
        <v>0.0</v>
      </c>
      <c r="I137" s="9" t="s">
        <v>61</v>
      </c>
      <c r="J137" s="9">
        <v>0.0</v>
      </c>
      <c r="K137" s="9">
        <v>0.0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>
      <c r="A138" s="9">
        <v>401.0</v>
      </c>
      <c r="B138" s="9">
        <v>183.0</v>
      </c>
      <c r="C138" s="9">
        <v>7.0</v>
      </c>
      <c r="D138" s="9">
        <v>10137.0</v>
      </c>
      <c r="E138" s="9">
        <v>1.478907778E9</v>
      </c>
      <c r="F138" s="8"/>
      <c r="G138" s="9">
        <v>0.0</v>
      </c>
      <c r="H138" s="9">
        <v>0.0</v>
      </c>
      <c r="I138" s="9" t="s">
        <v>61</v>
      </c>
      <c r="J138" s="9">
        <v>0.0</v>
      </c>
      <c r="K138" s="9">
        <v>0.0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>
      <c r="A139" s="9">
        <v>401.0</v>
      </c>
      <c r="B139" s="9">
        <v>193.0</v>
      </c>
      <c r="C139" s="9">
        <v>7.0</v>
      </c>
      <c r="D139" s="9">
        <v>10137.0</v>
      </c>
      <c r="E139" s="9">
        <v>1.478907835E9</v>
      </c>
      <c r="F139" s="8"/>
      <c r="G139" s="9">
        <v>0.0</v>
      </c>
      <c r="H139" s="9">
        <v>0.0</v>
      </c>
      <c r="I139" s="9" t="s">
        <v>61</v>
      </c>
      <c r="J139" s="9">
        <v>0.0</v>
      </c>
      <c r="K139" s="9">
        <v>0.0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>
      <c r="A140" s="9">
        <v>401.0</v>
      </c>
      <c r="B140" s="9">
        <v>202.0</v>
      </c>
      <c r="C140" s="9">
        <v>7.0</v>
      </c>
      <c r="D140" s="9">
        <v>10137.0</v>
      </c>
      <c r="E140" s="9">
        <v>1.478907887E9</v>
      </c>
      <c r="F140" s="8"/>
      <c r="G140" s="9">
        <v>0.0</v>
      </c>
      <c r="H140" s="9">
        <v>0.0</v>
      </c>
      <c r="I140" s="9" t="s">
        <v>61</v>
      </c>
      <c r="J140" s="9">
        <v>0.0</v>
      </c>
      <c r="K140" s="9">
        <v>0.0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>
      <c r="A141" s="9">
        <v>401.0</v>
      </c>
      <c r="B141" s="9">
        <v>213.0</v>
      </c>
      <c r="C141" s="9">
        <v>7.0</v>
      </c>
      <c r="D141" s="9">
        <v>10137.0</v>
      </c>
      <c r="E141" s="9">
        <v>1.478908007E9</v>
      </c>
      <c r="F141" s="8"/>
      <c r="G141" s="9">
        <v>0.0</v>
      </c>
      <c r="H141" s="9">
        <v>0.0</v>
      </c>
      <c r="I141" s="9" t="s">
        <v>61</v>
      </c>
      <c r="J141" s="9">
        <v>0.0</v>
      </c>
      <c r="K141" s="9">
        <v>0.0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>
      <c r="A142" s="9">
        <v>401.0</v>
      </c>
      <c r="B142" s="9">
        <v>223.0</v>
      </c>
      <c r="C142" s="9">
        <v>7.0</v>
      </c>
      <c r="D142" s="9">
        <v>10137.0</v>
      </c>
      <c r="E142" s="9">
        <v>1.478908094E9</v>
      </c>
      <c r="F142" s="8"/>
      <c r="G142" s="9">
        <v>0.0</v>
      </c>
      <c r="H142" s="9">
        <v>1.478908139E9</v>
      </c>
      <c r="I142" s="9">
        <v>0.0</v>
      </c>
      <c r="J142" s="9">
        <v>0.0</v>
      </c>
      <c r="K142" s="9">
        <v>0.0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>
      <c r="A143" s="9">
        <v>401.0</v>
      </c>
      <c r="B143" s="9">
        <v>235.0</v>
      </c>
      <c r="C143" s="9">
        <v>7.0</v>
      </c>
      <c r="D143" s="9">
        <v>10137.0</v>
      </c>
      <c r="E143" s="9">
        <v>1.478908236E9</v>
      </c>
      <c r="F143" s="8"/>
      <c r="G143" s="9">
        <v>0.0</v>
      </c>
      <c r="H143" s="9">
        <v>1.478908493E9</v>
      </c>
      <c r="I143" s="9">
        <v>0.0</v>
      </c>
      <c r="J143" s="9">
        <v>0.0</v>
      </c>
      <c r="K143" s="9">
        <v>0.0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>
      <c r="A144" s="9">
        <v>401.0</v>
      </c>
      <c r="B144" s="9">
        <v>216.0</v>
      </c>
      <c r="C144" s="9">
        <v>7.0</v>
      </c>
      <c r="D144" s="9">
        <v>10138.0</v>
      </c>
      <c r="E144" s="9">
        <v>1.478908036E9</v>
      </c>
      <c r="F144" s="8"/>
      <c r="G144" s="9">
        <v>0.0</v>
      </c>
      <c r="H144" s="9">
        <v>1.478908084E9</v>
      </c>
      <c r="I144" s="9">
        <v>0.0</v>
      </c>
      <c r="J144" s="9">
        <v>0.0</v>
      </c>
      <c r="K144" s="9">
        <v>0.0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>
      <c r="A145" s="9">
        <v>401.0</v>
      </c>
      <c r="B145" s="9">
        <v>226.0</v>
      </c>
      <c r="C145" s="9">
        <v>7.0</v>
      </c>
      <c r="D145" s="9">
        <v>10140.0</v>
      </c>
      <c r="E145" s="9">
        <v>1.478908182E9</v>
      </c>
      <c r="F145" s="8"/>
      <c r="G145" s="9">
        <v>0.0</v>
      </c>
      <c r="H145" s="9">
        <v>1.478908186E9</v>
      </c>
      <c r="I145" s="9">
        <v>10.0</v>
      </c>
      <c r="J145" s="9">
        <v>0.0</v>
      </c>
      <c r="K145" s="9">
        <v>0.0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>
      <c r="A146" s="9">
        <v>401.0</v>
      </c>
      <c r="B146" s="9">
        <v>230.0</v>
      </c>
      <c r="C146" s="9">
        <v>7.0</v>
      </c>
      <c r="D146" s="9">
        <v>10141.0</v>
      </c>
      <c r="E146" s="9">
        <v>1.478908195E9</v>
      </c>
      <c r="F146" s="8"/>
      <c r="G146" s="9">
        <v>0.0</v>
      </c>
      <c r="H146" s="9">
        <v>1.478908458E9</v>
      </c>
      <c r="I146" s="9">
        <v>0.0</v>
      </c>
      <c r="J146" s="9">
        <v>0.0</v>
      </c>
      <c r="K146" s="9">
        <v>0.0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>
      <c r="A147" s="9">
        <v>401.0</v>
      </c>
      <c r="B147" s="9">
        <v>334.0</v>
      </c>
      <c r="C147" s="9">
        <v>7.0</v>
      </c>
      <c r="D147" s="9">
        <v>10141.0</v>
      </c>
      <c r="E147" s="9">
        <v>1.478908945E9</v>
      </c>
      <c r="F147" s="8"/>
      <c r="G147" s="9">
        <v>0.0</v>
      </c>
      <c r="H147" s="9">
        <v>1.478909014E9</v>
      </c>
      <c r="I147" s="9">
        <v>0.0</v>
      </c>
      <c r="J147" s="9">
        <v>0.0</v>
      </c>
      <c r="K147" s="9">
        <v>0.0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>
      <c r="A148" s="9">
        <v>401.0</v>
      </c>
      <c r="B148" s="9">
        <v>361.0</v>
      </c>
      <c r="C148" s="9">
        <v>7.0</v>
      </c>
      <c r="D148" s="9">
        <v>10141.0</v>
      </c>
      <c r="E148" s="9">
        <v>1.478909263E9</v>
      </c>
      <c r="F148" s="8"/>
      <c r="G148" s="9">
        <v>0.0</v>
      </c>
      <c r="H148" s="9">
        <v>1.478910043E9</v>
      </c>
      <c r="I148" s="9">
        <v>0.0</v>
      </c>
      <c r="J148" s="9">
        <v>0.0</v>
      </c>
      <c r="K148" s="9">
        <v>0.0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>
      <c r="A149" s="9">
        <v>401.0</v>
      </c>
      <c r="B149" s="9">
        <v>71.0</v>
      </c>
      <c r="C149" s="9">
        <v>7.0</v>
      </c>
      <c r="D149" s="9">
        <v>10142.0</v>
      </c>
      <c r="E149" s="9">
        <v>1.47890705E9</v>
      </c>
      <c r="F149" s="8"/>
      <c r="G149" s="9">
        <v>0.0</v>
      </c>
      <c r="H149" s="9">
        <v>1.478908307E9</v>
      </c>
      <c r="I149" s="9">
        <v>0.0</v>
      </c>
      <c r="J149" s="9">
        <v>0.0</v>
      </c>
      <c r="K149" s="9">
        <v>0.0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>
      <c r="A150" s="9">
        <v>401.0</v>
      </c>
      <c r="B150" s="9">
        <v>186.0</v>
      </c>
      <c r="C150" s="9">
        <v>7.0</v>
      </c>
      <c r="D150" s="9">
        <v>10143.0</v>
      </c>
      <c r="E150" s="9">
        <v>1.47890779E9</v>
      </c>
      <c r="F150" s="8"/>
      <c r="G150" s="9">
        <v>0.0</v>
      </c>
      <c r="H150" s="9">
        <v>1.478907812E9</v>
      </c>
      <c r="I150" s="9">
        <v>0.0</v>
      </c>
      <c r="J150" s="9">
        <v>0.0</v>
      </c>
      <c r="K150" s="9">
        <v>0.0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>
      <c r="A151" s="9">
        <v>401.0</v>
      </c>
      <c r="B151" s="9">
        <v>199.0</v>
      </c>
      <c r="C151" s="9">
        <v>7.0</v>
      </c>
      <c r="D151" s="9">
        <v>10143.0</v>
      </c>
      <c r="E151" s="9">
        <v>1.478907861E9</v>
      </c>
      <c r="F151" s="8"/>
      <c r="G151" s="9">
        <v>0.0</v>
      </c>
      <c r="H151" s="9">
        <v>1.478907877E9</v>
      </c>
      <c r="I151" s="9">
        <v>10.0</v>
      </c>
      <c r="J151" s="9">
        <v>0.0</v>
      </c>
      <c r="K151" s="9">
        <v>0.0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>
      <c r="A152" s="9">
        <v>401.0</v>
      </c>
      <c r="B152" s="9">
        <v>313.0</v>
      </c>
      <c r="C152" s="9">
        <v>7.0</v>
      </c>
      <c r="D152" s="9">
        <v>10144.0</v>
      </c>
      <c r="E152" s="9">
        <v>1.478908811E9</v>
      </c>
      <c r="F152" s="8"/>
      <c r="G152" s="9">
        <v>0.0</v>
      </c>
      <c r="H152" s="9">
        <v>0.0</v>
      </c>
      <c r="I152" s="9" t="s">
        <v>61</v>
      </c>
      <c r="J152" s="9">
        <v>0.0</v>
      </c>
      <c r="K152" s="9">
        <v>0.0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>
      <c r="A153" s="9">
        <v>401.0</v>
      </c>
      <c r="B153" s="9">
        <v>318.0</v>
      </c>
      <c r="C153" s="9">
        <v>7.0</v>
      </c>
      <c r="D153" s="9">
        <v>10144.0</v>
      </c>
      <c r="E153" s="9">
        <v>1.478908837E9</v>
      </c>
      <c r="F153" s="8"/>
      <c r="G153" s="9">
        <v>0.0</v>
      </c>
      <c r="H153" s="9">
        <v>1.478908868E9</v>
      </c>
      <c r="I153" s="9">
        <v>10.0</v>
      </c>
      <c r="J153" s="9">
        <v>0.0</v>
      </c>
      <c r="K153" s="9">
        <v>0.0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>
      <c r="A154" s="9">
        <v>401.0</v>
      </c>
      <c r="B154" s="9">
        <v>140.0</v>
      </c>
      <c r="C154" s="9">
        <v>7.0</v>
      </c>
      <c r="D154" s="9">
        <v>10145.0</v>
      </c>
      <c r="E154" s="9">
        <v>1.478907478E9</v>
      </c>
      <c r="F154" s="8"/>
      <c r="G154" s="9">
        <v>0.0</v>
      </c>
      <c r="H154" s="9">
        <v>1.47890752E9</v>
      </c>
      <c r="I154" s="9">
        <v>0.0</v>
      </c>
      <c r="J154" s="9">
        <v>0.0</v>
      </c>
      <c r="K154" s="9">
        <v>0.0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>
      <c r="A155" s="9">
        <v>401.0</v>
      </c>
      <c r="B155" s="9">
        <v>146.0</v>
      </c>
      <c r="C155" s="9">
        <v>7.0</v>
      </c>
      <c r="D155" s="9">
        <v>10145.0</v>
      </c>
      <c r="E155" s="9">
        <v>1.478907547E9</v>
      </c>
      <c r="F155" s="8"/>
      <c r="G155" s="9">
        <v>0.0</v>
      </c>
      <c r="H155" s="9">
        <v>1.478907553E9</v>
      </c>
      <c r="I155" s="9">
        <v>10.0</v>
      </c>
      <c r="J155" s="9">
        <v>0.0</v>
      </c>
      <c r="K155" s="9">
        <v>0.0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>
      <c r="A156" s="9">
        <v>401.0</v>
      </c>
      <c r="B156" s="9">
        <v>111.0</v>
      </c>
      <c r="C156" s="9">
        <v>7.0</v>
      </c>
      <c r="D156" s="9">
        <v>10146.0</v>
      </c>
      <c r="E156" s="9">
        <v>1.478907315E9</v>
      </c>
      <c r="F156" s="8"/>
      <c r="G156" s="9">
        <v>0.0</v>
      </c>
      <c r="H156" s="9">
        <v>0.0</v>
      </c>
      <c r="I156" s="9" t="s">
        <v>61</v>
      </c>
      <c r="J156" s="9">
        <v>0.0</v>
      </c>
      <c r="K156" s="9">
        <v>0.0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>
      <c r="A157" s="9">
        <v>401.0</v>
      </c>
      <c r="B157" s="9">
        <v>115.0</v>
      </c>
      <c r="C157" s="9">
        <v>7.0</v>
      </c>
      <c r="D157" s="9">
        <v>10146.0</v>
      </c>
      <c r="E157" s="9">
        <v>1.478907331E9</v>
      </c>
      <c r="F157" s="8"/>
      <c r="G157" s="9">
        <v>0.0</v>
      </c>
      <c r="H157" s="9">
        <v>1.478907342E9</v>
      </c>
      <c r="I157" s="9">
        <v>10.0</v>
      </c>
      <c r="J157" s="9">
        <v>0.0</v>
      </c>
      <c r="K157" s="9">
        <v>0.0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>
      <c r="A158" s="9">
        <v>401.0</v>
      </c>
      <c r="B158" s="9">
        <v>170.0</v>
      </c>
      <c r="C158" s="9">
        <v>7.0</v>
      </c>
      <c r="D158" s="9">
        <v>10147.0</v>
      </c>
      <c r="E158" s="9">
        <v>1.478907697E9</v>
      </c>
      <c r="F158" s="8"/>
      <c r="G158" s="9">
        <v>0.0</v>
      </c>
      <c r="H158" s="9">
        <v>1.478907743E9</v>
      </c>
      <c r="I158" s="9">
        <v>0.0</v>
      </c>
      <c r="J158" s="9">
        <v>0.0</v>
      </c>
      <c r="K158" s="9">
        <v>0.0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>
      <c r="A159" s="9">
        <v>401.0</v>
      </c>
      <c r="B159" s="9">
        <v>195.0</v>
      </c>
      <c r="C159" s="9">
        <v>7.0</v>
      </c>
      <c r="D159" s="9">
        <v>10147.0</v>
      </c>
      <c r="E159" s="9">
        <v>1.478907843E9</v>
      </c>
      <c r="F159" s="8"/>
      <c r="G159" s="9">
        <v>0.0</v>
      </c>
      <c r="H159" s="9">
        <v>0.0</v>
      </c>
      <c r="I159" s="9" t="s">
        <v>61</v>
      </c>
      <c r="J159" s="9">
        <v>0.0</v>
      </c>
      <c r="K159" s="9">
        <v>0.0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>
      <c r="A160" s="9">
        <v>401.0</v>
      </c>
      <c r="B160" s="9">
        <v>231.0</v>
      </c>
      <c r="C160" s="9">
        <v>7.0</v>
      </c>
      <c r="D160" s="9">
        <v>10147.0</v>
      </c>
      <c r="E160" s="9">
        <v>1.478908201E9</v>
      </c>
      <c r="F160" s="8"/>
      <c r="G160" s="9">
        <v>0.0</v>
      </c>
      <c r="H160" s="9">
        <v>0.0</v>
      </c>
      <c r="I160" s="9" t="s">
        <v>61</v>
      </c>
      <c r="J160" s="9">
        <v>0.0</v>
      </c>
      <c r="K160" s="9">
        <v>0.0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>
      <c r="A161" s="9">
        <v>401.0</v>
      </c>
      <c r="B161" s="9">
        <v>242.0</v>
      </c>
      <c r="C161" s="9">
        <v>7.0</v>
      </c>
      <c r="D161" s="9">
        <v>10147.0</v>
      </c>
      <c r="E161" s="9">
        <v>1.47890826E9</v>
      </c>
      <c r="F161" s="8"/>
      <c r="G161" s="9">
        <v>0.0</v>
      </c>
      <c r="H161" s="9">
        <v>1.478908337E9</v>
      </c>
      <c r="I161" s="9">
        <v>0.0</v>
      </c>
      <c r="J161" s="9">
        <v>0.0</v>
      </c>
      <c r="K161" s="9">
        <v>0.0</v>
      </c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>
      <c r="A162" s="9">
        <v>401.0</v>
      </c>
      <c r="B162" s="9">
        <v>274.0</v>
      </c>
      <c r="C162" s="9">
        <v>7.0</v>
      </c>
      <c r="D162" s="9">
        <v>10147.0</v>
      </c>
      <c r="E162" s="9">
        <v>1.478908455E9</v>
      </c>
      <c r="F162" s="8"/>
      <c r="G162" s="9">
        <v>0.0</v>
      </c>
      <c r="H162" s="9">
        <v>0.0</v>
      </c>
      <c r="I162" s="9" t="s">
        <v>61</v>
      </c>
      <c r="J162" s="9">
        <v>0.0</v>
      </c>
      <c r="K162" s="9">
        <v>0.0</v>
      </c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>
      <c r="A163" s="9">
        <v>401.0</v>
      </c>
      <c r="B163" s="9">
        <v>294.0</v>
      </c>
      <c r="C163" s="9">
        <v>7.0</v>
      </c>
      <c r="D163" s="9">
        <v>10147.0</v>
      </c>
      <c r="E163" s="9">
        <v>1.478908587E9</v>
      </c>
      <c r="F163" s="8"/>
      <c r="G163" s="9">
        <v>0.0</v>
      </c>
      <c r="H163" s="9">
        <v>0.0</v>
      </c>
      <c r="I163" s="9" t="s">
        <v>61</v>
      </c>
      <c r="J163" s="9">
        <v>0.0</v>
      </c>
      <c r="K163" s="9">
        <v>0.0</v>
      </c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>
      <c r="A164" s="9">
        <v>401.0</v>
      </c>
      <c r="B164" s="9">
        <v>305.0</v>
      </c>
      <c r="C164" s="9">
        <v>7.0</v>
      </c>
      <c r="D164" s="9">
        <v>10147.0</v>
      </c>
      <c r="E164" s="9">
        <v>1.478908684E9</v>
      </c>
      <c r="F164" s="8"/>
      <c r="G164" s="9">
        <v>0.0</v>
      </c>
      <c r="H164" s="9">
        <v>0.0</v>
      </c>
      <c r="I164" s="9" t="s">
        <v>61</v>
      </c>
      <c r="J164" s="9">
        <v>0.0</v>
      </c>
      <c r="K164" s="9">
        <v>0.0</v>
      </c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>
      <c r="A165" s="9">
        <v>401.0</v>
      </c>
      <c r="B165" s="9">
        <v>314.0</v>
      </c>
      <c r="C165" s="9">
        <v>7.0</v>
      </c>
      <c r="D165" s="9">
        <v>10147.0</v>
      </c>
      <c r="E165" s="9">
        <v>1.478908815E9</v>
      </c>
      <c r="F165" s="8"/>
      <c r="G165" s="9">
        <v>0.0</v>
      </c>
      <c r="H165" s="9">
        <v>0.0</v>
      </c>
      <c r="I165" s="9" t="s">
        <v>61</v>
      </c>
      <c r="J165" s="9">
        <v>0.0</v>
      </c>
      <c r="K165" s="9">
        <v>0.0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>
      <c r="A166" s="9">
        <v>401.0</v>
      </c>
      <c r="B166" s="9">
        <v>353.0</v>
      </c>
      <c r="C166" s="9">
        <v>7.0</v>
      </c>
      <c r="D166" s="9">
        <v>10147.0</v>
      </c>
      <c r="E166" s="9">
        <v>1.478909165E9</v>
      </c>
      <c r="F166" s="8"/>
      <c r="G166" s="9">
        <v>0.0</v>
      </c>
      <c r="H166" s="9">
        <v>0.0</v>
      </c>
      <c r="I166" s="9" t="s">
        <v>61</v>
      </c>
      <c r="J166" s="9">
        <v>0.0</v>
      </c>
      <c r="K166" s="9">
        <v>0.0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>
      <c r="A167" s="9">
        <v>401.0</v>
      </c>
      <c r="B167" s="9">
        <v>363.0</v>
      </c>
      <c r="C167" s="9">
        <v>7.0</v>
      </c>
      <c r="D167" s="9">
        <v>10147.0</v>
      </c>
      <c r="E167" s="9">
        <v>1.47890929E9</v>
      </c>
      <c r="F167" s="8"/>
      <c r="G167" s="9">
        <v>0.0</v>
      </c>
      <c r="H167" s="9">
        <v>0.0</v>
      </c>
      <c r="I167" s="9" t="s">
        <v>61</v>
      </c>
      <c r="J167" s="9">
        <v>0.0</v>
      </c>
      <c r="K167" s="9">
        <v>0.0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>
      <c r="A168" s="9">
        <v>401.0</v>
      </c>
      <c r="B168" s="9">
        <v>378.0</v>
      </c>
      <c r="C168" s="9">
        <v>7.0</v>
      </c>
      <c r="D168" s="9">
        <v>10147.0</v>
      </c>
      <c r="E168" s="9">
        <v>1.478909439E9</v>
      </c>
      <c r="F168" s="8"/>
      <c r="G168" s="9">
        <v>0.0</v>
      </c>
      <c r="H168" s="9">
        <v>0.0</v>
      </c>
      <c r="I168" s="9" t="s">
        <v>61</v>
      </c>
      <c r="J168" s="9">
        <v>0.0</v>
      </c>
      <c r="K168" s="9">
        <v>0.0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>
      <c r="A169" s="9">
        <v>401.0</v>
      </c>
      <c r="B169" s="9">
        <v>380.0</v>
      </c>
      <c r="C169" s="9">
        <v>7.0</v>
      </c>
      <c r="D169" s="9">
        <v>10147.0</v>
      </c>
      <c r="E169" s="9">
        <v>1.478909473E9</v>
      </c>
      <c r="F169" s="8"/>
      <c r="G169" s="9">
        <v>0.0</v>
      </c>
      <c r="H169" s="9">
        <v>0.0</v>
      </c>
      <c r="I169" s="9" t="s">
        <v>61</v>
      </c>
      <c r="J169" s="9">
        <v>0.0</v>
      </c>
      <c r="K169" s="9">
        <v>0.0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>
      <c r="A170" s="9">
        <v>401.0</v>
      </c>
      <c r="B170" s="9">
        <v>385.0</v>
      </c>
      <c r="C170" s="9">
        <v>7.0</v>
      </c>
      <c r="D170" s="9">
        <v>10147.0</v>
      </c>
      <c r="E170" s="9">
        <v>1.478909509E9</v>
      </c>
      <c r="F170" s="8"/>
      <c r="G170" s="9">
        <v>0.0</v>
      </c>
      <c r="H170" s="9">
        <v>0.0</v>
      </c>
      <c r="I170" s="9" t="s">
        <v>61</v>
      </c>
      <c r="J170" s="9">
        <v>0.0</v>
      </c>
      <c r="K170" s="9">
        <v>0.0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>
      <c r="A171" s="9">
        <v>401.0</v>
      </c>
      <c r="B171" s="9">
        <v>390.0</v>
      </c>
      <c r="C171" s="9">
        <v>7.0</v>
      </c>
      <c r="D171" s="9">
        <v>10147.0</v>
      </c>
      <c r="E171" s="9">
        <v>1.47890958E9</v>
      </c>
      <c r="F171" s="8"/>
      <c r="G171" s="9">
        <v>0.0</v>
      </c>
      <c r="H171" s="9">
        <v>0.0</v>
      </c>
      <c r="I171" s="9" t="s">
        <v>61</v>
      </c>
      <c r="J171" s="9">
        <v>0.0</v>
      </c>
      <c r="K171" s="9">
        <v>0.0</v>
      </c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>
      <c r="A172" s="9">
        <v>401.0</v>
      </c>
      <c r="B172" s="9">
        <v>406.0</v>
      </c>
      <c r="C172" s="9">
        <v>7.0</v>
      </c>
      <c r="D172" s="9">
        <v>10147.0</v>
      </c>
      <c r="E172" s="9">
        <v>1.478909833E9</v>
      </c>
      <c r="F172" s="8"/>
      <c r="G172" s="9">
        <v>0.0</v>
      </c>
      <c r="H172" s="9">
        <v>0.0</v>
      </c>
      <c r="I172" s="9" t="s">
        <v>61</v>
      </c>
      <c r="J172" s="9">
        <v>0.0</v>
      </c>
      <c r="K172" s="9">
        <v>0.0</v>
      </c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>
      <c r="A173" s="9">
        <v>401.0</v>
      </c>
      <c r="B173" s="9">
        <v>420.0</v>
      </c>
      <c r="C173" s="9">
        <v>7.0</v>
      </c>
      <c r="D173" s="9">
        <v>10147.0</v>
      </c>
      <c r="E173" s="9">
        <v>1.478909964E9</v>
      </c>
      <c r="F173" s="8"/>
      <c r="G173" s="9">
        <v>0.0</v>
      </c>
      <c r="H173" s="9">
        <v>0.0</v>
      </c>
      <c r="I173" s="9" t="s">
        <v>61</v>
      </c>
      <c r="J173" s="9">
        <v>0.0</v>
      </c>
      <c r="K173" s="9">
        <v>0.0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>
      <c r="A174" s="9">
        <v>401.0</v>
      </c>
      <c r="B174" s="9">
        <v>422.0</v>
      </c>
      <c r="C174" s="9">
        <v>7.0</v>
      </c>
      <c r="D174" s="9">
        <v>10147.0</v>
      </c>
      <c r="E174" s="9">
        <v>1.478909995E9</v>
      </c>
      <c r="F174" s="8"/>
      <c r="G174" s="9">
        <v>0.0</v>
      </c>
      <c r="H174" s="9">
        <v>0.0</v>
      </c>
      <c r="I174" s="9" t="s">
        <v>61</v>
      </c>
      <c r="J174" s="9">
        <v>0.0</v>
      </c>
      <c r="K174" s="9">
        <v>0.0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>
      <c r="A175" s="9">
        <v>401.0</v>
      </c>
      <c r="B175" s="9">
        <v>427.0</v>
      </c>
      <c r="C175" s="9">
        <v>7.0</v>
      </c>
      <c r="D175" s="9">
        <v>10147.0</v>
      </c>
      <c r="E175" s="9">
        <v>1.478910044E9</v>
      </c>
      <c r="F175" s="8"/>
      <c r="G175" s="9">
        <v>0.0</v>
      </c>
      <c r="H175" s="9">
        <v>0.0</v>
      </c>
      <c r="I175" s="9" t="s">
        <v>61</v>
      </c>
      <c r="J175" s="9">
        <v>0.0</v>
      </c>
      <c r="K175" s="9">
        <v>0.0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>
      <c r="A176" s="9">
        <v>401.0</v>
      </c>
      <c r="B176" s="9">
        <v>433.0</v>
      </c>
      <c r="C176" s="9">
        <v>7.0</v>
      </c>
      <c r="D176" s="9">
        <v>10147.0</v>
      </c>
      <c r="E176" s="9">
        <v>1.478910119E9</v>
      </c>
      <c r="F176" s="8"/>
      <c r="G176" s="9">
        <v>0.0</v>
      </c>
      <c r="H176" s="9">
        <v>0.0</v>
      </c>
      <c r="I176" s="9" t="s">
        <v>61</v>
      </c>
      <c r="J176" s="9">
        <v>0.0</v>
      </c>
      <c r="K176" s="9">
        <v>0.0</v>
      </c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>
      <c r="A177" s="9">
        <v>401.0</v>
      </c>
      <c r="B177" s="9">
        <v>443.0</v>
      </c>
      <c r="C177" s="9">
        <v>7.0</v>
      </c>
      <c r="D177" s="9">
        <v>10147.0</v>
      </c>
      <c r="E177" s="9">
        <v>1.478910335E9</v>
      </c>
      <c r="F177" s="8"/>
      <c r="G177" s="9">
        <v>0.0</v>
      </c>
      <c r="H177" s="9">
        <v>0.0</v>
      </c>
      <c r="I177" s="9" t="s">
        <v>61</v>
      </c>
      <c r="J177" s="9">
        <v>0.0</v>
      </c>
      <c r="K177" s="9">
        <v>0.0</v>
      </c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>
      <c r="A178" s="9">
        <v>401.0</v>
      </c>
      <c r="B178" s="9">
        <v>452.0</v>
      </c>
      <c r="C178" s="9">
        <v>7.0</v>
      </c>
      <c r="D178" s="9">
        <v>10147.0</v>
      </c>
      <c r="E178" s="9">
        <v>1.478910462E9</v>
      </c>
      <c r="F178" s="8"/>
      <c r="G178" s="9">
        <v>0.0</v>
      </c>
      <c r="H178" s="9">
        <v>0.0</v>
      </c>
      <c r="I178" s="9" t="s">
        <v>61</v>
      </c>
      <c r="J178" s="9">
        <v>0.0</v>
      </c>
      <c r="K178" s="9">
        <v>0.0</v>
      </c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>
      <c r="A179" s="9">
        <v>401.0</v>
      </c>
      <c r="B179" s="9">
        <v>457.0</v>
      </c>
      <c r="C179" s="9">
        <v>7.0</v>
      </c>
      <c r="D179" s="9">
        <v>10147.0</v>
      </c>
      <c r="E179" s="9">
        <v>1.478910569E9</v>
      </c>
      <c r="F179" s="8"/>
      <c r="G179" s="9">
        <v>0.0</v>
      </c>
      <c r="H179" s="9">
        <v>0.0</v>
      </c>
      <c r="I179" s="9" t="s">
        <v>61</v>
      </c>
      <c r="J179" s="9">
        <v>0.0</v>
      </c>
      <c r="K179" s="9">
        <v>0.0</v>
      </c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>
      <c r="A180" s="9">
        <v>401.0</v>
      </c>
      <c r="B180" s="9">
        <v>459.0</v>
      </c>
      <c r="C180" s="9">
        <v>7.0</v>
      </c>
      <c r="D180" s="9">
        <v>10147.0</v>
      </c>
      <c r="E180" s="9">
        <v>1.478910639E9</v>
      </c>
      <c r="F180" s="8"/>
      <c r="G180" s="9">
        <v>0.0</v>
      </c>
      <c r="H180" s="9">
        <v>0.0</v>
      </c>
      <c r="I180" s="9" t="s">
        <v>61</v>
      </c>
      <c r="J180" s="9">
        <v>0.0</v>
      </c>
      <c r="K180" s="9">
        <v>0.0</v>
      </c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>
      <c r="A181" s="9">
        <v>401.0</v>
      </c>
      <c r="B181" s="9">
        <v>467.0</v>
      </c>
      <c r="C181" s="9">
        <v>7.0</v>
      </c>
      <c r="D181" s="9">
        <v>10147.0</v>
      </c>
      <c r="E181" s="9">
        <v>1.478910719E9</v>
      </c>
      <c r="F181" s="8"/>
      <c r="G181" s="9">
        <v>0.0</v>
      </c>
      <c r="H181" s="9">
        <v>0.0</v>
      </c>
      <c r="I181" s="9" t="s">
        <v>61</v>
      </c>
      <c r="J181" s="9">
        <v>0.0</v>
      </c>
      <c r="K181" s="9">
        <v>0.0</v>
      </c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>
      <c r="A182" s="9">
        <v>401.0</v>
      </c>
      <c r="B182" s="9">
        <v>476.0</v>
      </c>
      <c r="C182" s="9">
        <v>7.0</v>
      </c>
      <c r="D182" s="9">
        <v>10147.0</v>
      </c>
      <c r="E182" s="9">
        <v>1.478910946E9</v>
      </c>
      <c r="F182" s="8"/>
      <c r="G182" s="9">
        <v>0.0</v>
      </c>
      <c r="H182" s="9">
        <v>0.0</v>
      </c>
      <c r="I182" s="9" t="s">
        <v>61</v>
      </c>
      <c r="J182" s="9">
        <v>0.0</v>
      </c>
      <c r="K182" s="9">
        <v>0.0</v>
      </c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>
      <c r="A183" s="9">
        <v>401.0</v>
      </c>
      <c r="B183" s="9">
        <v>478.0</v>
      </c>
      <c r="C183" s="9">
        <v>7.0</v>
      </c>
      <c r="D183" s="9">
        <v>10147.0</v>
      </c>
      <c r="E183" s="9">
        <v>1.478910977E9</v>
      </c>
      <c r="F183" s="8"/>
      <c r="G183" s="9">
        <v>0.0</v>
      </c>
      <c r="H183" s="9">
        <v>1.478936208E9</v>
      </c>
      <c r="I183" s="9">
        <v>0.0</v>
      </c>
      <c r="J183" s="9">
        <v>0.0</v>
      </c>
      <c r="K183" s="9">
        <v>0.0</v>
      </c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>
      <c r="A184" s="9">
        <v>401.0</v>
      </c>
      <c r="B184" s="9">
        <v>65.0</v>
      </c>
      <c r="C184" s="9">
        <v>7.0</v>
      </c>
      <c r="D184" s="9">
        <v>10148.0</v>
      </c>
      <c r="E184" s="9">
        <v>1.478906964E9</v>
      </c>
      <c r="F184" s="8"/>
      <c r="G184" s="9">
        <v>0.0</v>
      </c>
      <c r="H184" s="9">
        <v>0.0</v>
      </c>
      <c r="I184" s="9" t="s">
        <v>61</v>
      </c>
      <c r="J184" s="9">
        <v>0.0</v>
      </c>
      <c r="K184" s="9">
        <v>0.0</v>
      </c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>
      <c r="A185" s="9">
        <v>401.0</v>
      </c>
      <c r="B185" s="9">
        <v>89.0</v>
      </c>
      <c r="C185" s="9">
        <v>7.0</v>
      </c>
      <c r="D185" s="9">
        <v>10148.0</v>
      </c>
      <c r="E185" s="9">
        <v>1.478907159E9</v>
      </c>
      <c r="F185" s="8"/>
      <c r="G185" s="9">
        <v>0.0</v>
      </c>
      <c r="H185" s="9">
        <v>0.0</v>
      </c>
      <c r="I185" s="9" t="s">
        <v>61</v>
      </c>
      <c r="J185" s="9">
        <v>0.0</v>
      </c>
      <c r="K185" s="9">
        <v>0.0</v>
      </c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>
      <c r="A186" s="9">
        <v>401.0</v>
      </c>
      <c r="B186" s="9">
        <v>98.0</v>
      </c>
      <c r="C186" s="9">
        <v>7.0</v>
      </c>
      <c r="D186" s="9">
        <v>10148.0</v>
      </c>
      <c r="E186" s="9">
        <v>1.478907232E9</v>
      </c>
      <c r="F186" s="8"/>
      <c r="G186" s="9">
        <v>0.0</v>
      </c>
      <c r="H186" s="9">
        <v>0.0</v>
      </c>
      <c r="I186" s="9" t="s">
        <v>61</v>
      </c>
      <c r="J186" s="9">
        <v>0.0</v>
      </c>
      <c r="K186" s="9">
        <v>0.0</v>
      </c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>
      <c r="A187" s="9">
        <v>401.0</v>
      </c>
      <c r="B187" s="9">
        <v>100.0</v>
      </c>
      <c r="C187" s="9">
        <v>7.0</v>
      </c>
      <c r="D187" s="9">
        <v>10148.0</v>
      </c>
      <c r="E187" s="9">
        <v>1.478907244E9</v>
      </c>
      <c r="F187" s="8"/>
      <c r="G187" s="9">
        <v>0.0</v>
      </c>
      <c r="H187" s="9">
        <v>0.0</v>
      </c>
      <c r="I187" s="9" t="s">
        <v>61</v>
      </c>
      <c r="J187" s="9">
        <v>0.0</v>
      </c>
      <c r="K187" s="9">
        <v>0.0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>
      <c r="A188" s="9">
        <v>401.0</v>
      </c>
      <c r="B188" s="9">
        <v>130.0</v>
      </c>
      <c r="C188" s="9">
        <v>7.0</v>
      </c>
      <c r="D188" s="9">
        <v>10148.0</v>
      </c>
      <c r="E188" s="9">
        <v>1.478907412E9</v>
      </c>
      <c r="F188" s="8"/>
      <c r="G188" s="9">
        <v>0.0</v>
      </c>
      <c r="H188" s="9">
        <v>0.0</v>
      </c>
      <c r="I188" s="9" t="s">
        <v>61</v>
      </c>
      <c r="J188" s="9">
        <v>0.0</v>
      </c>
      <c r="K188" s="9">
        <v>0.0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>
      <c r="A189" s="9">
        <v>401.0</v>
      </c>
      <c r="B189" s="9">
        <v>300.0</v>
      </c>
      <c r="C189" s="9">
        <v>7.0</v>
      </c>
      <c r="D189" s="9">
        <v>10148.0</v>
      </c>
      <c r="E189" s="9">
        <v>1.478908656E9</v>
      </c>
      <c r="F189" s="8"/>
      <c r="G189" s="9">
        <v>0.0</v>
      </c>
      <c r="H189" s="9">
        <v>1.478909262E9</v>
      </c>
      <c r="I189" s="9">
        <v>0.0</v>
      </c>
      <c r="J189" s="9">
        <v>0.0</v>
      </c>
      <c r="K189" s="9">
        <v>0.0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>
      <c r="A190" s="9">
        <v>401.0</v>
      </c>
      <c r="B190" s="9">
        <v>261.0</v>
      </c>
      <c r="C190" s="9">
        <v>7.0</v>
      </c>
      <c r="D190" s="9">
        <v>10149.0</v>
      </c>
      <c r="E190" s="9">
        <v>1.478908383E9</v>
      </c>
      <c r="F190" s="8"/>
      <c r="G190" s="9">
        <v>0.0</v>
      </c>
      <c r="H190" s="9">
        <v>1.478908399E9</v>
      </c>
      <c r="I190" s="9">
        <v>0.0</v>
      </c>
      <c r="J190" s="9">
        <v>0.0</v>
      </c>
      <c r="K190" s="9">
        <v>0.0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>
      <c r="A191" s="9">
        <v>401.0</v>
      </c>
      <c r="B191" s="9">
        <v>57.0</v>
      </c>
      <c r="C191" s="9">
        <v>7.0</v>
      </c>
      <c r="D191" s="9">
        <v>10150.0</v>
      </c>
      <c r="E191" s="9">
        <v>1.47890684E9</v>
      </c>
      <c r="F191" s="8"/>
      <c r="G191" s="9">
        <v>0.0</v>
      </c>
      <c r="H191" s="9">
        <v>0.0</v>
      </c>
      <c r="I191" s="9" t="s">
        <v>61</v>
      </c>
      <c r="J191" s="9">
        <v>0.0</v>
      </c>
      <c r="K191" s="9">
        <v>0.0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>
      <c r="A192" s="9">
        <v>401.0</v>
      </c>
      <c r="B192" s="9">
        <v>60.0</v>
      </c>
      <c r="C192" s="9">
        <v>7.0</v>
      </c>
      <c r="D192" s="9">
        <v>10150.0</v>
      </c>
      <c r="E192" s="9">
        <v>1.478906862E9</v>
      </c>
      <c r="F192" s="8"/>
      <c r="G192" s="9">
        <v>0.0</v>
      </c>
      <c r="H192" s="9">
        <v>1.478906898E9</v>
      </c>
      <c r="I192" s="9">
        <v>10.0</v>
      </c>
      <c r="J192" s="9">
        <v>0.0</v>
      </c>
      <c r="K192" s="9">
        <v>0.0</v>
      </c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>
      <c r="A193" s="9">
        <v>401.0</v>
      </c>
      <c r="B193" s="9">
        <v>165.0</v>
      </c>
      <c r="C193" s="9">
        <v>7.0</v>
      </c>
      <c r="D193" s="9">
        <v>10151.0</v>
      </c>
      <c r="E193" s="9">
        <v>1.478907651E9</v>
      </c>
      <c r="F193" s="8"/>
      <c r="G193" s="9">
        <v>0.0</v>
      </c>
      <c r="H193" s="9">
        <v>0.0</v>
      </c>
      <c r="I193" s="9" t="s">
        <v>61</v>
      </c>
      <c r="J193" s="9">
        <v>0.0</v>
      </c>
      <c r="K193" s="9">
        <v>0.0</v>
      </c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>
      <c r="A194" s="9">
        <v>401.0</v>
      </c>
      <c r="B194" s="9">
        <v>175.0</v>
      </c>
      <c r="C194" s="9">
        <v>7.0</v>
      </c>
      <c r="D194" s="9">
        <v>10151.0</v>
      </c>
      <c r="E194" s="9">
        <v>1.478907708E9</v>
      </c>
      <c r="F194" s="8"/>
      <c r="G194" s="9">
        <v>0.0</v>
      </c>
      <c r="H194" s="9">
        <v>0.0</v>
      </c>
      <c r="I194" s="9" t="s">
        <v>61</v>
      </c>
      <c r="J194" s="9">
        <v>0.0</v>
      </c>
      <c r="K194" s="9">
        <v>0.0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>
      <c r="A195" s="9">
        <v>401.0</v>
      </c>
      <c r="B195" s="9">
        <v>177.0</v>
      </c>
      <c r="C195" s="9">
        <v>7.0</v>
      </c>
      <c r="D195" s="9">
        <v>10151.0</v>
      </c>
      <c r="E195" s="9">
        <v>1.478907737E9</v>
      </c>
      <c r="F195" s="8"/>
      <c r="G195" s="9">
        <v>0.0</v>
      </c>
      <c r="H195" s="9">
        <v>0.0</v>
      </c>
      <c r="I195" s="9" t="s">
        <v>61</v>
      </c>
      <c r="J195" s="9">
        <v>0.0</v>
      </c>
      <c r="K195" s="9">
        <v>0.0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>
      <c r="A196" s="9">
        <v>401.0</v>
      </c>
      <c r="B196" s="9">
        <v>189.0</v>
      </c>
      <c r="C196" s="9">
        <v>7.0</v>
      </c>
      <c r="D196" s="9">
        <v>10151.0</v>
      </c>
      <c r="E196" s="9">
        <v>1.478907798E9</v>
      </c>
      <c r="F196" s="8"/>
      <c r="G196" s="9">
        <v>0.0</v>
      </c>
      <c r="H196" s="9">
        <v>0.0</v>
      </c>
      <c r="I196" s="9" t="s">
        <v>61</v>
      </c>
      <c r="J196" s="9">
        <v>0.0</v>
      </c>
      <c r="K196" s="9">
        <v>0.0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>
      <c r="A197" s="9">
        <v>401.0</v>
      </c>
      <c r="B197" s="9">
        <v>201.0</v>
      </c>
      <c r="C197" s="9">
        <v>7.0</v>
      </c>
      <c r="D197" s="9">
        <v>10151.0</v>
      </c>
      <c r="E197" s="9">
        <v>1.478907884E9</v>
      </c>
      <c r="F197" s="8"/>
      <c r="G197" s="9">
        <v>0.0</v>
      </c>
      <c r="H197" s="9">
        <v>0.0</v>
      </c>
      <c r="I197" s="9" t="s">
        <v>61</v>
      </c>
      <c r="J197" s="9">
        <v>0.0</v>
      </c>
      <c r="K197" s="9">
        <v>0.0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>
      <c r="A198" s="9">
        <v>401.0</v>
      </c>
      <c r="B198" s="9">
        <v>207.0</v>
      </c>
      <c r="C198" s="9">
        <v>7.0</v>
      </c>
      <c r="D198" s="9">
        <v>10151.0</v>
      </c>
      <c r="E198" s="9">
        <v>1.478907941E9</v>
      </c>
      <c r="F198" s="8"/>
      <c r="G198" s="9">
        <v>0.0</v>
      </c>
      <c r="H198" s="9">
        <v>0.0</v>
      </c>
      <c r="I198" s="9" t="s">
        <v>61</v>
      </c>
      <c r="J198" s="9">
        <v>0.0</v>
      </c>
      <c r="K198" s="9">
        <v>0.0</v>
      </c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>
      <c r="A199" s="9">
        <v>401.0</v>
      </c>
      <c r="B199" s="9">
        <v>211.0</v>
      </c>
      <c r="C199" s="9">
        <v>7.0</v>
      </c>
      <c r="D199" s="9">
        <v>10151.0</v>
      </c>
      <c r="E199" s="9">
        <v>1.478907988E9</v>
      </c>
      <c r="F199" s="8"/>
      <c r="G199" s="9">
        <v>0.0</v>
      </c>
      <c r="H199" s="9">
        <v>0.0</v>
      </c>
      <c r="I199" s="9" t="s">
        <v>61</v>
      </c>
      <c r="J199" s="9">
        <v>0.0</v>
      </c>
      <c r="K199" s="9">
        <v>0.0</v>
      </c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>
      <c r="A200" s="9">
        <v>401.0</v>
      </c>
      <c r="B200" s="9">
        <v>221.0</v>
      </c>
      <c r="C200" s="9">
        <v>7.0</v>
      </c>
      <c r="D200" s="9">
        <v>10151.0</v>
      </c>
      <c r="E200" s="9">
        <v>1.478908081E9</v>
      </c>
      <c r="F200" s="8"/>
      <c r="G200" s="9">
        <v>0.0</v>
      </c>
      <c r="H200" s="9">
        <v>0.0</v>
      </c>
      <c r="I200" s="9" t="s">
        <v>61</v>
      </c>
      <c r="J200" s="9">
        <v>0.0</v>
      </c>
      <c r="K200" s="9">
        <v>0.0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>
      <c r="A201" s="9">
        <v>401.0</v>
      </c>
      <c r="B201" s="9">
        <v>241.0</v>
      </c>
      <c r="C201" s="9">
        <v>7.0</v>
      </c>
      <c r="D201" s="9">
        <v>10151.0</v>
      </c>
      <c r="E201" s="9">
        <v>1.478908257E9</v>
      </c>
      <c r="F201" s="8"/>
      <c r="G201" s="9">
        <v>0.0</v>
      </c>
      <c r="H201" s="9">
        <v>0.0</v>
      </c>
      <c r="I201" s="9" t="s">
        <v>61</v>
      </c>
      <c r="J201" s="9">
        <v>0.0</v>
      </c>
      <c r="K201" s="9">
        <v>0.0</v>
      </c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>
      <c r="A202" s="9">
        <v>401.0</v>
      </c>
      <c r="B202" s="9">
        <v>249.0</v>
      </c>
      <c r="C202" s="9">
        <v>7.0</v>
      </c>
      <c r="D202" s="9">
        <v>10151.0</v>
      </c>
      <c r="E202" s="9">
        <v>1.478908302E9</v>
      </c>
      <c r="F202" s="8"/>
      <c r="G202" s="9">
        <v>0.0</v>
      </c>
      <c r="H202" s="9">
        <v>0.0</v>
      </c>
      <c r="I202" s="9" t="s">
        <v>61</v>
      </c>
      <c r="J202" s="9">
        <v>0.0</v>
      </c>
      <c r="K202" s="9">
        <v>0.0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>
      <c r="A203" s="9">
        <v>401.0</v>
      </c>
      <c r="B203" s="9">
        <v>254.0</v>
      </c>
      <c r="C203" s="9">
        <v>7.0</v>
      </c>
      <c r="D203" s="9">
        <v>10151.0</v>
      </c>
      <c r="E203" s="9">
        <v>1.478908349E9</v>
      </c>
      <c r="F203" s="8"/>
      <c r="G203" s="9">
        <v>0.0</v>
      </c>
      <c r="H203" s="9">
        <v>0.0</v>
      </c>
      <c r="I203" s="9" t="s">
        <v>61</v>
      </c>
      <c r="J203" s="9">
        <v>0.0</v>
      </c>
      <c r="K203" s="9">
        <v>0.0</v>
      </c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>
      <c r="A204" s="9">
        <v>401.0</v>
      </c>
      <c r="B204" s="9">
        <v>262.0</v>
      </c>
      <c r="C204" s="9">
        <v>7.0</v>
      </c>
      <c r="D204" s="9">
        <v>10151.0</v>
      </c>
      <c r="E204" s="9">
        <v>1.478908396E9</v>
      </c>
      <c r="F204" s="8"/>
      <c r="G204" s="9">
        <v>0.0</v>
      </c>
      <c r="H204" s="9">
        <v>0.0</v>
      </c>
      <c r="I204" s="9" t="s">
        <v>61</v>
      </c>
      <c r="J204" s="9">
        <v>0.0</v>
      </c>
      <c r="K204" s="9">
        <v>0.0</v>
      </c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>
      <c r="A205" s="9">
        <v>401.0</v>
      </c>
      <c r="B205" s="9">
        <v>270.0</v>
      </c>
      <c r="C205" s="9">
        <v>7.0</v>
      </c>
      <c r="D205" s="9">
        <v>10151.0</v>
      </c>
      <c r="E205" s="9">
        <v>1.478908443E9</v>
      </c>
      <c r="F205" s="8"/>
      <c r="G205" s="9">
        <v>0.0</v>
      </c>
      <c r="H205" s="9">
        <v>1.478908518E9</v>
      </c>
      <c r="I205" s="9">
        <v>10.0</v>
      </c>
      <c r="J205" s="9">
        <v>0.0</v>
      </c>
      <c r="K205" s="9">
        <v>0.0</v>
      </c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>
      <c r="A206" s="9">
        <v>401.0</v>
      </c>
      <c r="B206" s="9">
        <v>336.0</v>
      </c>
      <c r="C206" s="9">
        <v>7.0</v>
      </c>
      <c r="D206" s="9">
        <v>10151.0</v>
      </c>
      <c r="E206" s="9">
        <v>1.478908987E9</v>
      </c>
      <c r="F206" s="8"/>
      <c r="G206" s="9">
        <v>0.0</v>
      </c>
      <c r="H206" s="9">
        <v>1.47890899E9</v>
      </c>
      <c r="I206" s="9">
        <v>10.0</v>
      </c>
      <c r="J206" s="9">
        <v>0.0</v>
      </c>
      <c r="K206" s="9">
        <v>0.0</v>
      </c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>
      <c r="A207" s="9">
        <v>401.0</v>
      </c>
      <c r="B207" s="9">
        <v>191.0</v>
      </c>
      <c r="C207" s="9">
        <v>7.0</v>
      </c>
      <c r="D207" s="9">
        <v>10152.0</v>
      </c>
      <c r="E207" s="9">
        <v>1.478907822E9</v>
      </c>
      <c r="F207" s="8"/>
      <c r="G207" s="9">
        <v>0.0</v>
      </c>
      <c r="H207" s="9">
        <v>0.0</v>
      </c>
      <c r="I207" s="9" t="s">
        <v>61</v>
      </c>
      <c r="J207" s="9">
        <v>0.0</v>
      </c>
      <c r="K207" s="9">
        <v>0.0</v>
      </c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>
      <c r="A208" s="9">
        <v>401.0</v>
      </c>
      <c r="B208" s="9">
        <v>198.0</v>
      </c>
      <c r="C208" s="9">
        <v>7.0</v>
      </c>
      <c r="D208" s="9">
        <v>10152.0</v>
      </c>
      <c r="E208" s="9">
        <v>1.478907858E9</v>
      </c>
      <c r="F208" s="8"/>
      <c r="G208" s="9">
        <v>0.0</v>
      </c>
      <c r="H208" s="9">
        <v>1.478907866E9</v>
      </c>
      <c r="I208" s="9">
        <v>10.0</v>
      </c>
      <c r="J208" s="9">
        <v>0.0</v>
      </c>
      <c r="K208" s="9">
        <v>0.0</v>
      </c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>
      <c r="A209" s="9">
        <v>401.0</v>
      </c>
      <c r="B209" s="9">
        <v>356.0</v>
      </c>
      <c r="C209" s="9">
        <v>7.0</v>
      </c>
      <c r="D209" s="9">
        <v>10153.0</v>
      </c>
      <c r="E209" s="9">
        <v>1.478909173E9</v>
      </c>
      <c r="F209" s="8"/>
      <c r="G209" s="9">
        <v>0.0</v>
      </c>
      <c r="H209" s="9">
        <v>1.478909223E9</v>
      </c>
      <c r="I209" s="9">
        <v>0.0</v>
      </c>
      <c r="J209" s="9">
        <v>0.0</v>
      </c>
      <c r="K209" s="9">
        <v>0.0</v>
      </c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>
      <c r="A210" s="9">
        <v>401.0</v>
      </c>
      <c r="B210" s="9">
        <v>376.0</v>
      </c>
      <c r="C210" s="9">
        <v>7.0</v>
      </c>
      <c r="D210" s="9">
        <v>10153.0</v>
      </c>
      <c r="E210" s="9">
        <v>1.478909422E9</v>
      </c>
      <c r="F210" s="8"/>
      <c r="G210" s="9">
        <v>0.0</v>
      </c>
      <c r="H210" s="9">
        <v>0.0</v>
      </c>
      <c r="I210" s="9" t="s">
        <v>61</v>
      </c>
      <c r="J210" s="9">
        <v>0.0</v>
      </c>
      <c r="K210" s="9">
        <v>0.0</v>
      </c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>
      <c r="A211" s="9">
        <v>401.0</v>
      </c>
      <c r="B211" s="9">
        <v>383.0</v>
      </c>
      <c r="C211" s="9">
        <v>7.0</v>
      </c>
      <c r="D211" s="9">
        <v>10153.0</v>
      </c>
      <c r="E211" s="9">
        <v>1.478909493E9</v>
      </c>
      <c r="F211" s="8"/>
      <c r="G211" s="9">
        <v>0.0</v>
      </c>
      <c r="H211" s="9">
        <v>0.0</v>
      </c>
      <c r="I211" s="9" t="s">
        <v>61</v>
      </c>
      <c r="J211" s="9">
        <v>0.0</v>
      </c>
      <c r="K211" s="9">
        <v>0.0</v>
      </c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>
      <c r="A212" s="9">
        <v>401.0</v>
      </c>
      <c r="B212" s="9">
        <v>388.0</v>
      </c>
      <c r="C212" s="9">
        <v>7.0</v>
      </c>
      <c r="D212" s="9">
        <v>10153.0</v>
      </c>
      <c r="E212" s="9">
        <v>1.478909552E9</v>
      </c>
      <c r="F212" s="8"/>
      <c r="G212" s="9">
        <v>0.0</v>
      </c>
      <c r="H212" s="9">
        <v>1.478909561E9</v>
      </c>
      <c r="I212" s="9">
        <v>0.0</v>
      </c>
      <c r="J212" s="9">
        <v>0.0</v>
      </c>
      <c r="K212" s="9">
        <v>0.0</v>
      </c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>
      <c r="A213" s="9">
        <v>401.0</v>
      </c>
      <c r="B213" s="9">
        <v>397.0</v>
      </c>
      <c r="C213" s="9">
        <v>7.0</v>
      </c>
      <c r="D213" s="9">
        <v>10153.0</v>
      </c>
      <c r="E213" s="9">
        <v>1.478909659E9</v>
      </c>
      <c r="F213" s="8"/>
      <c r="G213" s="9">
        <v>0.0</v>
      </c>
      <c r="H213" s="9">
        <v>1.478909669E9</v>
      </c>
      <c r="I213" s="9">
        <v>0.0</v>
      </c>
      <c r="J213" s="9">
        <v>0.0</v>
      </c>
      <c r="K213" s="9">
        <v>0.0</v>
      </c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>
      <c r="A214" s="9">
        <v>401.0</v>
      </c>
      <c r="B214" s="9">
        <v>403.0</v>
      </c>
      <c r="C214" s="9">
        <v>7.0</v>
      </c>
      <c r="D214" s="9">
        <v>10153.0</v>
      </c>
      <c r="E214" s="9">
        <v>1.478909747E9</v>
      </c>
      <c r="F214" s="8"/>
      <c r="G214" s="9">
        <v>0.0</v>
      </c>
      <c r="H214" s="9">
        <v>1.47890976E9</v>
      </c>
      <c r="I214" s="9">
        <v>10.0</v>
      </c>
      <c r="J214" s="9">
        <v>0.0</v>
      </c>
      <c r="K214" s="9">
        <v>0.0</v>
      </c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>
      <c r="A215" s="9">
        <v>401.0</v>
      </c>
      <c r="B215" s="9">
        <v>482.0</v>
      </c>
      <c r="C215" s="9">
        <v>7.0</v>
      </c>
      <c r="D215" s="9">
        <v>10154.0</v>
      </c>
      <c r="E215" s="9">
        <v>1.478911115E9</v>
      </c>
      <c r="F215" s="8"/>
      <c r="G215" s="9">
        <v>0.0</v>
      </c>
      <c r="H215" s="9">
        <v>1.47891122E9</v>
      </c>
      <c r="I215" s="9">
        <v>0.0</v>
      </c>
      <c r="J215" s="9">
        <v>0.0</v>
      </c>
      <c r="K215" s="9">
        <v>0.0</v>
      </c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>
      <c r="A216" s="9">
        <v>403.0</v>
      </c>
      <c r="B216" s="9">
        <v>172.0</v>
      </c>
      <c r="C216" s="9">
        <v>9.0</v>
      </c>
      <c r="D216" s="9">
        <v>2.0</v>
      </c>
      <c r="E216" s="9">
        <v>1.4789077E9</v>
      </c>
      <c r="F216" s="8"/>
      <c r="G216" s="9">
        <v>0.0</v>
      </c>
      <c r="H216" s="9">
        <v>0.0</v>
      </c>
      <c r="I216" s="9" t="s">
        <v>61</v>
      </c>
      <c r="J216" s="9">
        <v>0.0</v>
      </c>
      <c r="K216" s="9">
        <v>0.0</v>
      </c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>
      <c r="A217" s="9">
        <v>403.0</v>
      </c>
      <c r="B217" s="9">
        <v>571.0</v>
      </c>
      <c r="C217" s="9">
        <v>9.0</v>
      </c>
      <c r="D217" s="9">
        <v>2.0</v>
      </c>
      <c r="E217" s="9">
        <v>1.478940678E9</v>
      </c>
      <c r="F217" s="8"/>
      <c r="G217" s="9">
        <v>0.0</v>
      </c>
      <c r="H217" s="9">
        <v>1.478940689E9</v>
      </c>
      <c r="I217" s="9">
        <v>0.0</v>
      </c>
      <c r="J217" s="9">
        <v>0.0</v>
      </c>
      <c r="K217" s="9">
        <v>0.0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>
      <c r="A218" s="9">
        <v>403.0</v>
      </c>
      <c r="B218" s="9">
        <v>572.0</v>
      </c>
      <c r="C218" s="9">
        <v>9.0</v>
      </c>
      <c r="D218" s="9">
        <v>2.0</v>
      </c>
      <c r="E218" s="9">
        <v>1.478940718E9</v>
      </c>
      <c r="F218" s="8"/>
      <c r="G218" s="9">
        <v>0.0</v>
      </c>
      <c r="H218" s="9">
        <v>0.0</v>
      </c>
      <c r="I218" s="9" t="s">
        <v>61</v>
      </c>
      <c r="J218" s="9">
        <v>0.0</v>
      </c>
      <c r="K218" s="9">
        <v>0.0</v>
      </c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>
      <c r="A219" s="9">
        <v>403.0</v>
      </c>
      <c r="B219" s="9">
        <v>589.0</v>
      </c>
      <c r="C219" s="9">
        <v>9.0</v>
      </c>
      <c r="D219" s="9">
        <v>2.0</v>
      </c>
      <c r="E219" s="9">
        <v>1.478965574E9</v>
      </c>
      <c r="F219" s="8"/>
      <c r="G219" s="9">
        <v>0.0</v>
      </c>
      <c r="H219" s="9">
        <v>0.0</v>
      </c>
      <c r="I219" s="9" t="s">
        <v>61</v>
      </c>
      <c r="J219" s="9">
        <v>0.0</v>
      </c>
      <c r="K219" s="9">
        <v>0.0</v>
      </c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>
      <c r="A220" s="9">
        <v>403.0</v>
      </c>
      <c r="B220" s="9">
        <v>590.0</v>
      </c>
      <c r="C220" s="9">
        <v>9.0</v>
      </c>
      <c r="D220" s="9">
        <v>2.0</v>
      </c>
      <c r="E220" s="9">
        <v>1.478965586E9</v>
      </c>
      <c r="F220" s="8"/>
      <c r="G220" s="9">
        <v>0.0</v>
      </c>
      <c r="H220" s="9">
        <v>0.0</v>
      </c>
      <c r="I220" s="9" t="s">
        <v>61</v>
      </c>
      <c r="J220" s="9">
        <v>0.0</v>
      </c>
      <c r="K220" s="9">
        <v>0.0</v>
      </c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>
      <c r="A221" s="9">
        <v>403.0</v>
      </c>
      <c r="B221" s="9">
        <v>600.0</v>
      </c>
      <c r="C221" s="9">
        <v>9.0</v>
      </c>
      <c r="D221" s="9">
        <v>2.0</v>
      </c>
      <c r="E221" s="9">
        <v>1.478969677E9</v>
      </c>
      <c r="F221" s="8"/>
      <c r="G221" s="9">
        <v>0.0</v>
      </c>
      <c r="H221" s="9">
        <v>0.0</v>
      </c>
      <c r="I221" s="9" t="s">
        <v>61</v>
      </c>
      <c r="J221" s="9">
        <v>0.0</v>
      </c>
      <c r="K221" s="9">
        <v>0.0</v>
      </c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>
      <c r="A222" s="9">
        <v>403.0</v>
      </c>
      <c r="B222" s="9">
        <v>601.0</v>
      </c>
      <c r="C222" s="9">
        <v>9.0</v>
      </c>
      <c r="D222" s="9">
        <v>2.0</v>
      </c>
      <c r="E222" s="9">
        <v>1.47896984E9</v>
      </c>
      <c r="F222" s="8"/>
      <c r="G222" s="9">
        <v>0.0</v>
      </c>
      <c r="H222" s="9">
        <v>1.478969853E9</v>
      </c>
      <c r="I222" s="9">
        <v>10.0</v>
      </c>
      <c r="J222" s="9">
        <v>0.0</v>
      </c>
      <c r="K222" s="9">
        <v>0.0</v>
      </c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>
      <c r="A223" s="9">
        <v>403.0</v>
      </c>
      <c r="B223" s="9">
        <v>602.0</v>
      </c>
      <c r="C223" s="9">
        <v>9.0</v>
      </c>
      <c r="D223" s="9">
        <v>2.0</v>
      </c>
      <c r="E223" s="9">
        <v>1.478970233E9</v>
      </c>
      <c r="F223" s="8"/>
      <c r="G223" s="9">
        <v>0.0</v>
      </c>
      <c r="H223" s="9">
        <v>0.0</v>
      </c>
      <c r="I223" s="9" t="s">
        <v>61</v>
      </c>
      <c r="J223" s="9">
        <v>0.0</v>
      </c>
      <c r="K223" s="9">
        <v>0.0</v>
      </c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>
      <c r="A224" s="9">
        <v>403.0</v>
      </c>
      <c r="B224" s="9">
        <v>605.0</v>
      </c>
      <c r="C224" s="9">
        <v>9.0</v>
      </c>
      <c r="D224" s="9">
        <v>2.0</v>
      </c>
      <c r="E224" s="9">
        <v>1.47897031E9</v>
      </c>
      <c r="F224" s="8"/>
      <c r="G224" s="9">
        <v>0.0</v>
      </c>
      <c r="H224" s="9">
        <v>0.0</v>
      </c>
      <c r="I224" s="9" t="s">
        <v>61</v>
      </c>
      <c r="J224" s="9">
        <v>0.0</v>
      </c>
      <c r="K224" s="9">
        <v>0.0</v>
      </c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>
      <c r="A225" s="9">
        <v>403.0</v>
      </c>
      <c r="B225" s="9">
        <v>606.0</v>
      </c>
      <c r="C225" s="9">
        <v>9.0</v>
      </c>
      <c r="D225" s="9">
        <v>2.0</v>
      </c>
      <c r="E225" s="9">
        <v>1.478970722E9</v>
      </c>
      <c r="F225" s="8"/>
      <c r="G225" s="9">
        <v>0.0</v>
      </c>
      <c r="H225" s="9">
        <v>0.0</v>
      </c>
      <c r="I225" s="9" t="s">
        <v>61</v>
      </c>
      <c r="J225" s="9">
        <v>0.0</v>
      </c>
      <c r="K225" s="9">
        <v>0.0</v>
      </c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>
      <c r="A226" s="9">
        <v>403.0</v>
      </c>
      <c r="B226" s="9">
        <v>607.0</v>
      </c>
      <c r="C226" s="9">
        <v>9.0</v>
      </c>
      <c r="D226" s="9">
        <v>2.0</v>
      </c>
      <c r="E226" s="9">
        <v>1.478970736E9</v>
      </c>
      <c r="F226" s="8"/>
      <c r="G226" s="9">
        <v>0.0</v>
      </c>
      <c r="H226" s="9">
        <v>1.47897075E9</v>
      </c>
      <c r="I226" s="9">
        <v>10.0</v>
      </c>
      <c r="J226" s="9">
        <v>0.0</v>
      </c>
      <c r="K226" s="9">
        <v>0.0</v>
      </c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>
      <c r="A227" s="9">
        <v>403.0</v>
      </c>
      <c r="B227" s="9">
        <v>608.0</v>
      </c>
      <c r="C227" s="9">
        <v>9.0</v>
      </c>
      <c r="D227" s="9">
        <v>2.0</v>
      </c>
      <c r="E227" s="9">
        <v>1.47897083E9</v>
      </c>
      <c r="F227" s="8"/>
      <c r="G227" s="9">
        <v>0.0</v>
      </c>
      <c r="H227" s="9">
        <v>1.478970839E9</v>
      </c>
      <c r="I227" s="9">
        <v>0.0</v>
      </c>
      <c r="J227" s="9">
        <v>0.0</v>
      </c>
      <c r="K227" s="9">
        <v>0.0</v>
      </c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>
      <c r="A228" s="9">
        <v>403.0</v>
      </c>
      <c r="B228" s="9">
        <v>609.0</v>
      </c>
      <c r="C228" s="9">
        <v>9.0</v>
      </c>
      <c r="D228" s="9">
        <v>2.0</v>
      </c>
      <c r="E228" s="9">
        <v>1.478971089E9</v>
      </c>
      <c r="F228" s="8"/>
      <c r="G228" s="9">
        <v>0.0</v>
      </c>
      <c r="H228" s="9">
        <v>0.0</v>
      </c>
      <c r="I228" s="9" t="s">
        <v>61</v>
      </c>
      <c r="J228" s="9">
        <v>0.0</v>
      </c>
      <c r="K228" s="9">
        <v>0.0</v>
      </c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>
      <c r="A229" s="9">
        <v>403.0</v>
      </c>
      <c r="B229" s="9">
        <v>610.0</v>
      </c>
      <c r="C229" s="9">
        <v>9.0</v>
      </c>
      <c r="D229" s="9">
        <v>2.0</v>
      </c>
      <c r="E229" s="9">
        <v>1.478971106E9</v>
      </c>
      <c r="F229" s="8"/>
      <c r="G229" s="9">
        <v>0.0</v>
      </c>
      <c r="H229" s="9">
        <v>1.478971118E9</v>
      </c>
      <c r="I229" s="9">
        <v>10.0</v>
      </c>
      <c r="J229" s="9">
        <v>0.0</v>
      </c>
      <c r="K229" s="9">
        <v>0.0</v>
      </c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>
      <c r="A230" s="9">
        <v>403.0</v>
      </c>
      <c r="B230" s="9">
        <v>612.0</v>
      </c>
      <c r="C230" s="9">
        <v>9.0</v>
      </c>
      <c r="D230" s="9">
        <v>2.0</v>
      </c>
      <c r="E230" s="9">
        <v>1.478971457E9</v>
      </c>
      <c r="F230" s="8"/>
      <c r="G230" s="9">
        <v>0.0</v>
      </c>
      <c r="H230" s="9">
        <v>0.0</v>
      </c>
      <c r="I230" s="9" t="s">
        <v>61</v>
      </c>
      <c r="J230" s="9">
        <v>0.0</v>
      </c>
      <c r="K230" s="9">
        <v>0.0</v>
      </c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>
      <c r="A231" s="9">
        <v>403.0</v>
      </c>
      <c r="B231" s="9">
        <v>614.0</v>
      </c>
      <c r="C231" s="9">
        <v>9.0</v>
      </c>
      <c r="D231" s="9">
        <v>2.0</v>
      </c>
      <c r="E231" s="9">
        <v>1.478971498E9</v>
      </c>
      <c r="F231" s="8"/>
      <c r="G231" s="9">
        <v>0.0</v>
      </c>
      <c r="H231" s="9">
        <v>0.0</v>
      </c>
      <c r="I231" s="9" t="s">
        <v>61</v>
      </c>
      <c r="J231" s="9">
        <v>0.0</v>
      </c>
      <c r="K231" s="9">
        <v>0.0</v>
      </c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>
      <c r="A232" s="9">
        <v>403.0</v>
      </c>
      <c r="B232" s="9">
        <v>616.0</v>
      </c>
      <c r="C232" s="9">
        <v>9.0</v>
      </c>
      <c r="D232" s="9">
        <v>2.0</v>
      </c>
      <c r="E232" s="9">
        <v>1.478972022E9</v>
      </c>
      <c r="F232" s="8"/>
      <c r="G232" s="9">
        <v>0.0</v>
      </c>
      <c r="H232" s="9">
        <v>0.0</v>
      </c>
      <c r="I232" s="9" t="s">
        <v>61</v>
      </c>
      <c r="J232" s="9">
        <v>0.0</v>
      </c>
      <c r="K232" s="9">
        <v>0.0</v>
      </c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>
      <c r="A233" s="9">
        <v>403.0</v>
      </c>
      <c r="B233" s="9">
        <v>619.0</v>
      </c>
      <c r="C233" s="9">
        <v>9.0</v>
      </c>
      <c r="D233" s="9">
        <v>2.0</v>
      </c>
      <c r="E233" s="9">
        <v>1.478972186E9</v>
      </c>
      <c r="F233" s="8"/>
      <c r="G233" s="9">
        <v>0.0</v>
      </c>
      <c r="H233" s="9">
        <v>0.0</v>
      </c>
      <c r="I233" s="9" t="s">
        <v>61</v>
      </c>
      <c r="J233" s="9">
        <v>0.0</v>
      </c>
      <c r="K233" s="9">
        <v>0.0</v>
      </c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>
      <c r="A234" s="9">
        <v>403.0</v>
      </c>
      <c r="B234" s="9">
        <v>620.0</v>
      </c>
      <c r="C234" s="9">
        <v>9.0</v>
      </c>
      <c r="D234" s="9">
        <v>2.0</v>
      </c>
      <c r="E234" s="9">
        <v>1.478972419E9</v>
      </c>
      <c r="F234" s="8"/>
      <c r="G234" s="9">
        <v>0.0</v>
      </c>
      <c r="H234" s="9">
        <v>0.0</v>
      </c>
      <c r="I234" s="9" t="s">
        <v>61</v>
      </c>
      <c r="J234" s="9">
        <v>0.0</v>
      </c>
      <c r="K234" s="9">
        <v>0.0</v>
      </c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>
      <c r="A235" s="9">
        <v>403.0</v>
      </c>
      <c r="B235" s="9">
        <v>624.0</v>
      </c>
      <c r="C235" s="9">
        <v>9.0</v>
      </c>
      <c r="D235" s="9">
        <v>2.0</v>
      </c>
      <c r="E235" s="9">
        <v>1.478972462E9</v>
      </c>
      <c r="F235" s="8"/>
      <c r="G235" s="9">
        <v>0.0</v>
      </c>
      <c r="H235" s="9">
        <v>0.0</v>
      </c>
      <c r="I235" s="9" t="s">
        <v>61</v>
      </c>
      <c r="J235" s="9">
        <v>0.0</v>
      </c>
      <c r="K235" s="9">
        <v>0.0</v>
      </c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>
      <c r="A236" s="9">
        <v>403.0</v>
      </c>
      <c r="B236" s="9">
        <v>625.0</v>
      </c>
      <c r="C236" s="9">
        <v>9.0</v>
      </c>
      <c r="D236" s="9">
        <v>2.0</v>
      </c>
      <c r="E236" s="9">
        <v>1.478972957E9</v>
      </c>
      <c r="F236" s="8"/>
      <c r="G236" s="9">
        <v>0.0</v>
      </c>
      <c r="H236" s="9">
        <v>0.0</v>
      </c>
      <c r="I236" s="9" t="s">
        <v>61</v>
      </c>
      <c r="J236" s="9">
        <v>0.0</v>
      </c>
      <c r="K236" s="9">
        <v>0.0</v>
      </c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>
      <c r="A237" s="9">
        <v>403.0</v>
      </c>
      <c r="B237" s="9">
        <v>626.0</v>
      </c>
      <c r="C237" s="9">
        <v>9.0</v>
      </c>
      <c r="D237" s="9">
        <v>2.0</v>
      </c>
      <c r="E237" s="9">
        <v>1.478973002E9</v>
      </c>
      <c r="F237" s="8"/>
      <c r="G237" s="9">
        <v>0.0</v>
      </c>
      <c r="H237" s="9">
        <v>0.0</v>
      </c>
      <c r="I237" s="9" t="s">
        <v>61</v>
      </c>
      <c r="J237" s="9">
        <v>0.0</v>
      </c>
      <c r="K237" s="9">
        <v>0.0</v>
      </c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>
      <c r="A238" s="9">
        <v>403.0</v>
      </c>
      <c r="B238" s="9">
        <v>627.0</v>
      </c>
      <c r="C238" s="9">
        <v>9.0</v>
      </c>
      <c r="D238" s="9">
        <v>2.0</v>
      </c>
      <c r="E238" s="9">
        <v>1.478973598E9</v>
      </c>
      <c r="F238" s="8"/>
      <c r="G238" s="9">
        <v>0.0</v>
      </c>
      <c r="H238" s="9">
        <v>0.0</v>
      </c>
      <c r="I238" s="9" t="s">
        <v>61</v>
      </c>
      <c r="J238" s="9">
        <v>0.0</v>
      </c>
      <c r="K238" s="9">
        <v>0.0</v>
      </c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>
      <c r="A239" s="9">
        <v>403.0</v>
      </c>
      <c r="B239" s="9">
        <v>628.0</v>
      </c>
      <c r="C239" s="9">
        <v>9.0</v>
      </c>
      <c r="D239" s="9">
        <v>2.0</v>
      </c>
      <c r="E239" s="9">
        <v>1.478973614E9</v>
      </c>
      <c r="F239" s="8"/>
      <c r="G239" s="9">
        <v>0.0</v>
      </c>
      <c r="H239" s="9">
        <v>1.478973625E9</v>
      </c>
      <c r="I239" s="9">
        <v>10.0</v>
      </c>
      <c r="J239" s="9">
        <v>0.0</v>
      </c>
      <c r="K239" s="9">
        <v>0.0</v>
      </c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>
      <c r="A240" s="9">
        <v>403.0</v>
      </c>
      <c r="B240" s="9">
        <v>4.0</v>
      </c>
      <c r="C240" s="9">
        <v>9.0</v>
      </c>
      <c r="D240" s="9">
        <v>10115.0</v>
      </c>
      <c r="E240" s="9">
        <v>1.478903205E9</v>
      </c>
      <c r="F240" s="8"/>
      <c r="G240" s="9">
        <v>0.0</v>
      </c>
      <c r="H240" s="9">
        <v>1.478903236E9</v>
      </c>
      <c r="I240" s="9">
        <v>0.0</v>
      </c>
      <c r="J240" s="9">
        <v>0.0</v>
      </c>
      <c r="K240" s="9">
        <v>0.0</v>
      </c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>
      <c r="A241" s="9">
        <v>403.0</v>
      </c>
      <c r="B241" s="9">
        <v>99.0</v>
      </c>
      <c r="C241" s="9">
        <v>9.0</v>
      </c>
      <c r="D241" s="9">
        <v>10116.0</v>
      </c>
      <c r="E241" s="9">
        <v>1.478907243E9</v>
      </c>
      <c r="F241" s="8"/>
      <c r="G241" s="9">
        <v>0.0</v>
      </c>
      <c r="H241" s="9">
        <v>0.0</v>
      </c>
      <c r="I241" s="9" t="s">
        <v>61</v>
      </c>
      <c r="J241" s="9">
        <v>0.0</v>
      </c>
      <c r="K241" s="9">
        <v>0.0</v>
      </c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>
      <c r="A242" s="9">
        <v>403.0</v>
      </c>
      <c r="B242" s="9">
        <v>109.0</v>
      </c>
      <c r="C242" s="9">
        <v>9.0</v>
      </c>
      <c r="D242" s="9">
        <v>10116.0</v>
      </c>
      <c r="E242" s="9">
        <v>1.478907297E9</v>
      </c>
      <c r="F242" s="8"/>
      <c r="G242" s="9">
        <v>0.0</v>
      </c>
      <c r="H242" s="9">
        <v>0.0</v>
      </c>
      <c r="I242" s="9" t="s">
        <v>61</v>
      </c>
      <c r="J242" s="9">
        <v>0.0</v>
      </c>
      <c r="K242" s="9">
        <v>0.0</v>
      </c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>
      <c r="A243" s="9">
        <v>403.0</v>
      </c>
      <c r="B243" s="9">
        <v>113.0</v>
      </c>
      <c r="C243" s="9">
        <v>9.0</v>
      </c>
      <c r="D243" s="9">
        <v>10116.0</v>
      </c>
      <c r="E243" s="9">
        <v>1.478907318E9</v>
      </c>
      <c r="F243" s="8"/>
      <c r="G243" s="9">
        <v>0.0</v>
      </c>
      <c r="H243" s="9">
        <v>0.0</v>
      </c>
      <c r="I243" s="9" t="s">
        <v>61</v>
      </c>
      <c r="J243" s="9">
        <v>0.0</v>
      </c>
      <c r="K243" s="9">
        <v>0.0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>
      <c r="A244" s="9">
        <v>403.0</v>
      </c>
      <c r="B244" s="9">
        <v>122.0</v>
      </c>
      <c r="C244" s="9">
        <v>9.0</v>
      </c>
      <c r="D244" s="9">
        <v>10116.0</v>
      </c>
      <c r="E244" s="9">
        <v>1.47890736E9</v>
      </c>
      <c r="F244" s="8"/>
      <c r="G244" s="9">
        <v>0.0</v>
      </c>
      <c r="H244" s="9">
        <v>0.0</v>
      </c>
      <c r="I244" s="9" t="s">
        <v>61</v>
      </c>
      <c r="J244" s="9">
        <v>0.0</v>
      </c>
      <c r="K244" s="9">
        <v>0.0</v>
      </c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>
      <c r="A245" s="9">
        <v>403.0</v>
      </c>
      <c r="B245" s="9">
        <v>134.0</v>
      </c>
      <c r="C245" s="9">
        <v>9.0</v>
      </c>
      <c r="D245" s="9">
        <v>10116.0</v>
      </c>
      <c r="E245" s="9">
        <v>1.478907438E9</v>
      </c>
      <c r="F245" s="8"/>
      <c r="G245" s="9">
        <v>0.0</v>
      </c>
      <c r="H245" s="9">
        <v>0.0</v>
      </c>
      <c r="I245" s="9" t="s">
        <v>61</v>
      </c>
      <c r="J245" s="9">
        <v>0.0</v>
      </c>
      <c r="K245" s="9">
        <v>0.0</v>
      </c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>
      <c r="A246" s="9">
        <v>403.0</v>
      </c>
      <c r="B246" s="9">
        <v>143.0</v>
      </c>
      <c r="C246" s="9">
        <v>9.0</v>
      </c>
      <c r="D246" s="9">
        <v>10116.0</v>
      </c>
      <c r="E246" s="9">
        <v>1.478907496E9</v>
      </c>
      <c r="F246" s="8"/>
      <c r="G246" s="9">
        <v>0.0</v>
      </c>
      <c r="H246" s="9">
        <v>1.478907533E9</v>
      </c>
      <c r="I246" s="9">
        <v>10.0</v>
      </c>
      <c r="J246" s="9">
        <v>0.0</v>
      </c>
      <c r="K246" s="9">
        <v>0.0</v>
      </c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>
      <c r="A247" s="9">
        <v>403.0</v>
      </c>
      <c r="B247" s="9">
        <v>157.0</v>
      </c>
      <c r="C247" s="9">
        <v>9.0</v>
      </c>
      <c r="D247" s="9">
        <v>10119.0</v>
      </c>
      <c r="E247" s="9">
        <v>1.478907614E9</v>
      </c>
      <c r="F247" s="8"/>
      <c r="G247" s="9">
        <v>0.0</v>
      </c>
      <c r="H247" s="9">
        <v>0.0</v>
      </c>
      <c r="I247" s="9" t="s">
        <v>61</v>
      </c>
      <c r="J247" s="9">
        <v>0.0</v>
      </c>
      <c r="K247" s="9">
        <v>0.0</v>
      </c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>
      <c r="A248" s="9">
        <v>403.0</v>
      </c>
      <c r="B248" s="9">
        <v>267.0</v>
      </c>
      <c r="C248" s="9">
        <v>9.0</v>
      </c>
      <c r="D248" s="9">
        <v>10119.0</v>
      </c>
      <c r="E248" s="9">
        <v>1.47890842E9</v>
      </c>
      <c r="F248" s="8"/>
      <c r="G248" s="9">
        <v>0.0</v>
      </c>
      <c r="H248" s="9">
        <v>1.478908563E9</v>
      </c>
      <c r="I248" s="9">
        <v>0.0</v>
      </c>
      <c r="J248" s="9">
        <v>0.0</v>
      </c>
      <c r="K248" s="9">
        <v>0.0</v>
      </c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>
      <c r="A249" s="9">
        <v>403.0</v>
      </c>
      <c r="B249" s="9">
        <v>297.0</v>
      </c>
      <c r="C249" s="9">
        <v>9.0</v>
      </c>
      <c r="D249" s="9">
        <v>10119.0</v>
      </c>
      <c r="E249" s="9">
        <v>1.47890863E9</v>
      </c>
      <c r="F249" s="8"/>
      <c r="G249" s="9">
        <v>0.0</v>
      </c>
      <c r="H249" s="9">
        <v>0.0</v>
      </c>
      <c r="I249" s="9" t="s">
        <v>61</v>
      </c>
      <c r="J249" s="9">
        <v>0.0</v>
      </c>
      <c r="K249" s="9">
        <v>0.0</v>
      </c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>
      <c r="A250" s="9">
        <v>403.0</v>
      </c>
      <c r="B250" s="9">
        <v>178.0</v>
      </c>
      <c r="C250" s="9">
        <v>9.0</v>
      </c>
      <c r="D250" s="9">
        <v>10120.0</v>
      </c>
      <c r="E250" s="9">
        <v>1.478907739E9</v>
      </c>
      <c r="F250" s="8"/>
      <c r="G250" s="9">
        <v>0.0</v>
      </c>
      <c r="H250" s="9">
        <v>0.0</v>
      </c>
      <c r="I250" s="9" t="s">
        <v>61</v>
      </c>
      <c r="J250" s="9">
        <v>0.0</v>
      </c>
      <c r="K250" s="9">
        <v>0.0</v>
      </c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>
      <c r="A251" s="9">
        <v>403.0</v>
      </c>
      <c r="B251" s="9">
        <v>182.0</v>
      </c>
      <c r="C251" s="9">
        <v>9.0</v>
      </c>
      <c r="D251" s="9">
        <v>10120.0</v>
      </c>
      <c r="E251" s="9">
        <v>1.478907774E9</v>
      </c>
      <c r="F251" s="8"/>
      <c r="G251" s="9">
        <v>0.0</v>
      </c>
      <c r="H251" s="9">
        <v>0.0</v>
      </c>
      <c r="I251" s="9" t="s">
        <v>61</v>
      </c>
      <c r="J251" s="9">
        <v>0.0</v>
      </c>
      <c r="K251" s="9">
        <v>0.0</v>
      </c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>
      <c r="A252" s="9">
        <v>403.0</v>
      </c>
      <c r="B252" s="9">
        <v>192.0</v>
      </c>
      <c r="C252" s="9">
        <v>9.0</v>
      </c>
      <c r="D252" s="9">
        <v>10120.0</v>
      </c>
      <c r="E252" s="9">
        <v>1.478907822E9</v>
      </c>
      <c r="F252" s="8"/>
      <c r="G252" s="9">
        <v>0.0</v>
      </c>
      <c r="H252" s="9">
        <v>1.47890784E9</v>
      </c>
      <c r="I252" s="9">
        <v>10.0</v>
      </c>
      <c r="J252" s="9">
        <v>0.0</v>
      </c>
      <c r="K252" s="9">
        <v>0.0</v>
      </c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>
      <c r="A253" s="9">
        <v>403.0</v>
      </c>
      <c r="B253" s="9">
        <v>393.0</v>
      </c>
      <c r="C253" s="9">
        <v>9.0</v>
      </c>
      <c r="D253" s="9">
        <v>10120.0</v>
      </c>
      <c r="E253" s="9">
        <v>1.478909619E9</v>
      </c>
      <c r="F253" s="8"/>
      <c r="G253" s="9">
        <v>0.0</v>
      </c>
      <c r="H253" s="9">
        <v>1.478909636E9</v>
      </c>
      <c r="I253" s="9">
        <v>10.0</v>
      </c>
      <c r="J253" s="9">
        <v>0.0</v>
      </c>
      <c r="K253" s="9">
        <v>0.0</v>
      </c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>
      <c r="A254" s="9">
        <v>403.0</v>
      </c>
      <c r="B254" s="9">
        <v>438.0</v>
      </c>
      <c r="C254" s="9">
        <v>9.0</v>
      </c>
      <c r="D254" s="9">
        <v>10120.0</v>
      </c>
      <c r="E254" s="9">
        <v>1.478910156E9</v>
      </c>
      <c r="F254" s="8"/>
      <c r="G254" s="9">
        <v>0.0</v>
      </c>
      <c r="H254" s="9">
        <v>1.478910343E9</v>
      </c>
      <c r="I254" s="9">
        <v>10.0</v>
      </c>
      <c r="J254" s="9">
        <v>0.0</v>
      </c>
      <c r="K254" s="9">
        <v>0.0</v>
      </c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>
      <c r="A255" s="9">
        <v>403.0</v>
      </c>
      <c r="B255" s="9">
        <v>495.0</v>
      </c>
      <c r="C255" s="9">
        <v>9.0</v>
      </c>
      <c r="D255" s="9">
        <v>10120.0</v>
      </c>
      <c r="E255" s="9">
        <v>1.478911931E9</v>
      </c>
      <c r="F255" s="8"/>
      <c r="G255" s="9">
        <v>0.0</v>
      </c>
      <c r="H255" s="9">
        <v>1.478911953E9</v>
      </c>
      <c r="I255" s="9">
        <v>10.0</v>
      </c>
      <c r="J255" s="9">
        <v>0.0</v>
      </c>
      <c r="K255" s="9">
        <v>0.0</v>
      </c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>
      <c r="A256" s="9">
        <v>403.0</v>
      </c>
      <c r="B256" s="9">
        <v>219.0</v>
      </c>
      <c r="C256" s="9">
        <v>9.0</v>
      </c>
      <c r="D256" s="9">
        <v>10121.0</v>
      </c>
      <c r="E256" s="9">
        <v>1.478908059E9</v>
      </c>
      <c r="F256" s="8"/>
      <c r="G256" s="9">
        <v>0.0</v>
      </c>
      <c r="H256" s="9">
        <v>0.0</v>
      </c>
      <c r="I256" s="9" t="s">
        <v>61</v>
      </c>
      <c r="J256" s="9">
        <v>0.0</v>
      </c>
      <c r="K256" s="9">
        <v>0.0</v>
      </c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>
      <c r="A257" s="9">
        <v>403.0</v>
      </c>
      <c r="B257" s="9">
        <v>293.0</v>
      </c>
      <c r="C257" s="9">
        <v>9.0</v>
      </c>
      <c r="D257" s="9">
        <v>10121.0</v>
      </c>
      <c r="E257" s="9">
        <v>1.478908584E9</v>
      </c>
      <c r="F257" s="8"/>
      <c r="G257" s="9">
        <v>0.0</v>
      </c>
      <c r="H257" s="9">
        <v>1.478908614E9</v>
      </c>
      <c r="I257" s="9">
        <v>10.0</v>
      </c>
      <c r="J257" s="9">
        <v>0.0</v>
      </c>
      <c r="K257" s="9">
        <v>0.0</v>
      </c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>
      <c r="A258" s="9">
        <v>403.0</v>
      </c>
      <c r="B258" s="9">
        <v>389.0</v>
      </c>
      <c r="C258" s="9">
        <v>9.0</v>
      </c>
      <c r="D258" s="9">
        <v>10122.0</v>
      </c>
      <c r="E258" s="9">
        <v>1.478909563E9</v>
      </c>
      <c r="F258" s="8"/>
      <c r="G258" s="9">
        <v>0.0</v>
      </c>
      <c r="H258" s="9">
        <v>1.47890957E9</v>
      </c>
      <c r="I258" s="9">
        <v>0.0</v>
      </c>
      <c r="J258" s="9">
        <v>0.0</v>
      </c>
      <c r="K258" s="9">
        <v>0.0</v>
      </c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>
      <c r="A259" s="9">
        <v>403.0</v>
      </c>
      <c r="B259" s="9">
        <v>392.0</v>
      </c>
      <c r="C259" s="9">
        <v>9.0</v>
      </c>
      <c r="D259" s="9">
        <v>10122.0</v>
      </c>
      <c r="E259" s="9">
        <v>1.478909618E9</v>
      </c>
      <c r="F259" s="8"/>
      <c r="G259" s="9">
        <v>0.0</v>
      </c>
      <c r="H259" s="9">
        <v>0.0</v>
      </c>
      <c r="I259" s="9" t="s">
        <v>61</v>
      </c>
      <c r="J259" s="9">
        <v>0.0</v>
      </c>
      <c r="K259" s="9">
        <v>0.0</v>
      </c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>
      <c r="A260" s="9">
        <v>403.0</v>
      </c>
      <c r="B260" s="9">
        <v>396.0</v>
      </c>
      <c r="C260" s="9">
        <v>9.0</v>
      </c>
      <c r="D260" s="9">
        <v>10122.0</v>
      </c>
      <c r="E260" s="9">
        <v>1.478909639E9</v>
      </c>
      <c r="F260" s="8"/>
      <c r="G260" s="9">
        <v>0.0</v>
      </c>
      <c r="H260" s="9">
        <v>0.0</v>
      </c>
      <c r="I260" s="9" t="s">
        <v>61</v>
      </c>
      <c r="J260" s="9">
        <v>0.0</v>
      </c>
      <c r="K260" s="9">
        <v>0.0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>
      <c r="A261" s="9">
        <v>403.0</v>
      </c>
      <c r="B261" s="9">
        <v>401.0</v>
      </c>
      <c r="C261" s="9">
        <v>9.0</v>
      </c>
      <c r="D261" s="9">
        <v>10122.0</v>
      </c>
      <c r="E261" s="9">
        <v>1.478909708E9</v>
      </c>
      <c r="F261" s="8"/>
      <c r="G261" s="9">
        <v>0.0</v>
      </c>
      <c r="H261" s="9">
        <v>1.478909712E9</v>
      </c>
      <c r="I261" s="9">
        <v>10.0</v>
      </c>
      <c r="J261" s="9">
        <v>0.0</v>
      </c>
      <c r="K261" s="9">
        <v>0.0</v>
      </c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>
      <c r="A262" s="9">
        <v>403.0</v>
      </c>
      <c r="B262" s="9">
        <v>68.0</v>
      </c>
      <c r="C262" s="9">
        <v>9.0</v>
      </c>
      <c r="D262" s="9">
        <v>10123.0</v>
      </c>
      <c r="E262" s="9">
        <v>1.478907025E9</v>
      </c>
      <c r="F262" s="8"/>
      <c r="G262" s="9">
        <v>0.0</v>
      </c>
      <c r="H262" s="9">
        <v>0.0</v>
      </c>
      <c r="I262" s="9" t="s">
        <v>61</v>
      </c>
      <c r="J262" s="9">
        <v>0.0</v>
      </c>
      <c r="K262" s="9">
        <v>0.0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>
      <c r="A263" s="9">
        <v>403.0</v>
      </c>
      <c r="B263" s="9">
        <v>75.0</v>
      </c>
      <c r="C263" s="9">
        <v>9.0</v>
      </c>
      <c r="D263" s="9">
        <v>10123.0</v>
      </c>
      <c r="E263" s="9">
        <v>1.478907069E9</v>
      </c>
      <c r="F263" s="8"/>
      <c r="G263" s="9">
        <v>0.0</v>
      </c>
      <c r="H263" s="9">
        <v>0.0</v>
      </c>
      <c r="I263" s="9" t="s">
        <v>61</v>
      </c>
      <c r="J263" s="9">
        <v>0.0</v>
      </c>
      <c r="K263" s="9">
        <v>0.0</v>
      </c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>
      <c r="A264" s="9">
        <v>403.0</v>
      </c>
      <c r="B264" s="9">
        <v>84.0</v>
      </c>
      <c r="C264" s="9">
        <v>9.0</v>
      </c>
      <c r="D264" s="9">
        <v>10123.0</v>
      </c>
      <c r="E264" s="9">
        <v>1.478907138E9</v>
      </c>
      <c r="F264" s="8"/>
      <c r="G264" s="9">
        <v>0.0</v>
      </c>
      <c r="H264" s="9">
        <v>0.0</v>
      </c>
      <c r="I264" s="9" t="s">
        <v>61</v>
      </c>
      <c r="J264" s="9">
        <v>0.0</v>
      </c>
      <c r="K264" s="9">
        <v>0.0</v>
      </c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>
      <c r="A265" s="9">
        <v>403.0</v>
      </c>
      <c r="B265" s="9">
        <v>91.0</v>
      </c>
      <c r="C265" s="9">
        <v>9.0</v>
      </c>
      <c r="D265" s="9">
        <v>10123.0</v>
      </c>
      <c r="E265" s="9">
        <v>1.478907177E9</v>
      </c>
      <c r="F265" s="8"/>
      <c r="G265" s="9">
        <v>0.0</v>
      </c>
      <c r="H265" s="9">
        <v>1.478907242E9</v>
      </c>
      <c r="I265" s="9">
        <v>0.0</v>
      </c>
      <c r="J265" s="9">
        <v>0.0</v>
      </c>
      <c r="K265" s="9">
        <v>0.0</v>
      </c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>
      <c r="A266" s="9">
        <v>403.0</v>
      </c>
      <c r="B266" s="9">
        <v>105.0</v>
      </c>
      <c r="C266" s="9">
        <v>9.0</v>
      </c>
      <c r="D266" s="9">
        <v>10123.0</v>
      </c>
      <c r="E266" s="9">
        <v>1.478907279E9</v>
      </c>
      <c r="F266" s="8"/>
      <c r="G266" s="9">
        <v>0.0</v>
      </c>
      <c r="H266" s="9">
        <v>1.478907287E9</v>
      </c>
      <c r="I266" s="9">
        <v>0.0</v>
      </c>
      <c r="J266" s="9">
        <v>0.0</v>
      </c>
      <c r="K266" s="9">
        <v>0.0</v>
      </c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>
      <c r="A267" s="9">
        <v>403.0</v>
      </c>
      <c r="B267" s="9">
        <v>117.0</v>
      </c>
      <c r="C267" s="9">
        <v>9.0</v>
      </c>
      <c r="D267" s="9">
        <v>10123.0</v>
      </c>
      <c r="E267" s="9">
        <v>1.478907342E9</v>
      </c>
      <c r="F267" s="8"/>
      <c r="G267" s="9">
        <v>0.0</v>
      </c>
      <c r="H267" s="9">
        <v>0.0</v>
      </c>
      <c r="I267" s="9" t="s">
        <v>61</v>
      </c>
      <c r="J267" s="9">
        <v>0.0</v>
      </c>
      <c r="K267" s="9">
        <v>0.0</v>
      </c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>
      <c r="A268" s="9">
        <v>403.0</v>
      </c>
      <c r="B268" s="9">
        <v>126.0</v>
      </c>
      <c r="C268" s="9">
        <v>9.0</v>
      </c>
      <c r="D268" s="9">
        <v>10123.0</v>
      </c>
      <c r="E268" s="9">
        <v>1.478907378E9</v>
      </c>
      <c r="F268" s="8"/>
      <c r="G268" s="9">
        <v>0.0</v>
      </c>
      <c r="H268" s="9">
        <v>1.479344549E9</v>
      </c>
      <c r="I268" s="9">
        <v>0.0</v>
      </c>
      <c r="J268" s="9">
        <v>0.0</v>
      </c>
      <c r="K268" s="9">
        <v>0.0</v>
      </c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>
      <c r="A269" s="9">
        <v>403.0</v>
      </c>
      <c r="B269" s="9">
        <v>83.0</v>
      </c>
      <c r="C269" s="9">
        <v>9.0</v>
      </c>
      <c r="D269" s="9">
        <v>10125.0</v>
      </c>
      <c r="E269" s="9">
        <v>1.478907135E9</v>
      </c>
      <c r="F269" s="8"/>
      <c r="G269" s="9">
        <v>0.0</v>
      </c>
      <c r="H269" s="9">
        <v>0.0</v>
      </c>
      <c r="I269" s="9" t="s">
        <v>61</v>
      </c>
      <c r="J269" s="9">
        <v>0.0</v>
      </c>
      <c r="K269" s="9">
        <v>0.0</v>
      </c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>
      <c r="A270" s="9">
        <v>403.0</v>
      </c>
      <c r="B270" s="9">
        <v>92.0</v>
      </c>
      <c r="C270" s="9">
        <v>9.0</v>
      </c>
      <c r="D270" s="9">
        <v>10125.0</v>
      </c>
      <c r="E270" s="9">
        <v>1.478907185E9</v>
      </c>
      <c r="F270" s="8"/>
      <c r="G270" s="9">
        <v>0.0</v>
      </c>
      <c r="H270" s="9">
        <v>0.0</v>
      </c>
      <c r="I270" s="9" t="s">
        <v>61</v>
      </c>
      <c r="J270" s="9">
        <v>0.0</v>
      </c>
      <c r="K270" s="9">
        <v>0.0</v>
      </c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>
      <c r="A271" s="9">
        <v>403.0</v>
      </c>
      <c r="B271" s="9">
        <v>96.0</v>
      </c>
      <c r="C271" s="9">
        <v>9.0</v>
      </c>
      <c r="D271" s="9">
        <v>10125.0</v>
      </c>
      <c r="E271" s="9">
        <v>1.478907224E9</v>
      </c>
      <c r="F271" s="8"/>
      <c r="G271" s="9">
        <v>0.0</v>
      </c>
      <c r="H271" s="9">
        <v>0.0</v>
      </c>
      <c r="I271" s="9" t="s">
        <v>61</v>
      </c>
      <c r="J271" s="9">
        <v>0.0</v>
      </c>
      <c r="K271" s="9">
        <v>0.0</v>
      </c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>
      <c r="A272" s="9">
        <v>403.0</v>
      </c>
      <c r="B272" s="9">
        <v>114.0</v>
      </c>
      <c r="C272" s="9">
        <v>9.0</v>
      </c>
      <c r="D272" s="9">
        <v>10125.0</v>
      </c>
      <c r="E272" s="9">
        <v>1.478907327E9</v>
      </c>
      <c r="F272" s="8"/>
      <c r="G272" s="9">
        <v>0.0</v>
      </c>
      <c r="H272" s="9">
        <v>0.0</v>
      </c>
      <c r="I272" s="9" t="s">
        <v>61</v>
      </c>
      <c r="J272" s="9">
        <v>0.0</v>
      </c>
      <c r="K272" s="9">
        <v>0.0</v>
      </c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>
      <c r="A273" s="9">
        <v>403.0</v>
      </c>
      <c r="B273" s="9">
        <v>125.0</v>
      </c>
      <c r="C273" s="9">
        <v>9.0</v>
      </c>
      <c r="D273" s="9">
        <v>10125.0</v>
      </c>
      <c r="E273" s="9">
        <v>1.478907373E9</v>
      </c>
      <c r="F273" s="8"/>
      <c r="G273" s="9">
        <v>0.0</v>
      </c>
      <c r="H273" s="9">
        <v>0.0</v>
      </c>
      <c r="I273" s="9" t="s">
        <v>61</v>
      </c>
      <c r="J273" s="9">
        <v>0.0</v>
      </c>
      <c r="K273" s="9">
        <v>0.0</v>
      </c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>
      <c r="A274" s="9">
        <v>403.0</v>
      </c>
      <c r="B274" s="9">
        <v>133.0</v>
      </c>
      <c r="C274" s="9">
        <v>9.0</v>
      </c>
      <c r="D274" s="9">
        <v>10125.0</v>
      </c>
      <c r="E274" s="9">
        <v>1.478907425E9</v>
      </c>
      <c r="F274" s="8"/>
      <c r="G274" s="9">
        <v>0.0</v>
      </c>
      <c r="H274" s="9">
        <v>0.0</v>
      </c>
      <c r="I274" s="9" t="s">
        <v>61</v>
      </c>
      <c r="J274" s="9">
        <v>0.0</v>
      </c>
      <c r="K274" s="9">
        <v>0.0</v>
      </c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>
      <c r="A275" s="9">
        <v>403.0</v>
      </c>
      <c r="B275" s="9">
        <v>139.0</v>
      </c>
      <c r="C275" s="9">
        <v>9.0</v>
      </c>
      <c r="D275" s="9">
        <v>10125.0</v>
      </c>
      <c r="E275" s="9">
        <v>1.478907464E9</v>
      </c>
      <c r="F275" s="8"/>
      <c r="G275" s="9">
        <v>0.0</v>
      </c>
      <c r="H275" s="9">
        <v>0.0</v>
      </c>
      <c r="I275" s="9" t="s">
        <v>61</v>
      </c>
      <c r="J275" s="9">
        <v>0.0</v>
      </c>
      <c r="K275" s="9">
        <v>0.0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>
      <c r="A276" s="9">
        <v>403.0</v>
      </c>
      <c r="B276" s="9">
        <v>150.0</v>
      </c>
      <c r="C276" s="9">
        <v>9.0</v>
      </c>
      <c r="D276" s="9">
        <v>10125.0</v>
      </c>
      <c r="E276" s="9">
        <v>1.478907573E9</v>
      </c>
      <c r="F276" s="8"/>
      <c r="G276" s="9">
        <v>0.0</v>
      </c>
      <c r="H276" s="9">
        <v>0.0</v>
      </c>
      <c r="I276" s="9" t="s">
        <v>61</v>
      </c>
      <c r="J276" s="9">
        <v>0.0</v>
      </c>
      <c r="K276" s="9">
        <v>0.0</v>
      </c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>
      <c r="A277" s="9">
        <v>403.0</v>
      </c>
      <c r="B277" s="9">
        <v>160.0</v>
      </c>
      <c r="C277" s="9">
        <v>9.0</v>
      </c>
      <c r="D277" s="9">
        <v>10125.0</v>
      </c>
      <c r="E277" s="9">
        <v>1.478907621E9</v>
      </c>
      <c r="F277" s="8"/>
      <c r="G277" s="9">
        <v>0.0</v>
      </c>
      <c r="H277" s="9">
        <v>0.0</v>
      </c>
      <c r="I277" s="9" t="s">
        <v>61</v>
      </c>
      <c r="J277" s="9">
        <v>0.0</v>
      </c>
      <c r="K277" s="9">
        <v>0.0</v>
      </c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>
      <c r="A278" s="9">
        <v>403.0</v>
      </c>
      <c r="B278" s="9">
        <v>167.0</v>
      </c>
      <c r="C278" s="9">
        <v>9.0</v>
      </c>
      <c r="D278" s="9">
        <v>10125.0</v>
      </c>
      <c r="E278" s="9">
        <v>1.478907686E9</v>
      </c>
      <c r="F278" s="8"/>
      <c r="G278" s="9">
        <v>0.0</v>
      </c>
      <c r="H278" s="9">
        <v>0.0</v>
      </c>
      <c r="I278" s="9" t="s">
        <v>61</v>
      </c>
      <c r="J278" s="9">
        <v>0.0</v>
      </c>
      <c r="K278" s="9">
        <v>0.0</v>
      </c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>
      <c r="A279" s="9">
        <v>403.0</v>
      </c>
      <c r="B279" s="9">
        <v>174.0</v>
      </c>
      <c r="C279" s="9">
        <v>9.0</v>
      </c>
      <c r="D279" s="9">
        <v>10125.0</v>
      </c>
      <c r="E279" s="9">
        <v>1.478907706E9</v>
      </c>
      <c r="F279" s="8"/>
      <c r="G279" s="9">
        <v>0.0</v>
      </c>
      <c r="H279" s="9">
        <v>0.0</v>
      </c>
      <c r="I279" s="9" t="s">
        <v>61</v>
      </c>
      <c r="J279" s="9">
        <v>0.0</v>
      </c>
      <c r="K279" s="9">
        <v>0.0</v>
      </c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>
      <c r="A280" s="9">
        <v>403.0</v>
      </c>
      <c r="B280" s="9">
        <v>187.0</v>
      </c>
      <c r="C280" s="9">
        <v>9.0</v>
      </c>
      <c r="D280" s="9">
        <v>10125.0</v>
      </c>
      <c r="E280" s="9">
        <v>1.478907791E9</v>
      </c>
      <c r="F280" s="8"/>
      <c r="G280" s="9">
        <v>0.0</v>
      </c>
      <c r="H280" s="9">
        <v>0.0</v>
      </c>
      <c r="I280" s="9" t="s">
        <v>61</v>
      </c>
      <c r="J280" s="9">
        <v>0.0</v>
      </c>
      <c r="K280" s="9">
        <v>0.0</v>
      </c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>
      <c r="A281" s="9">
        <v>403.0</v>
      </c>
      <c r="B281" s="9">
        <v>205.0</v>
      </c>
      <c r="C281" s="9">
        <v>9.0</v>
      </c>
      <c r="D281" s="9">
        <v>10125.0</v>
      </c>
      <c r="E281" s="9">
        <v>1.478907928E9</v>
      </c>
      <c r="F281" s="8"/>
      <c r="G281" s="9">
        <v>0.0</v>
      </c>
      <c r="H281" s="9">
        <v>0.0</v>
      </c>
      <c r="I281" s="9" t="s">
        <v>61</v>
      </c>
      <c r="J281" s="9">
        <v>0.0</v>
      </c>
      <c r="K281" s="9">
        <v>0.0</v>
      </c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>
      <c r="A282" s="9">
        <v>403.0</v>
      </c>
      <c r="B282" s="9">
        <v>210.0</v>
      </c>
      <c r="C282" s="9">
        <v>9.0</v>
      </c>
      <c r="D282" s="9">
        <v>10125.0</v>
      </c>
      <c r="E282" s="9">
        <v>1.478907983E9</v>
      </c>
      <c r="F282" s="8"/>
      <c r="G282" s="9">
        <v>0.0</v>
      </c>
      <c r="H282" s="9">
        <v>0.0</v>
      </c>
      <c r="I282" s="9" t="s">
        <v>61</v>
      </c>
      <c r="J282" s="9">
        <v>0.0</v>
      </c>
      <c r="K282" s="9">
        <v>0.0</v>
      </c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>
      <c r="A283" s="9">
        <v>403.0</v>
      </c>
      <c r="B283" s="9">
        <v>229.0</v>
      </c>
      <c r="C283" s="9">
        <v>9.0</v>
      </c>
      <c r="D283" s="9">
        <v>10125.0</v>
      </c>
      <c r="E283" s="9">
        <v>1.478908192E9</v>
      </c>
      <c r="F283" s="8"/>
      <c r="G283" s="9">
        <v>0.0</v>
      </c>
      <c r="H283" s="9">
        <v>0.0</v>
      </c>
      <c r="I283" s="9" t="s">
        <v>61</v>
      </c>
      <c r="J283" s="9">
        <v>0.0</v>
      </c>
      <c r="K283" s="9">
        <v>0.0</v>
      </c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>
      <c r="A284" s="9">
        <v>403.0</v>
      </c>
      <c r="B284" s="9">
        <v>264.0</v>
      </c>
      <c r="C284" s="9">
        <v>9.0</v>
      </c>
      <c r="D284" s="9">
        <v>10125.0</v>
      </c>
      <c r="E284" s="9">
        <v>1.478908409E9</v>
      </c>
      <c r="F284" s="8"/>
      <c r="G284" s="9">
        <v>0.0</v>
      </c>
      <c r="H284" s="9">
        <v>0.0</v>
      </c>
      <c r="I284" s="9" t="s">
        <v>61</v>
      </c>
      <c r="J284" s="9">
        <v>0.0</v>
      </c>
      <c r="K284" s="9">
        <v>0.0</v>
      </c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>
      <c r="A285" s="9">
        <v>403.0</v>
      </c>
      <c r="B285" s="9">
        <v>273.0</v>
      </c>
      <c r="C285" s="9">
        <v>9.0</v>
      </c>
      <c r="D285" s="9">
        <v>10125.0</v>
      </c>
      <c r="E285" s="9">
        <v>1.478908452E9</v>
      </c>
      <c r="F285" s="8"/>
      <c r="G285" s="9">
        <v>0.0</v>
      </c>
      <c r="H285" s="9">
        <v>0.0</v>
      </c>
      <c r="I285" s="9" t="s">
        <v>61</v>
      </c>
      <c r="J285" s="9">
        <v>0.0</v>
      </c>
      <c r="K285" s="9">
        <v>0.0</v>
      </c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>
      <c r="A286" s="9">
        <v>403.0</v>
      </c>
      <c r="B286" s="9">
        <v>282.0</v>
      </c>
      <c r="C286" s="9">
        <v>9.0</v>
      </c>
      <c r="D286" s="9">
        <v>10125.0</v>
      </c>
      <c r="E286" s="9">
        <v>1.478908501E9</v>
      </c>
      <c r="F286" s="8"/>
      <c r="G286" s="9">
        <v>0.0</v>
      </c>
      <c r="H286" s="9">
        <v>0.0</v>
      </c>
      <c r="I286" s="9" t="s">
        <v>61</v>
      </c>
      <c r="J286" s="9">
        <v>0.0</v>
      </c>
      <c r="K286" s="9">
        <v>0.0</v>
      </c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>
      <c r="A287" s="9">
        <v>403.0</v>
      </c>
      <c r="B287" s="9">
        <v>285.0</v>
      </c>
      <c r="C287" s="9">
        <v>9.0</v>
      </c>
      <c r="D287" s="9">
        <v>10125.0</v>
      </c>
      <c r="E287" s="9">
        <v>1.478908518E9</v>
      </c>
      <c r="F287" s="8"/>
      <c r="G287" s="9">
        <v>0.0</v>
      </c>
      <c r="H287" s="9">
        <v>1.478908529E9</v>
      </c>
      <c r="I287" s="9">
        <v>10.0</v>
      </c>
      <c r="J287" s="9">
        <v>0.0</v>
      </c>
      <c r="K287" s="9">
        <v>0.0</v>
      </c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>
      <c r="A288" s="9">
        <v>403.0</v>
      </c>
      <c r="B288" s="9">
        <v>190.0</v>
      </c>
      <c r="C288" s="9">
        <v>9.0</v>
      </c>
      <c r="D288" s="9">
        <v>10126.0</v>
      </c>
      <c r="E288" s="9">
        <v>1.478907805E9</v>
      </c>
      <c r="F288" s="8"/>
      <c r="G288" s="9">
        <v>0.0</v>
      </c>
      <c r="H288" s="9">
        <v>1.478908001E9</v>
      </c>
      <c r="I288" s="9">
        <v>0.0</v>
      </c>
      <c r="J288" s="9">
        <v>0.0</v>
      </c>
      <c r="K288" s="9">
        <v>0.0</v>
      </c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>
      <c r="A289" s="9">
        <v>403.0</v>
      </c>
      <c r="B289" s="9">
        <v>271.0</v>
      </c>
      <c r="C289" s="9">
        <v>9.0</v>
      </c>
      <c r="D289" s="9">
        <v>10126.0</v>
      </c>
      <c r="E289" s="9">
        <v>1.478908448E9</v>
      </c>
      <c r="F289" s="8"/>
      <c r="G289" s="9">
        <v>0.0</v>
      </c>
      <c r="H289" s="9">
        <v>0.0</v>
      </c>
      <c r="I289" s="9" t="s">
        <v>61</v>
      </c>
      <c r="J289" s="9">
        <v>0.0</v>
      </c>
      <c r="K289" s="9">
        <v>0.0</v>
      </c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>
      <c r="A290" s="9">
        <v>403.0</v>
      </c>
      <c r="B290" s="9">
        <v>275.0</v>
      </c>
      <c r="C290" s="9">
        <v>9.0</v>
      </c>
      <c r="D290" s="9">
        <v>10126.0</v>
      </c>
      <c r="E290" s="9">
        <v>1.478908459E9</v>
      </c>
      <c r="F290" s="8"/>
      <c r="G290" s="9">
        <v>0.0</v>
      </c>
      <c r="H290" s="9">
        <v>1.478908471E9</v>
      </c>
      <c r="I290" s="9">
        <v>10.0</v>
      </c>
      <c r="J290" s="9">
        <v>0.0</v>
      </c>
      <c r="K290" s="9">
        <v>0.0</v>
      </c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>
      <c r="A291" s="9">
        <v>403.0</v>
      </c>
      <c r="B291" s="9">
        <v>197.0</v>
      </c>
      <c r="C291" s="9">
        <v>9.0</v>
      </c>
      <c r="D291" s="9">
        <v>10127.0</v>
      </c>
      <c r="E291" s="9">
        <v>1.478907855E9</v>
      </c>
      <c r="F291" s="8"/>
      <c r="G291" s="9">
        <v>0.0</v>
      </c>
      <c r="H291" s="9">
        <v>1.478907868E9</v>
      </c>
      <c r="I291" s="9">
        <v>0.0</v>
      </c>
      <c r="J291" s="9">
        <v>0.0</v>
      </c>
      <c r="K291" s="9">
        <v>0.0</v>
      </c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>
      <c r="A292" s="9">
        <v>403.0</v>
      </c>
      <c r="B292" s="9">
        <v>203.0</v>
      </c>
      <c r="C292" s="9">
        <v>9.0</v>
      </c>
      <c r="D292" s="9">
        <v>10127.0</v>
      </c>
      <c r="E292" s="9">
        <v>1.478907892E9</v>
      </c>
      <c r="F292" s="8"/>
      <c r="G292" s="9">
        <v>0.0</v>
      </c>
      <c r="H292" s="9">
        <v>0.0</v>
      </c>
      <c r="I292" s="9" t="s">
        <v>61</v>
      </c>
      <c r="J292" s="9">
        <v>0.0</v>
      </c>
      <c r="K292" s="9">
        <v>0.0</v>
      </c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>
      <c r="A293" s="9">
        <v>403.0</v>
      </c>
      <c r="B293" s="9">
        <v>206.0</v>
      </c>
      <c r="C293" s="9">
        <v>9.0</v>
      </c>
      <c r="D293" s="9">
        <v>10127.0</v>
      </c>
      <c r="E293" s="9">
        <v>1.478907931E9</v>
      </c>
      <c r="F293" s="8"/>
      <c r="G293" s="9">
        <v>0.0</v>
      </c>
      <c r="H293" s="9">
        <v>0.0</v>
      </c>
      <c r="I293" s="9" t="s">
        <v>61</v>
      </c>
      <c r="J293" s="9">
        <v>0.0</v>
      </c>
      <c r="K293" s="9">
        <v>0.0</v>
      </c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>
      <c r="A294" s="9">
        <v>403.0</v>
      </c>
      <c r="B294" s="9">
        <v>209.0</v>
      </c>
      <c r="C294" s="9">
        <v>9.0</v>
      </c>
      <c r="D294" s="9">
        <v>10127.0</v>
      </c>
      <c r="E294" s="9">
        <v>1.478907976E9</v>
      </c>
      <c r="F294" s="8"/>
      <c r="G294" s="9">
        <v>0.0</v>
      </c>
      <c r="H294" s="9">
        <v>0.0</v>
      </c>
      <c r="I294" s="9" t="s">
        <v>61</v>
      </c>
      <c r="J294" s="9">
        <v>0.0</v>
      </c>
      <c r="K294" s="9">
        <v>0.0</v>
      </c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>
      <c r="A295" s="9">
        <v>403.0</v>
      </c>
      <c r="B295" s="9">
        <v>214.0</v>
      </c>
      <c r="C295" s="9">
        <v>9.0</v>
      </c>
      <c r="D295" s="9">
        <v>10127.0</v>
      </c>
      <c r="E295" s="9">
        <v>1.478908016E9</v>
      </c>
      <c r="F295" s="8"/>
      <c r="G295" s="9">
        <v>0.0</v>
      </c>
      <c r="H295" s="9">
        <v>0.0</v>
      </c>
      <c r="I295" s="9" t="s">
        <v>61</v>
      </c>
      <c r="J295" s="9">
        <v>0.0</v>
      </c>
      <c r="K295" s="9">
        <v>0.0</v>
      </c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>
      <c r="A296" s="9">
        <v>403.0</v>
      </c>
      <c r="B296" s="9">
        <v>220.0</v>
      </c>
      <c r="C296" s="9">
        <v>9.0</v>
      </c>
      <c r="D296" s="9">
        <v>10127.0</v>
      </c>
      <c r="E296" s="9">
        <v>1.478908079E9</v>
      </c>
      <c r="F296" s="8"/>
      <c r="G296" s="9">
        <v>0.0</v>
      </c>
      <c r="H296" s="9">
        <v>0.0</v>
      </c>
      <c r="I296" s="9" t="s">
        <v>61</v>
      </c>
      <c r="J296" s="9">
        <v>0.0</v>
      </c>
      <c r="K296" s="9">
        <v>0.0</v>
      </c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>
      <c r="A297" s="9">
        <v>403.0</v>
      </c>
      <c r="B297" s="9">
        <v>227.0</v>
      </c>
      <c r="C297" s="9">
        <v>9.0</v>
      </c>
      <c r="D297" s="9">
        <v>10127.0</v>
      </c>
      <c r="E297" s="9">
        <v>1.47890819E9</v>
      </c>
      <c r="F297" s="8"/>
      <c r="G297" s="9">
        <v>0.0</v>
      </c>
      <c r="H297" s="9">
        <v>0.0</v>
      </c>
      <c r="I297" s="9" t="s">
        <v>61</v>
      </c>
      <c r="J297" s="9">
        <v>0.0</v>
      </c>
      <c r="K297" s="9">
        <v>0.0</v>
      </c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>
      <c r="A298" s="9">
        <v>403.0</v>
      </c>
      <c r="B298" s="9">
        <v>238.0</v>
      </c>
      <c r="C298" s="9">
        <v>9.0</v>
      </c>
      <c r="D298" s="9">
        <v>10127.0</v>
      </c>
      <c r="E298" s="9">
        <v>1.478908245E9</v>
      </c>
      <c r="F298" s="8"/>
      <c r="G298" s="9">
        <v>0.0</v>
      </c>
      <c r="H298" s="9">
        <v>1.47890826E9</v>
      </c>
      <c r="I298" s="9">
        <v>0.0</v>
      </c>
      <c r="J298" s="9">
        <v>0.0</v>
      </c>
      <c r="K298" s="9">
        <v>0.0</v>
      </c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>
      <c r="A299" s="9">
        <v>403.0</v>
      </c>
      <c r="B299" s="9">
        <v>251.0</v>
      </c>
      <c r="C299" s="9">
        <v>9.0</v>
      </c>
      <c r="D299" s="9">
        <v>10127.0</v>
      </c>
      <c r="E299" s="9">
        <v>1.478908329E9</v>
      </c>
      <c r="F299" s="8"/>
      <c r="G299" s="9">
        <v>0.0</v>
      </c>
      <c r="H299" s="9">
        <v>0.0</v>
      </c>
      <c r="I299" s="9" t="s">
        <v>61</v>
      </c>
      <c r="J299" s="9">
        <v>0.0</v>
      </c>
      <c r="K299" s="9">
        <v>0.0</v>
      </c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>
      <c r="A300" s="9">
        <v>403.0</v>
      </c>
      <c r="B300" s="9">
        <v>259.0</v>
      </c>
      <c r="C300" s="9">
        <v>9.0</v>
      </c>
      <c r="D300" s="9">
        <v>10127.0</v>
      </c>
      <c r="E300" s="9">
        <v>1.478908381E9</v>
      </c>
      <c r="F300" s="8"/>
      <c r="G300" s="9">
        <v>0.0</v>
      </c>
      <c r="H300" s="9">
        <v>0.0</v>
      </c>
      <c r="I300" s="9" t="s">
        <v>61</v>
      </c>
      <c r="J300" s="9">
        <v>0.0</v>
      </c>
      <c r="K300" s="9">
        <v>0.0</v>
      </c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>
      <c r="A301" s="9">
        <v>403.0</v>
      </c>
      <c r="B301" s="9">
        <v>278.0</v>
      </c>
      <c r="C301" s="9">
        <v>9.0</v>
      </c>
      <c r="D301" s="9">
        <v>10127.0</v>
      </c>
      <c r="E301" s="9">
        <v>1.478908478E9</v>
      </c>
      <c r="F301" s="8"/>
      <c r="G301" s="9">
        <v>0.0</v>
      </c>
      <c r="H301" s="9">
        <v>0.0</v>
      </c>
      <c r="I301" s="9" t="s">
        <v>61</v>
      </c>
      <c r="J301" s="9">
        <v>0.0</v>
      </c>
      <c r="K301" s="9">
        <v>0.0</v>
      </c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>
      <c r="A302" s="9">
        <v>403.0</v>
      </c>
      <c r="B302" s="9">
        <v>290.0</v>
      </c>
      <c r="C302" s="9">
        <v>9.0</v>
      </c>
      <c r="D302" s="9">
        <v>10127.0</v>
      </c>
      <c r="E302" s="9">
        <v>1.478908555E9</v>
      </c>
      <c r="F302" s="8"/>
      <c r="G302" s="9">
        <v>0.0</v>
      </c>
      <c r="H302" s="9">
        <v>1.478908582E9</v>
      </c>
      <c r="I302" s="9">
        <v>10.0</v>
      </c>
      <c r="J302" s="9">
        <v>0.0</v>
      </c>
      <c r="K302" s="9">
        <v>0.0</v>
      </c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>
      <c r="A303" s="9">
        <v>403.0</v>
      </c>
      <c r="B303" s="9">
        <v>299.0</v>
      </c>
      <c r="C303" s="9">
        <v>9.0</v>
      </c>
      <c r="D303" s="9">
        <v>10127.0</v>
      </c>
      <c r="E303" s="9">
        <v>1.478908651E9</v>
      </c>
      <c r="F303" s="8"/>
      <c r="G303" s="9">
        <v>0.0</v>
      </c>
      <c r="H303" s="9">
        <v>0.0</v>
      </c>
      <c r="I303" s="9" t="s">
        <v>61</v>
      </c>
      <c r="J303" s="9">
        <v>0.0</v>
      </c>
      <c r="K303" s="9">
        <v>0.0</v>
      </c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>
      <c r="A304" s="9">
        <v>403.0</v>
      </c>
      <c r="B304" s="9">
        <v>302.0</v>
      </c>
      <c r="C304" s="9">
        <v>9.0</v>
      </c>
      <c r="D304" s="9">
        <v>10127.0</v>
      </c>
      <c r="E304" s="9">
        <v>1.478908664E9</v>
      </c>
      <c r="F304" s="8"/>
      <c r="G304" s="9">
        <v>0.0</v>
      </c>
      <c r="H304" s="9">
        <v>1.478908675E9</v>
      </c>
      <c r="I304" s="9">
        <v>10.0</v>
      </c>
      <c r="J304" s="9">
        <v>0.0</v>
      </c>
      <c r="K304" s="9">
        <v>0.0</v>
      </c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>
      <c r="A305" s="9">
        <v>403.0</v>
      </c>
      <c r="B305" s="9">
        <v>786.0</v>
      </c>
      <c r="C305" s="9">
        <v>9.0</v>
      </c>
      <c r="D305" s="9">
        <v>10127.0</v>
      </c>
      <c r="E305" s="9">
        <v>1.479309215E9</v>
      </c>
      <c r="F305" s="8"/>
      <c r="G305" s="9">
        <v>0.0</v>
      </c>
      <c r="H305" s="9">
        <v>1.479309238E9</v>
      </c>
      <c r="I305" s="9">
        <v>0.0</v>
      </c>
      <c r="J305" s="9">
        <v>0.0</v>
      </c>
      <c r="K305" s="9">
        <v>0.0</v>
      </c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>
      <c r="A306" s="9">
        <v>403.0</v>
      </c>
      <c r="B306" s="9">
        <v>67.0</v>
      </c>
      <c r="C306" s="9">
        <v>9.0</v>
      </c>
      <c r="D306" s="9">
        <v>10128.0</v>
      </c>
      <c r="E306" s="9">
        <v>1.478906982E9</v>
      </c>
      <c r="F306" s="8"/>
      <c r="G306" s="9">
        <v>0.0</v>
      </c>
      <c r="H306" s="9">
        <v>1.478907501E9</v>
      </c>
      <c r="I306" s="9">
        <v>0.0</v>
      </c>
      <c r="J306" s="9">
        <v>0.0</v>
      </c>
      <c r="K306" s="9">
        <v>0.0</v>
      </c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>
      <c r="A307" s="9">
        <v>403.0</v>
      </c>
      <c r="B307" s="9">
        <v>391.0</v>
      </c>
      <c r="C307" s="9">
        <v>9.0</v>
      </c>
      <c r="D307" s="9">
        <v>10128.0</v>
      </c>
      <c r="E307" s="9">
        <v>1.478909603E9</v>
      </c>
      <c r="F307" s="8"/>
      <c r="G307" s="9">
        <v>0.0</v>
      </c>
      <c r="H307" s="9">
        <v>1.478909609E9</v>
      </c>
      <c r="I307" s="9">
        <v>0.0</v>
      </c>
      <c r="J307" s="9">
        <v>0.0</v>
      </c>
      <c r="K307" s="9">
        <v>0.0</v>
      </c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>
      <c r="A308" s="9">
        <v>403.0</v>
      </c>
      <c r="B308" s="9">
        <v>394.0</v>
      </c>
      <c r="C308" s="9">
        <v>9.0</v>
      </c>
      <c r="D308" s="9">
        <v>10128.0</v>
      </c>
      <c r="E308" s="9">
        <v>1.478909624E9</v>
      </c>
      <c r="F308" s="8"/>
      <c r="G308" s="9">
        <v>0.0</v>
      </c>
      <c r="H308" s="9">
        <v>1.47890963E9</v>
      </c>
      <c r="I308" s="9">
        <v>0.0</v>
      </c>
      <c r="J308" s="9">
        <v>0.0</v>
      </c>
      <c r="K308" s="9">
        <v>0.0</v>
      </c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>
      <c r="A309" s="9">
        <v>403.0</v>
      </c>
      <c r="B309" s="9">
        <v>398.0</v>
      </c>
      <c r="C309" s="9">
        <v>9.0</v>
      </c>
      <c r="D309" s="9">
        <v>10128.0</v>
      </c>
      <c r="E309" s="9">
        <v>1.478909672E9</v>
      </c>
      <c r="F309" s="8"/>
      <c r="G309" s="9">
        <v>0.0</v>
      </c>
      <c r="H309" s="9">
        <v>1.47890968E9</v>
      </c>
      <c r="I309" s="9">
        <v>0.0</v>
      </c>
      <c r="J309" s="9">
        <v>0.0</v>
      </c>
      <c r="K309" s="9">
        <v>0.0</v>
      </c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>
      <c r="A310" s="9">
        <v>403.0</v>
      </c>
      <c r="B310" s="9">
        <v>402.0</v>
      </c>
      <c r="C310" s="9">
        <v>9.0</v>
      </c>
      <c r="D310" s="9">
        <v>10128.0</v>
      </c>
      <c r="E310" s="9">
        <v>1.478909711E9</v>
      </c>
      <c r="F310" s="8"/>
      <c r="G310" s="9">
        <v>0.0</v>
      </c>
      <c r="H310" s="9">
        <v>1.478909718E9</v>
      </c>
      <c r="I310" s="9">
        <v>10.0</v>
      </c>
      <c r="J310" s="9">
        <v>0.0</v>
      </c>
      <c r="K310" s="9">
        <v>0.0</v>
      </c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>
      <c r="A311" s="9">
        <v>403.0</v>
      </c>
      <c r="B311" s="9">
        <v>179.0</v>
      </c>
      <c r="C311" s="9">
        <v>9.0</v>
      </c>
      <c r="D311" s="9">
        <v>10129.0</v>
      </c>
      <c r="E311" s="9">
        <v>1.478907746E9</v>
      </c>
      <c r="F311" s="8"/>
      <c r="G311" s="9">
        <v>0.0</v>
      </c>
      <c r="H311" s="9">
        <v>0.0</v>
      </c>
      <c r="I311" s="9" t="s">
        <v>61</v>
      </c>
      <c r="J311" s="9">
        <v>0.0</v>
      </c>
      <c r="K311" s="9">
        <v>0.0</v>
      </c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>
      <c r="A312" s="9">
        <v>403.0</v>
      </c>
      <c r="B312" s="9">
        <v>181.0</v>
      </c>
      <c r="C312" s="9">
        <v>9.0</v>
      </c>
      <c r="D312" s="9">
        <v>10129.0</v>
      </c>
      <c r="E312" s="9">
        <v>1.478907768E9</v>
      </c>
      <c r="F312" s="8"/>
      <c r="G312" s="9">
        <v>0.0</v>
      </c>
      <c r="H312" s="9">
        <v>1.478907786E9</v>
      </c>
      <c r="I312" s="9">
        <v>0.0</v>
      </c>
      <c r="J312" s="9">
        <v>0.0</v>
      </c>
      <c r="K312" s="9">
        <v>0.0</v>
      </c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>
      <c r="A313" s="9">
        <v>403.0</v>
      </c>
      <c r="B313" s="9">
        <v>296.0</v>
      </c>
      <c r="C313" s="9">
        <v>9.0</v>
      </c>
      <c r="D313" s="9">
        <v>10130.0</v>
      </c>
      <c r="E313" s="9">
        <v>1.478908603E9</v>
      </c>
      <c r="F313" s="8"/>
      <c r="G313" s="9">
        <v>0.0</v>
      </c>
      <c r="H313" s="9">
        <v>0.0</v>
      </c>
      <c r="I313" s="9" t="s">
        <v>61</v>
      </c>
      <c r="J313" s="9">
        <v>0.0</v>
      </c>
      <c r="K313" s="9">
        <v>0.0</v>
      </c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>
      <c r="A314" s="9">
        <v>403.0</v>
      </c>
      <c r="B314" s="9">
        <v>306.0</v>
      </c>
      <c r="C314" s="9">
        <v>9.0</v>
      </c>
      <c r="D314" s="9">
        <v>10130.0</v>
      </c>
      <c r="E314" s="9">
        <v>1.478908687E9</v>
      </c>
      <c r="F314" s="8"/>
      <c r="G314" s="9">
        <v>0.0</v>
      </c>
      <c r="H314" s="9">
        <v>1.478908699E9</v>
      </c>
      <c r="I314" s="9">
        <v>0.0</v>
      </c>
      <c r="J314" s="9">
        <v>0.0</v>
      </c>
      <c r="K314" s="9">
        <v>0.0</v>
      </c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>
      <c r="A315" s="9">
        <v>403.0</v>
      </c>
      <c r="B315" s="9">
        <v>320.0</v>
      </c>
      <c r="C315" s="9">
        <v>9.0</v>
      </c>
      <c r="D315" s="9">
        <v>10130.0</v>
      </c>
      <c r="E315" s="9">
        <v>1.478908847E9</v>
      </c>
      <c r="F315" s="8"/>
      <c r="G315" s="9">
        <v>0.0</v>
      </c>
      <c r="H315" s="9">
        <v>1.478909071E9</v>
      </c>
      <c r="I315" s="9">
        <v>0.0</v>
      </c>
      <c r="J315" s="9">
        <v>0.0</v>
      </c>
      <c r="K315" s="9">
        <v>0.0</v>
      </c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>
      <c r="A316" s="9">
        <v>403.0</v>
      </c>
      <c r="B316" s="9">
        <v>793.0</v>
      </c>
      <c r="C316" s="9">
        <v>9.0</v>
      </c>
      <c r="D316" s="9">
        <v>10130.0</v>
      </c>
      <c r="E316" s="9">
        <v>1.479344437E9</v>
      </c>
      <c r="F316" s="8"/>
      <c r="G316" s="9">
        <v>0.0</v>
      </c>
      <c r="H316" s="9">
        <v>1.479344459E9</v>
      </c>
      <c r="I316" s="9">
        <v>0.0</v>
      </c>
      <c r="J316" s="9">
        <v>0.0</v>
      </c>
      <c r="K316" s="9">
        <v>0.0</v>
      </c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>
      <c r="A317" s="9">
        <v>403.0</v>
      </c>
      <c r="B317" s="9">
        <v>312.0</v>
      </c>
      <c r="C317" s="9">
        <v>9.0</v>
      </c>
      <c r="D317" s="9">
        <v>10132.0</v>
      </c>
      <c r="E317" s="9">
        <v>1.47890877E9</v>
      </c>
      <c r="F317" s="8"/>
      <c r="G317" s="9">
        <v>0.0</v>
      </c>
      <c r="H317" s="9">
        <v>1.478908856E9</v>
      </c>
      <c r="I317" s="9">
        <v>0.0</v>
      </c>
      <c r="J317" s="9">
        <v>0.0</v>
      </c>
      <c r="K317" s="9">
        <v>0.0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>
      <c r="A318" s="9">
        <v>403.0</v>
      </c>
      <c r="B318" s="9">
        <v>411.0</v>
      </c>
      <c r="C318" s="9">
        <v>9.0</v>
      </c>
      <c r="D318" s="9">
        <v>10133.0</v>
      </c>
      <c r="E318" s="9">
        <v>1.478909883E9</v>
      </c>
      <c r="F318" s="8"/>
      <c r="G318" s="9">
        <v>0.0</v>
      </c>
      <c r="H318" s="9">
        <v>1.478909896E9</v>
      </c>
      <c r="I318" s="9">
        <v>0.0</v>
      </c>
      <c r="J318" s="9">
        <v>0.0</v>
      </c>
      <c r="K318" s="9">
        <v>0.0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>
      <c r="A319" s="9">
        <v>403.0</v>
      </c>
      <c r="B319" s="9">
        <v>418.0</v>
      </c>
      <c r="C319" s="9">
        <v>9.0</v>
      </c>
      <c r="D319" s="9">
        <v>10133.0</v>
      </c>
      <c r="E319" s="9">
        <v>1.478909942E9</v>
      </c>
      <c r="F319" s="8"/>
      <c r="G319" s="9">
        <v>0.0</v>
      </c>
      <c r="H319" s="9">
        <v>1.478909954E9</v>
      </c>
      <c r="I319" s="9">
        <v>10.0</v>
      </c>
      <c r="J319" s="9">
        <v>0.0</v>
      </c>
      <c r="K319" s="9">
        <v>0.0</v>
      </c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>
      <c r="A320" s="9">
        <v>403.0</v>
      </c>
      <c r="B320" s="9">
        <v>224.0</v>
      </c>
      <c r="C320" s="9">
        <v>9.0</v>
      </c>
      <c r="D320" s="9">
        <v>10134.0</v>
      </c>
      <c r="E320" s="9">
        <v>1.478908136E9</v>
      </c>
      <c r="F320" s="8"/>
      <c r="G320" s="9">
        <v>0.0</v>
      </c>
      <c r="H320" s="9">
        <v>0.0</v>
      </c>
      <c r="I320" s="9" t="s">
        <v>61</v>
      </c>
      <c r="J320" s="9">
        <v>0.0</v>
      </c>
      <c r="K320" s="9">
        <v>0.0</v>
      </c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>
      <c r="A321" s="9">
        <v>403.0</v>
      </c>
      <c r="B321" s="9">
        <v>232.0</v>
      </c>
      <c r="C321" s="9">
        <v>9.0</v>
      </c>
      <c r="D321" s="9">
        <v>10134.0</v>
      </c>
      <c r="E321" s="9">
        <v>1.47890821E9</v>
      </c>
      <c r="F321" s="8"/>
      <c r="G321" s="9">
        <v>0.0</v>
      </c>
      <c r="H321" s="9">
        <v>0.0</v>
      </c>
      <c r="I321" s="9" t="s">
        <v>61</v>
      </c>
      <c r="J321" s="9">
        <v>0.0</v>
      </c>
      <c r="K321" s="9">
        <v>0.0</v>
      </c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>
      <c r="A322" s="9">
        <v>403.0</v>
      </c>
      <c r="B322" s="9">
        <v>244.0</v>
      </c>
      <c r="C322" s="9">
        <v>9.0</v>
      </c>
      <c r="D322" s="9">
        <v>10134.0</v>
      </c>
      <c r="E322" s="9">
        <v>1.478908268E9</v>
      </c>
      <c r="F322" s="8"/>
      <c r="G322" s="9">
        <v>0.0</v>
      </c>
      <c r="H322" s="9">
        <v>0.0</v>
      </c>
      <c r="I322" s="9" t="s">
        <v>61</v>
      </c>
      <c r="J322" s="9">
        <v>0.0</v>
      </c>
      <c r="K322" s="9">
        <v>0.0</v>
      </c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>
      <c r="A323" s="9">
        <v>403.0</v>
      </c>
      <c r="B323" s="9">
        <v>246.0</v>
      </c>
      <c r="C323" s="9">
        <v>9.0</v>
      </c>
      <c r="D323" s="9">
        <v>10134.0</v>
      </c>
      <c r="E323" s="9">
        <v>1.47890828E9</v>
      </c>
      <c r="F323" s="8"/>
      <c r="G323" s="9">
        <v>0.0</v>
      </c>
      <c r="H323" s="9">
        <v>1.478908839E9</v>
      </c>
      <c r="I323" s="9">
        <v>0.0</v>
      </c>
      <c r="J323" s="9">
        <v>0.0</v>
      </c>
      <c r="K323" s="9">
        <v>0.0</v>
      </c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>
      <c r="A324" s="9">
        <v>403.0</v>
      </c>
      <c r="B324" s="9">
        <v>328.0</v>
      </c>
      <c r="C324" s="9">
        <v>9.0</v>
      </c>
      <c r="D324" s="9">
        <v>10134.0</v>
      </c>
      <c r="E324" s="9">
        <v>1.478908914E9</v>
      </c>
      <c r="F324" s="8"/>
      <c r="G324" s="9">
        <v>0.0</v>
      </c>
      <c r="H324" s="9">
        <v>1.478909118E9</v>
      </c>
      <c r="I324" s="9">
        <v>0.0</v>
      </c>
      <c r="J324" s="9">
        <v>0.0</v>
      </c>
      <c r="K324" s="9">
        <v>0.0</v>
      </c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>
      <c r="A325" s="9">
        <v>403.0</v>
      </c>
      <c r="B325" s="9">
        <v>574.0</v>
      </c>
      <c r="C325" s="9">
        <v>9.0</v>
      </c>
      <c r="D325" s="9">
        <v>10135.0</v>
      </c>
      <c r="E325" s="9">
        <v>1.478956049E9</v>
      </c>
      <c r="F325" s="8"/>
      <c r="G325" s="9">
        <v>0.0</v>
      </c>
      <c r="H325" s="9">
        <v>0.0</v>
      </c>
      <c r="I325" s="9" t="s">
        <v>61</v>
      </c>
      <c r="J325" s="9">
        <v>0.0</v>
      </c>
      <c r="K325" s="9">
        <v>0.0</v>
      </c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>
      <c r="A326" s="9">
        <v>403.0</v>
      </c>
      <c r="B326" s="9">
        <v>575.0</v>
      </c>
      <c r="C326" s="9">
        <v>9.0</v>
      </c>
      <c r="D326" s="9">
        <v>10135.0</v>
      </c>
      <c r="E326" s="9">
        <v>1.478956123E9</v>
      </c>
      <c r="F326" s="8"/>
      <c r="G326" s="9">
        <v>0.0</v>
      </c>
      <c r="H326" s="9">
        <v>0.0</v>
      </c>
      <c r="I326" s="9" t="s">
        <v>61</v>
      </c>
      <c r="J326" s="9">
        <v>0.0</v>
      </c>
      <c r="K326" s="9">
        <v>0.0</v>
      </c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>
      <c r="A327" s="9">
        <v>403.0</v>
      </c>
      <c r="B327" s="9">
        <v>576.0</v>
      </c>
      <c r="C327" s="9">
        <v>9.0</v>
      </c>
      <c r="D327" s="9">
        <v>10135.0</v>
      </c>
      <c r="E327" s="9">
        <v>1.478956199E9</v>
      </c>
      <c r="F327" s="8"/>
      <c r="G327" s="9">
        <v>0.0</v>
      </c>
      <c r="H327" s="9">
        <v>0.0</v>
      </c>
      <c r="I327" s="9" t="s">
        <v>61</v>
      </c>
      <c r="J327" s="9">
        <v>0.0</v>
      </c>
      <c r="K327" s="9">
        <v>0.0</v>
      </c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>
      <c r="A328" s="9">
        <v>403.0</v>
      </c>
      <c r="B328" s="9">
        <v>578.0</v>
      </c>
      <c r="C328" s="9">
        <v>9.0</v>
      </c>
      <c r="D328" s="9">
        <v>10135.0</v>
      </c>
      <c r="E328" s="9">
        <v>1.478956245E9</v>
      </c>
      <c r="F328" s="8"/>
      <c r="G328" s="9">
        <v>0.0</v>
      </c>
      <c r="H328" s="9">
        <v>0.0</v>
      </c>
      <c r="I328" s="9" t="s">
        <v>61</v>
      </c>
      <c r="J328" s="9">
        <v>0.0</v>
      </c>
      <c r="K328" s="9">
        <v>0.0</v>
      </c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>
      <c r="A329" s="9">
        <v>403.0</v>
      </c>
      <c r="B329" s="9">
        <v>579.0</v>
      </c>
      <c r="C329" s="9">
        <v>9.0</v>
      </c>
      <c r="D329" s="9">
        <v>10135.0</v>
      </c>
      <c r="E329" s="9">
        <v>1.47895626E9</v>
      </c>
      <c r="F329" s="8"/>
      <c r="G329" s="9">
        <v>0.0</v>
      </c>
      <c r="H329" s="9">
        <v>1.478956283E9</v>
      </c>
      <c r="I329" s="9">
        <v>10.0</v>
      </c>
      <c r="J329" s="9">
        <v>0.0</v>
      </c>
      <c r="K329" s="9">
        <v>0.0</v>
      </c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>
      <c r="A330" s="9">
        <v>403.0</v>
      </c>
      <c r="B330" s="9">
        <v>196.0</v>
      </c>
      <c r="C330" s="9">
        <v>9.0</v>
      </c>
      <c r="D330" s="9">
        <v>10136.0</v>
      </c>
      <c r="E330" s="9">
        <v>1.478907847E9</v>
      </c>
      <c r="F330" s="8"/>
      <c r="G330" s="9">
        <v>0.0</v>
      </c>
      <c r="H330" s="9">
        <v>1.478907951E9</v>
      </c>
      <c r="I330" s="9">
        <v>0.0</v>
      </c>
      <c r="J330" s="9">
        <v>0.0</v>
      </c>
      <c r="K330" s="9">
        <v>0.0</v>
      </c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>
      <c r="A331" s="9">
        <v>403.0</v>
      </c>
      <c r="B331" s="9">
        <v>316.0</v>
      </c>
      <c r="C331" s="9">
        <v>9.0</v>
      </c>
      <c r="D331" s="9">
        <v>10137.0</v>
      </c>
      <c r="E331" s="9">
        <v>1.478908828E9</v>
      </c>
      <c r="F331" s="8"/>
      <c r="G331" s="9">
        <v>0.0</v>
      </c>
      <c r="H331" s="9">
        <v>0.0</v>
      </c>
      <c r="I331" s="9" t="s">
        <v>61</v>
      </c>
      <c r="J331" s="9">
        <v>0.0</v>
      </c>
      <c r="K331" s="9">
        <v>0.0</v>
      </c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>
      <c r="A332" s="9">
        <v>403.0</v>
      </c>
      <c r="B332" s="9">
        <v>321.0</v>
      </c>
      <c r="C332" s="9">
        <v>9.0</v>
      </c>
      <c r="D332" s="9">
        <v>10137.0</v>
      </c>
      <c r="E332" s="9">
        <v>1.478908854E9</v>
      </c>
      <c r="F332" s="8"/>
      <c r="G332" s="9">
        <v>0.0</v>
      </c>
      <c r="H332" s="9">
        <v>1.47890892E9</v>
      </c>
      <c r="I332" s="9">
        <v>0.0</v>
      </c>
      <c r="J332" s="9">
        <v>0.0</v>
      </c>
      <c r="K332" s="9">
        <v>0.0</v>
      </c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>
      <c r="A333" s="9">
        <v>403.0</v>
      </c>
      <c r="B333" s="9">
        <v>343.0</v>
      </c>
      <c r="C333" s="9">
        <v>9.0</v>
      </c>
      <c r="D333" s="9">
        <v>10137.0</v>
      </c>
      <c r="E333" s="9">
        <v>1.478909044E9</v>
      </c>
      <c r="F333" s="8"/>
      <c r="G333" s="9">
        <v>0.0</v>
      </c>
      <c r="H333" s="9">
        <v>1.478909061E9</v>
      </c>
      <c r="I333" s="9">
        <v>0.0</v>
      </c>
      <c r="J333" s="9">
        <v>0.0</v>
      </c>
      <c r="K333" s="9">
        <v>0.0</v>
      </c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>
      <c r="A334" s="9">
        <v>403.0</v>
      </c>
      <c r="B334" s="9">
        <v>346.0</v>
      </c>
      <c r="C334" s="9">
        <v>9.0</v>
      </c>
      <c r="D334" s="9">
        <v>10137.0</v>
      </c>
      <c r="E334" s="9">
        <v>1.478909091E9</v>
      </c>
      <c r="F334" s="8"/>
      <c r="G334" s="9">
        <v>0.0</v>
      </c>
      <c r="H334" s="9">
        <v>0.0</v>
      </c>
      <c r="I334" s="9" t="s">
        <v>61</v>
      </c>
      <c r="J334" s="9">
        <v>0.0</v>
      </c>
      <c r="K334" s="9">
        <v>0.0</v>
      </c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>
      <c r="A335" s="9">
        <v>403.0</v>
      </c>
      <c r="B335" s="9">
        <v>365.0</v>
      </c>
      <c r="C335" s="9">
        <v>9.0</v>
      </c>
      <c r="D335" s="9">
        <v>10137.0</v>
      </c>
      <c r="E335" s="9">
        <v>1.47890932E9</v>
      </c>
      <c r="F335" s="8"/>
      <c r="G335" s="9">
        <v>0.0</v>
      </c>
      <c r="H335" s="9">
        <v>1.478909347E9</v>
      </c>
      <c r="I335" s="9">
        <v>0.0</v>
      </c>
      <c r="J335" s="9">
        <v>0.0</v>
      </c>
      <c r="K335" s="9">
        <v>0.0</v>
      </c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>
      <c r="A336" s="9">
        <v>403.0</v>
      </c>
      <c r="B336" s="9">
        <v>258.0</v>
      </c>
      <c r="C336" s="9">
        <v>9.0</v>
      </c>
      <c r="D336" s="9">
        <v>10138.0</v>
      </c>
      <c r="E336" s="9">
        <v>1.47890838E9</v>
      </c>
      <c r="F336" s="8"/>
      <c r="G336" s="9">
        <v>0.0</v>
      </c>
      <c r="H336" s="9">
        <v>0.0</v>
      </c>
      <c r="I336" s="9" t="s">
        <v>61</v>
      </c>
      <c r="J336" s="9">
        <v>0.0</v>
      </c>
      <c r="K336" s="9">
        <v>0.0</v>
      </c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>
      <c r="A337" s="9">
        <v>403.0</v>
      </c>
      <c r="B337" s="9">
        <v>265.0</v>
      </c>
      <c r="C337" s="9">
        <v>9.0</v>
      </c>
      <c r="D337" s="9">
        <v>10138.0</v>
      </c>
      <c r="E337" s="9">
        <v>1.478908414E9</v>
      </c>
      <c r="F337" s="8"/>
      <c r="G337" s="9">
        <v>0.0</v>
      </c>
      <c r="H337" s="9">
        <v>0.0</v>
      </c>
      <c r="I337" s="9" t="s">
        <v>61</v>
      </c>
      <c r="J337" s="9">
        <v>0.0</v>
      </c>
      <c r="K337" s="9">
        <v>0.0</v>
      </c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>
      <c r="A338" s="9">
        <v>403.0</v>
      </c>
      <c r="B338" s="9">
        <v>286.0</v>
      </c>
      <c r="C338" s="9">
        <v>9.0</v>
      </c>
      <c r="D338" s="9">
        <v>10138.0</v>
      </c>
      <c r="E338" s="9">
        <v>1.478908521E9</v>
      </c>
      <c r="F338" s="8"/>
      <c r="G338" s="9">
        <v>0.0</v>
      </c>
      <c r="H338" s="9">
        <v>1.478908902E9</v>
      </c>
      <c r="I338" s="9">
        <v>0.0</v>
      </c>
      <c r="J338" s="9">
        <v>0.0</v>
      </c>
      <c r="K338" s="9">
        <v>0.0</v>
      </c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>
      <c r="A339" s="9">
        <v>403.0</v>
      </c>
      <c r="B339" s="9">
        <v>364.0</v>
      </c>
      <c r="C339" s="9">
        <v>9.0</v>
      </c>
      <c r="D339" s="9">
        <v>10138.0</v>
      </c>
      <c r="E339" s="9">
        <v>1.478909295E9</v>
      </c>
      <c r="F339" s="8"/>
      <c r="G339" s="9">
        <v>0.0</v>
      </c>
      <c r="H339" s="9">
        <v>0.0</v>
      </c>
      <c r="I339" s="9" t="s">
        <v>61</v>
      </c>
      <c r="J339" s="9">
        <v>0.0</v>
      </c>
      <c r="K339" s="9">
        <v>0.0</v>
      </c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>
      <c r="A340" s="9">
        <v>403.0</v>
      </c>
      <c r="B340" s="9">
        <v>366.0</v>
      </c>
      <c r="C340" s="9">
        <v>9.0</v>
      </c>
      <c r="D340" s="9">
        <v>10138.0</v>
      </c>
      <c r="E340" s="9">
        <v>1.478909321E9</v>
      </c>
      <c r="F340" s="8"/>
      <c r="G340" s="9">
        <v>0.0</v>
      </c>
      <c r="H340" s="9">
        <v>0.0</v>
      </c>
      <c r="I340" s="9" t="s">
        <v>61</v>
      </c>
      <c r="J340" s="9">
        <v>0.0</v>
      </c>
      <c r="K340" s="9">
        <v>0.0</v>
      </c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>
      <c r="A341" s="9">
        <v>403.0</v>
      </c>
      <c r="B341" s="9">
        <v>373.0</v>
      </c>
      <c r="C341" s="9">
        <v>9.0</v>
      </c>
      <c r="D341" s="9">
        <v>10138.0</v>
      </c>
      <c r="E341" s="9">
        <v>1.478909409E9</v>
      </c>
      <c r="F341" s="8"/>
      <c r="G341" s="9">
        <v>0.0</v>
      </c>
      <c r="H341" s="9">
        <v>0.0</v>
      </c>
      <c r="I341" s="9" t="s">
        <v>61</v>
      </c>
      <c r="J341" s="9">
        <v>0.0</v>
      </c>
      <c r="K341" s="9">
        <v>0.0</v>
      </c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>
      <c r="A342" s="9">
        <v>403.0</v>
      </c>
      <c r="B342" s="9">
        <v>400.0</v>
      </c>
      <c r="C342" s="9">
        <v>9.0</v>
      </c>
      <c r="D342" s="9">
        <v>10138.0</v>
      </c>
      <c r="E342" s="9">
        <v>1.478909692E9</v>
      </c>
      <c r="F342" s="8"/>
      <c r="G342" s="9">
        <v>0.0</v>
      </c>
      <c r="H342" s="9">
        <v>1.478909865E9</v>
      </c>
      <c r="I342" s="9">
        <v>0.0</v>
      </c>
      <c r="J342" s="9">
        <v>0.0</v>
      </c>
      <c r="K342" s="9">
        <v>0.0</v>
      </c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>
      <c r="A343" s="9">
        <v>403.0</v>
      </c>
      <c r="B343" s="9">
        <v>319.0</v>
      </c>
      <c r="C343" s="9">
        <v>9.0</v>
      </c>
      <c r="D343" s="9">
        <v>10140.0</v>
      </c>
      <c r="E343" s="9">
        <v>1.478908844E9</v>
      </c>
      <c r="F343" s="8"/>
      <c r="G343" s="9">
        <v>0.0</v>
      </c>
      <c r="H343" s="9">
        <v>1.478909439E9</v>
      </c>
      <c r="I343" s="9">
        <v>0.0</v>
      </c>
      <c r="J343" s="9">
        <v>0.0</v>
      </c>
      <c r="K343" s="9">
        <v>0.0</v>
      </c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>
      <c r="A344" s="9">
        <v>403.0</v>
      </c>
      <c r="B344" s="9">
        <v>345.0</v>
      </c>
      <c r="C344" s="9">
        <v>9.0</v>
      </c>
      <c r="D344" s="9">
        <v>10141.0</v>
      </c>
      <c r="E344" s="9">
        <v>1.478909086E9</v>
      </c>
      <c r="F344" s="8"/>
      <c r="G344" s="9">
        <v>0.0</v>
      </c>
      <c r="H344" s="9">
        <v>1.478909164E9</v>
      </c>
      <c r="I344" s="9">
        <v>0.0</v>
      </c>
      <c r="J344" s="9">
        <v>0.0</v>
      </c>
      <c r="K344" s="9">
        <v>0.0</v>
      </c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>
      <c r="A345" s="9">
        <v>403.0</v>
      </c>
      <c r="B345" s="9">
        <v>367.0</v>
      </c>
      <c r="C345" s="9">
        <v>9.0</v>
      </c>
      <c r="D345" s="9">
        <v>10141.0</v>
      </c>
      <c r="E345" s="9">
        <v>1.478909331E9</v>
      </c>
      <c r="F345" s="8"/>
      <c r="G345" s="9">
        <v>0.0</v>
      </c>
      <c r="H345" s="9">
        <v>1.47891E9</v>
      </c>
      <c r="I345" s="9">
        <v>0.0</v>
      </c>
      <c r="J345" s="9">
        <v>0.0</v>
      </c>
      <c r="K345" s="9">
        <v>0.0</v>
      </c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>
      <c r="A346" s="9">
        <v>403.0</v>
      </c>
      <c r="B346" s="9">
        <v>308.0</v>
      </c>
      <c r="C346" s="9">
        <v>9.0</v>
      </c>
      <c r="D346" s="9">
        <v>10142.0</v>
      </c>
      <c r="E346" s="9">
        <v>1.47890874E9</v>
      </c>
      <c r="F346" s="8"/>
      <c r="G346" s="9">
        <v>0.0</v>
      </c>
      <c r="H346" s="9">
        <v>1.478908753E9</v>
      </c>
      <c r="I346" s="9">
        <v>0.0</v>
      </c>
      <c r="J346" s="9">
        <v>0.0</v>
      </c>
      <c r="K346" s="9">
        <v>0.0</v>
      </c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>
      <c r="A347" s="9">
        <v>403.0</v>
      </c>
      <c r="B347" s="9">
        <v>292.0</v>
      </c>
      <c r="C347" s="9">
        <v>9.0</v>
      </c>
      <c r="D347" s="9">
        <v>10143.0</v>
      </c>
      <c r="E347" s="9">
        <v>1.478908571E9</v>
      </c>
      <c r="F347" s="8"/>
      <c r="G347" s="9">
        <v>0.0</v>
      </c>
      <c r="H347" s="9">
        <v>1.478908586E9</v>
      </c>
      <c r="I347" s="9">
        <v>0.0</v>
      </c>
      <c r="J347" s="9">
        <v>0.0</v>
      </c>
      <c r="K347" s="9">
        <v>0.0</v>
      </c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>
      <c r="A348" s="9">
        <v>403.0</v>
      </c>
      <c r="B348" s="9">
        <v>295.0</v>
      </c>
      <c r="C348" s="9">
        <v>9.0</v>
      </c>
      <c r="D348" s="9">
        <v>10143.0</v>
      </c>
      <c r="E348" s="9">
        <v>1.4789086E9</v>
      </c>
      <c r="F348" s="8"/>
      <c r="G348" s="9">
        <v>0.0</v>
      </c>
      <c r="H348" s="9">
        <v>1.478908611E9</v>
      </c>
      <c r="I348" s="9">
        <v>10.0</v>
      </c>
      <c r="J348" s="9">
        <v>0.0</v>
      </c>
      <c r="K348" s="9">
        <v>0.0</v>
      </c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>
      <c r="A349" s="9">
        <v>403.0</v>
      </c>
      <c r="B349" s="9">
        <v>386.0</v>
      </c>
      <c r="C349" s="9">
        <v>9.0</v>
      </c>
      <c r="D349" s="9">
        <v>10144.0</v>
      </c>
      <c r="E349" s="9">
        <v>1.478909526E9</v>
      </c>
      <c r="F349" s="8"/>
      <c r="G349" s="9">
        <v>0.0</v>
      </c>
      <c r="H349" s="9">
        <v>1.47890954E9</v>
      </c>
      <c r="I349" s="9">
        <v>0.0</v>
      </c>
      <c r="J349" s="9">
        <v>0.0</v>
      </c>
      <c r="K349" s="9">
        <v>0.0</v>
      </c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>
      <c r="A350" s="9">
        <v>403.0</v>
      </c>
      <c r="B350" s="9">
        <v>395.0</v>
      </c>
      <c r="C350" s="9">
        <v>9.0</v>
      </c>
      <c r="D350" s="9">
        <v>10144.0</v>
      </c>
      <c r="E350" s="9">
        <v>1.478909625E9</v>
      </c>
      <c r="F350" s="8"/>
      <c r="G350" s="9">
        <v>0.0</v>
      </c>
      <c r="H350" s="9">
        <v>1.47890964E9</v>
      </c>
      <c r="I350" s="9">
        <v>0.0</v>
      </c>
      <c r="J350" s="9">
        <v>0.0</v>
      </c>
      <c r="K350" s="9">
        <v>0.0</v>
      </c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>
      <c r="A351" s="9">
        <v>403.0</v>
      </c>
      <c r="B351" s="9">
        <v>437.0</v>
      </c>
      <c r="C351" s="9">
        <v>9.0</v>
      </c>
      <c r="D351" s="9">
        <v>10144.0</v>
      </c>
      <c r="E351" s="9">
        <v>1.478910142E9</v>
      </c>
      <c r="F351" s="8"/>
      <c r="G351" s="9">
        <v>0.0</v>
      </c>
      <c r="H351" s="9">
        <v>1.478910148E9</v>
      </c>
      <c r="I351" s="9">
        <v>10.0</v>
      </c>
      <c r="J351" s="9">
        <v>0.0</v>
      </c>
      <c r="K351" s="9">
        <v>0.0</v>
      </c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>
      <c r="A352" s="9">
        <v>403.0</v>
      </c>
      <c r="B352" s="9">
        <v>204.0</v>
      </c>
      <c r="C352" s="9">
        <v>9.0</v>
      </c>
      <c r="D352" s="9">
        <v>10145.0</v>
      </c>
      <c r="E352" s="9">
        <v>1.478907892E9</v>
      </c>
      <c r="F352" s="8"/>
      <c r="G352" s="9">
        <v>0.0</v>
      </c>
      <c r="H352" s="9">
        <v>1.478907929E9</v>
      </c>
      <c r="I352" s="9">
        <v>0.0</v>
      </c>
      <c r="J352" s="9">
        <v>0.0</v>
      </c>
      <c r="K352" s="9">
        <v>0.0</v>
      </c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>
      <c r="A353" s="9">
        <v>403.0</v>
      </c>
      <c r="B353" s="9">
        <v>228.0</v>
      </c>
      <c r="C353" s="9">
        <v>9.0</v>
      </c>
      <c r="D353" s="9">
        <v>10145.0</v>
      </c>
      <c r="E353" s="9">
        <v>1.478908191E9</v>
      </c>
      <c r="F353" s="8"/>
      <c r="G353" s="9">
        <v>0.0</v>
      </c>
      <c r="H353" s="9">
        <v>1.4789082E9</v>
      </c>
      <c r="I353" s="9">
        <v>0.0</v>
      </c>
      <c r="J353" s="9">
        <v>0.0</v>
      </c>
      <c r="K353" s="9">
        <v>0.0</v>
      </c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>
      <c r="A354" s="9">
        <v>403.0</v>
      </c>
      <c r="B354" s="9">
        <v>240.0</v>
      </c>
      <c r="C354" s="9">
        <v>9.0</v>
      </c>
      <c r="D354" s="9">
        <v>10145.0</v>
      </c>
      <c r="E354" s="9">
        <v>1.478908254E9</v>
      </c>
      <c r="F354" s="8"/>
      <c r="G354" s="9">
        <v>0.0</v>
      </c>
      <c r="H354" s="9">
        <v>1.478908265E9</v>
      </c>
      <c r="I354" s="9">
        <v>0.0</v>
      </c>
      <c r="J354" s="9">
        <v>0.0</v>
      </c>
      <c r="K354" s="9">
        <v>0.0</v>
      </c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>
      <c r="A355" s="9">
        <v>403.0</v>
      </c>
      <c r="B355" s="9">
        <v>247.0</v>
      </c>
      <c r="C355" s="9">
        <v>9.0</v>
      </c>
      <c r="D355" s="9">
        <v>10145.0</v>
      </c>
      <c r="E355" s="9">
        <v>1.478908292E9</v>
      </c>
      <c r="F355" s="8"/>
      <c r="G355" s="9">
        <v>0.0</v>
      </c>
      <c r="H355" s="9">
        <v>1.478908309E9</v>
      </c>
      <c r="I355" s="9">
        <v>0.0</v>
      </c>
      <c r="J355" s="9">
        <v>0.0</v>
      </c>
      <c r="K355" s="9">
        <v>0.0</v>
      </c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>
      <c r="A356" s="9">
        <v>403.0</v>
      </c>
      <c r="B356" s="9">
        <v>252.0</v>
      </c>
      <c r="C356" s="9">
        <v>9.0</v>
      </c>
      <c r="D356" s="9">
        <v>10145.0</v>
      </c>
      <c r="E356" s="9">
        <v>1.478908333E9</v>
      </c>
      <c r="F356" s="8"/>
      <c r="G356" s="9">
        <v>0.0</v>
      </c>
      <c r="H356" s="9">
        <v>1.478908355E9</v>
      </c>
      <c r="I356" s="9">
        <v>10.0</v>
      </c>
      <c r="J356" s="9">
        <v>0.0</v>
      </c>
      <c r="K356" s="9">
        <v>0.0</v>
      </c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>
      <c r="A357" s="9">
        <v>403.0</v>
      </c>
      <c r="B357" s="9">
        <v>256.0</v>
      </c>
      <c r="C357" s="9">
        <v>9.0</v>
      </c>
      <c r="D357" s="9">
        <v>10145.0</v>
      </c>
      <c r="E357" s="9">
        <v>1.478908362E9</v>
      </c>
      <c r="F357" s="8"/>
      <c r="G357" s="9">
        <v>0.0</v>
      </c>
      <c r="H357" s="9">
        <v>1.478908374E9</v>
      </c>
      <c r="I357" s="9">
        <v>10.0</v>
      </c>
      <c r="J357" s="9">
        <v>0.0</v>
      </c>
      <c r="K357" s="9">
        <v>0.0</v>
      </c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>
      <c r="A358" s="9">
        <v>403.0</v>
      </c>
      <c r="B358" s="9">
        <v>176.0</v>
      </c>
      <c r="C358" s="9">
        <v>9.0</v>
      </c>
      <c r="D358" s="9">
        <v>10146.0</v>
      </c>
      <c r="E358" s="9">
        <v>1.478907726E9</v>
      </c>
      <c r="F358" s="8"/>
      <c r="G358" s="9">
        <v>0.0</v>
      </c>
      <c r="H358" s="9">
        <v>0.0</v>
      </c>
      <c r="I358" s="9" t="s">
        <v>61</v>
      </c>
      <c r="J358" s="9">
        <v>0.0</v>
      </c>
      <c r="K358" s="9">
        <v>0.0</v>
      </c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>
      <c r="A359" s="9">
        <v>403.0</v>
      </c>
      <c r="B359" s="9">
        <v>212.0</v>
      </c>
      <c r="C359" s="9">
        <v>9.0</v>
      </c>
      <c r="D359" s="9">
        <v>10146.0</v>
      </c>
      <c r="E359" s="9">
        <v>1.478908005E9</v>
      </c>
      <c r="F359" s="8"/>
      <c r="G359" s="9">
        <v>0.0</v>
      </c>
      <c r="H359" s="9">
        <v>1.479250068E9</v>
      </c>
      <c r="I359" s="9">
        <v>0.0</v>
      </c>
      <c r="J359" s="9">
        <v>0.0</v>
      </c>
      <c r="K359" s="9">
        <v>0.0</v>
      </c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>
      <c r="A360" s="9">
        <v>403.0</v>
      </c>
      <c r="B360" s="9">
        <v>784.0</v>
      </c>
      <c r="C360" s="9">
        <v>9.0</v>
      </c>
      <c r="D360" s="9">
        <v>10146.0</v>
      </c>
      <c r="E360" s="9">
        <v>1.479250125E9</v>
      </c>
      <c r="F360" s="8"/>
      <c r="G360" s="9">
        <v>0.0</v>
      </c>
      <c r="H360" s="9">
        <v>1.479250133E9</v>
      </c>
      <c r="I360" s="9">
        <v>0.0</v>
      </c>
      <c r="J360" s="9">
        <v>0.0</v>
      </c>
      <c r="K360" s="9">
        <v>0.0</v>
      </c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>
      <c r="A361" s="9">
        <v>403.0</v>
      </c>
      <c r="B361" s="9">
        <v>377.0</v>
      </c>
      <c r="C361" s="9">
        <v>9.0</v>
      </c>
      <c r="D361" s="9">
        <v>10148.0</v>
      </c>
      <c r="E361" s="9">
        <v>1.47890943E9</v>
      </c>
      <c r="F361" s="8"/>
      <c r="G361" s="9">
        <v>0.0</v>
      </c>
      <c r="H361" s="9">
        <v>1.478909852E9</v>
      </c>
      <c r="I361" s="9">
        <v>0.0</v>
      </c>
      <c r="J361" s="9">
        <v>0.0</v>
      </c>
      <c r="K361" s="9">
        <v>0.0</v>
      </c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>
      <c r="A362" s="9">
        <v>403.0</v>
      </c>
      <c r="B362" s="9">
        <v>431.0</v>
      </c>
      <c r="C362" s="9">
        <v>9.0</v>
      </c>
      <c r="D362" s="9">
        <v>10148.0</v>
      </c>
      <c r="E362" s="9">
        <v>1.478910098E9</v>
      </c>
      <c r="F362" s="8"/>
      <c r="G362" s="9">
        <v>0.0</v>
      </c>
      <c r="H362" s="9">
        <v>1.478910106E9</v>
      </c>
      <c r="I362" s="9">
        <v>0.0</v>
      </c>
      <c r="J362" s="9">
        <v>0.0</v>
      </c>
      <c r="K362" s="9">
        <v>0.0</v>
      </c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>
      <c r="A363" s="9">
        <v>403.0</v>
      </c>
      <c r="B363" s="9">
        <v>317.0</v>
      </c>
      <c r="C363" s="9">
        <v>9.0</v>
      </c>
      <c r="D363" s="9">
        <v>10149.0</v>
      </c>
      <c r="E363" s="9">
        <v>1.478908835E9</v>
      </c>
      <c r="F363" s="8"/>
      <c r="G363" s="9">
        <v>0.0</v>
      </c>
      <c r="H363" s="9">
        <v>1.478909191E9</v>
      </c>
      <c r="I363" s="9">
        <v>0.0</v>
      </c>
      <c r="J363" s="9">
        <v>0.0</v>
      </c>
      <c r="K363" s="9">
        <v>0.0</v>
      </c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>
      <c r="A364" s="9">
        <v>403.0</v>
      </c>
      <c r="B364" s="9">
        <v>121.0</v>
      </c>
      <c r="C364" s="9">
        <v>9.0</v>
      </c>
      <c r="D364" s="9">
        <v>10150.0</v>
      </c>
      <c r="E364" s="9">
        <v>1.478907358E9</v>
      </c>
      <c r="F364" s="8"/>
      <c r="G364" s="9">
        <v>0.0</v>
      </c>
      <c r="H364" s="9">
        <v>1.478907531E9</v>
      </c>
      <c r="I364" s="9">
        <v>0.0</v>
      </c>
      <c r="J364" s="9">
        <v>0.0</v>
      </c>
      <c r="K364" s="9">
        <v>0.0</v>
      </c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>
      <c r="A365" s="9">
        <v>403.0</v>
      </c>
      <c r="B365" s="9">
        <v>188.0</v>
      </c>
      <c r="C365" s="9">
        <v>9.0</v>
      </c>
      <c r="D365" s="9">
        <v>10150.0</v>
      </c>
      <c r="E365" s="9">
        <v>1.478907797E9</v>
      </c>
      <c r="F365" s="8"/>
      <c r="G365" s="9">
        <v>0.0</v>
      </c>
      <c r="H365" s="9">
        <v>1.478907825E9</v>
      </c>
      <c r="I365" s="9">
        <v>0.0</v>
      </c>
      <c r="J365" s="9">
        <v>0.0</v>
      </c>
      <c r="K365" s="9">
        <v>0.0</v>
      </c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>
      <c r="A366" s="9">
        <v>403.0</v>
      </c>
      <c r="B366" s="9">
        <v>250.0</v>
      </c>
      <c r="C366" s="9">
        <v>9.0</v>
      </c>
      <c r="D366" s="9">
        <v>10150.0</v>
      </c>
      <c r="E366" s="9">
        <v>1.478908305E9</v>
      </c>
      <c r="F366" s="8"/>
      <c r="G366" s="9">
        <v>0.0</v>
      </c>
      <c r="H366" s="9">
        <v>1.478909081E9</v>
      </c>
      <c r="I366" s="9">
        <v>0.0</v>
      </c>
      <c r="J366" s="9">
        <v>0.0</v>
      </c>
      <c r="K366" s="9">
        <v>0.0</v>
      </c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>
      <c r="A367" s="9">
        <v>403.0</v>
      </c>
      <c r="B367" s="9">
        <v>310.0</v>
      </c>
      <c r="C367" s="9">
        <v>9.0</v>
      </c>
      <c r="D367" s="9">
        <v>10151.0</v>
      </c>
      <c r="E367" s="9">
        <v>1.478908745E9</v>
      </c>
      <c r="F367" s="8"/>
      <c r="G367" s="9">
        <v>0.0</v>
      </c>
      <c r="H367" s="9">
        <v>0.0</v>
      </c>
      <c r="I367" s="9" t="s">
        <v>61</v>
      </c>
      <c r="J367" s="9">
        <v>0.0</v>
      </c>
      <c r="K367" s="9">
        <v>0.0</v>
      </c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>
      <c r="A368" s="9">
        <v>403.0</v>
      </c>
      <c r="B368" s="9">
        <v>315.0</v>
      </c>
      <c r="C368" s="9">
        <v>9.0</v>
      </c>
      <c r="D368" s="9">
        <v>10151.0</v>
      </c>
      <c r="E368" s="9">
        <v>1.478908816E9</v>
      </c>
      <c r="F368" s="8"/>
      <c r="G368" s="9">
        <v>0.0</v>
      </c>
      <c r="H368" s="9">
        <v>0.0</v>
      </c>
      <c r="I368" s="9" t="s">
        <v>61</v>
      </c>
      <c r="J368" s="9">
        <v>0.0</v>
      </c>
      <c r="K368" s="9">
        <v>0.0</v>
      </c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>
      <c r="A369" s="9">
        <v>403.0</v>
      </c>
      <c r="B369" s="9">
        <v>323.0</v>
      </c>
      <c r="C369" s="9">
        <v>9.0</v>
      </c>
      <c r="D369" s="9">
        <v>10151.0</v>
      </c>
      <c r="E369" s="9">
        <v>1.478908874E9</v>
      </c>
      <c r="F369" s="8"/>
      <c r="G369" s="9">
        <v>0.0</v>
      </c>
      <c r="H369" s="9">
        <v>0.0</v>
      </c>
      <c r="I369" s="9" t="s">
        <v>61</v>
      </c>
      <c r="J369" s="9">
        <v>0.0</v>
      </c>
      <c r="K369" s="9">
        <v>0.0</v>
      </c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>
      <c r="A370" s="9">
        <v>403.0</v>
      </c>
      <c r="B370" s="9">
        <v>327.0</v>
      </c>
      <c r="C370" s="9">
        <v>9.0</v>
      </c>
      <c r="D370" s="9">
        <v>10151.0</v>
      </c>
      <c r="E370" s="9">
        <v>1.478908901E9</v>
      </c>
      <c r="F370" s="8"/>
      <c r="G370" s="9">
        <v>0.0</v>
      </c>
      <c r="H370" s="9">
        <v>1.478908911E9</v>
      </c>
      <c r="I370" s="9">
        <v>0.0</v>
      </c>
      <c r="J370" s="9">
        <v>0.0</v>
      </c>
      <c r="K370" s="9">
        <v>0.0</v>
      </c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>
      <c r="A371" s="9">
        <v>403.0</v>
      </c>
      <c r="B371" s="9">
        <v>333.0</v>
      </c>
      <c r="C371" s="9">
        <v>9.0</v>
      </c>
      <c r="D371" s="9">
        <v>10151.0</v>
      </c>
      <c r="E371" s="9">
        <v>1.478908943E9</v>
      </c>
      <c r="F371" s="8"/>
      <c r="G371" s="9">
        <v>0.0</v>
      </c>
      <c r="H371" s="9">
        <v>1.478909015E9</v>
      </c>
      <c r="I371" s="9">
        <v>10.0</v>
      </c>
      <c r="J371" s="9">
        <v>0.0</v>
      </c>
      <c r="K371" s="9">
        <v>0.0</v>
      </c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>
      <c r="A372" s="9">
        <v>403.0</v>
      </c>
      <c r="B372" s="9">
        <v>272.0</v>
      </c>
      <c r="C372" s="9">
        <v>9.0</v>
      </c>
      <c r="D372" s="9">
        <v>10152.0</v>
      </c>
      <c r="E372" s="9">
        <v>1.478908451E9</v>
      </c>
      <c r="F372" s="8"/>
      <c r="G372" s="9">
        <v>0.0</v>
      </c>
      <c r="H372" s="9">
        <v>0.0</v>
      </c>
      <c r="I372" s="9" t="s">
        <v>61</v>
      </c>
      <c r="J372" s="9">
        <v>0.0</v>
      </c>
      <c r="K372" s="9">
        <v>0.0</v>
      </c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>
      <c r="A373" s="9">
        <v>403.0</v>
      </c>
      <c r="B373" s="9">
        <v>281.0</v>
      </c>
      <c r="C373" s="9">
        <v>9.0</v>
      </c>
      <c r="D373" s="9">
        <v>10152.0</v>
      </c>
      <c r="E373" s="9">
        <v>1.478908488E9</v>
      </c>
      <c r="F373" s="8"/>
      <c r="G373" s="9">
        <v>0.0</v>
      </c>
      <c r="H373" s="9">
        <v>0.0</v>
      </c>
      <c r="I373" s="9" t="s">
        <v>61</v>
      </c>
      <c r="J373" s="9">
        <v>0.0</v>
      </c>
      <c r="K373" s="9">
        <v>0.0</v>
      </c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>
      <c r="A374" s="9">
        <v>403.0</v>
      </c>
      <c r="B374" s="9">
        <v>288.0</v>
      </c>
      <c r="C374" s="9">
        <v>9.0</v>
      </c>
      <c r="D374" s="9">
        <v>10152.0</v>
      </c>
      <c r="E374" s="9">
        <v>1.478908539E9</v>
      </c>
      <c r="F374" s="8"/>
      <c r="G374" s="9">
        <v>0.0</v>
      </c>
      <c r="H374" s="9">
        <v>1.478908551E9</v>
      </c>
      <c r="I374" s="9">
        <v>10.0</v>
      </c>
      <c r="J374" s="9">
        <v>0.0</v>
      </c>
      <c r="K374" s="9">
        <v>0.0</v>
      </c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>
      <c r="A375" s="9">
        <v>403.0</v>
      </c>
      <c r="B375" s="9">
        <v>426.0</v>
      </c>
      <c r="C375" s="9">
        <v>9.0</v>
      </c>
      <c r="D375" s="9">
        <v>10153.0</v>
      </c>
      <c r="E375" s="9">
        <v>1.478910034E9</v>
      </c>
      <c r="F375" s="8"/>
      <c r="G375" s="9">
        <v>0.0</v>
      </c>
      <c r="H375" s="9">
        <v>1.478910657E9</v>
      </c>
      <c r="I375" s="9">
        <v>0.0</v>
      </c>
      <c r="J375" s="9">
        <v>0.0</v>
      </c>
      <c r="K375" s="9">
        <v>0.0</v>
      </c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>
      <c r="A376" s="9">
        <v>404.0</v>
      </c>
      <c r="B376" s="9">
        <v>629.0</v>
      </c>
      <c r="C376" s="9">
        <v>10.0</v>
      </c>
      <c r="D376" s="9">
        <v>2.0</v>
      </c>
      <c r="E376" s="9">
        <v>1.478975399E9</v>
      </c>
      <c r="F376" s="8"/>
      <c r="G376" s="9">
        <v>0.0</v>
      </c>
      <c r="H376" s="9">
        <v>0.0</v>
      </c>
      <c r="I376" s="9" t="s">
        <v>61</v>
      </c>
      <c r="J376" s="9">
        <v>0.0</v>
      </c>
      <c r="K376" s="9">
        <v>0.0</v>
      </c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>
      <c r="A377" s="9">
        <v>404.0</v>
      </c>
      <c r="B377" s="9">
        <v>630.0</v>
      </c>
      <c r="C377" s="9">
        <v>10.0</v>
      </c>
      <c r="D377" s="9">
        <v>2.0</v>
      </c>
      <c r="E377" s="9">
        <v>1.478975842E9</v>
      </c>
      <c r="F377" s="8"/>
      <c r="G377" s="9">
        <v>0.0</v>
      </c>
      <c r="H377" s="9">
        <v>0.0</v>
      </c>
      <c r="I377" s="9" t="s">
        <v>61</v>
      </c>
      <c r="J377" s="9">
        <v>0.0</v>
      </c>
      <c r="K377" s="9">
        <v>0.0</v>
      </c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>
      <c r="A378" s="9">
        <v>404.0</v>
      </c>
      <c r="B378" s="9">
        <v>631.0</v>
      </c>
      <c r="C378" s="9">
        <v>10.0</v>
      </c>
      <c r="D378" s="9">
        <v>2.0</v>
      </c>
      <c r="E378" s="9">
        <v>1.478976325E9</v>
      </c>
      <c r="F378" s="8"/>
      <c r="G378" s="9">
        <v>0.0</v>
      </c>
      <c r="H378" s="9">
        <v>0.0</v>
      </c>
      <c r="I378" s="9" t="s">
        <v>61</v>
      </c>
      <c r="J378" s="9">
        <v>0.0</v>
      </c>
      <c r="K378" s="9">
        <v>0.0</v>
      </c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>
      <c r="A379" s="9">
        <v>404.0</v>
      </c>
      <c r="B379" s="9">
        <v>632.0</v>
      </c>
      <c r="C379" s="9">
        <v>10.0</v>
      </c>
      <c r="D379" s="9">
        <v>2.0</v>
      </c>
      <c r="E379" s="9">
        <v>1.478976522E9</v>
      </c>
      <c r="F379" s="8"/>
      <c r="G379" s="9">
        <v>0.0</v>
      </c>
      <c r="H379" s="9">
        <v>0.0</v>
      </c>
      <c r="I379" s="9" t="s">
        <v>61</v>
      </c>
      <c r="J379" s="9">
        <v>0.0</v>
      </c>
      <c r="K379" s="9">
        <v>0.0</v>
      </c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>
      <c r="A380" s="9">
        <v>404.0</v>
      </c>
      <c r="B380" s="9">
        <v>633.0</v>
      </c>
      <c r="C380" s="9">
        <v>10.0</v>
      </c>
      <c r="D380" s="9">
        <v>2.0</v>
      </c>
      <c r="E380" s="9">
        <v>1.478976665E9</v>
      </c>
      <c r="F380" s="8"/>
      <c r="G380" s="9">
        <v>0.0</v>
      </c>
      <c r="H380" s="9">
        <v>0.0</v>
      </c>
      <c r="I380" s="9" t="s">
        <v>61</v>
      </c>
      <c r="J380" s="9">
        <v>0.0</v>
      </c>
      <c r="K380" s="9">
        <v>0.0</v>
      </c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>
      <c r="A381" s="9">
        <v>404.0</v>
      </c>
      <c r="B381" s="9">
        <v>634.0</v>
      </c>
      <c r="C381" s="9">
        <v>10.0</v>
      </c>
      <c r="D381" s="9">
        <v>2.0</v>
      </c>
      <c r="E381" s="9">
        <v>1.478976688E9</v>
      </c>
      <c r="F381" s="8"/>
      <c r="G381" s="9">
        <v>0.0</v>
      </c>
      <c r="H381" s="9">
        <v>0.0</v>
      </c>
      <c r="I381" s="9" t="s">
        <v>61</v>
      </c>
      <c r="J381" s="9">
        <v>0.0</v>
      </c>
      <c r="K381" s="9">
        <v>0.0</v>
      </c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>
      <c r="A382" s="9">
        <v>404.0</v>
      </c>
      <c r="B382" s="9">
        <v>635.0</v>
      </c>
      <c r="C382" s="9">
        <v>10.0</v>
      </c>
      <c r="D382" s="9">
        <v>2.0</v>
      </c>
      <c r="E382" s="9">
        <v>1.478977205E9</v>
      </c>
      <c r="F382" s="8"/>
      <c r="G382" s="9">
        <v>0.0</v>
      </c>
      <c r="H382" s="9">
        <v>0.0</v>
      </c>
      <c r="I382" s="9" t="s">
        <v>61</v>
      </c>
      <c r="J382" s="9">
        <v>0.0</v>
      </c>
      <c r="K382" s="9">
        <v>0.0</v>
      </c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>
      <c r="A383" s="9">
        <v>404.0</v>
      </c>
      <c r="B383" s="9">
        <v>636.0</v>
      </c>
      <c r="C383" s="9">
        <v>10.0</v>
      </c>
      <c r="D383" s="9">
        <v>2.0</v>
      </c>
      <c r="E383" s="9">
        <v>1.478977374E9</v>
      </c>
      <c r="F383" s="8"/>
      <c r="G383" s="9">
        <v>0.0</v>
      </c>
      <c r="H383" s="9">
        <v>0.0</v>
      </c>
      <c r="I383" s="9" t="s">
        <v>61</v>
      </c>
      <c r="J383" s="9">
        <v>0.0</v>
      </c>
      <c r="K383" s="9">
        <v>0.0</v>
      </c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>
      <c r="A384" s="9">
        <v>404.0</v>
      </c>
      <c r="B384" s="9">
        <v>637.0</v>
      </c>
      <c r="C384" s="9">
        <v>10.0</v>
      </c>
      <c r="D384" s="9">
        <v>2.0</v>
      </c>
      <c r="E384" s="9">
        <v>1.478977431E9</v>
      </c>
      <c r="F384" s="8"/>
      <c r="G384" s="9">
        <v>0.0</v>
      </c>
      <c r="H384" s="9">
        <v>0.0</v>
      </c>
      <c r="I384" s="9" t="s">
        <v>61</v>
      </c>
      <c r="J384" s="9">
        <v>0.0</v>
      </c>
      <c r="K384" s="9">
        <v>0.0</v>
      </c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>
      <c r="A385" s="9">
        <v>404.0</v>
      </c>
      <c r="B385" s="9">
        <v>638.0</v>
      </c>
      <c r="C385" s="9">
        <v>10.0</v>
      </c>
      <c r="D385" s="9">
        <v>2.0</v>
      </c>
      <c r="E385" s="9">
        <v>1.478977447E9</v>
      </c>
      <c r="F385" s="8"/>
      <c r="G385" s="9">
        <v>0.0</v>
      </c>
      <c r="H385" s="9">
        <v>0.0</v>
      </c>
      <c r="I385" s="9" t="s">
        <v>61</v>
      </c>
      <c r="J385" s="9">
        <v>0.0</v>
      </c>
      <c r="K385" s="9">
        <v>0.0</v>
      </c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>
      <c r="A386" s="9">
        <v>404.0</v>
      </c>
      <c r="B386" s="9">
        <v>639.0</v>
      </c>
      <c r="C386" s="9">
        <v>10.0</v>
      </c>
      <c r="D386" s="9">
        <v>2.0</v>
      </c>
      <c r="E386" s="9">
        <v>1.478977626E9</v>
      </c>
      <c r="F386" s="8"/>
      <c r="G386" s="9">
        <v>0.0</v>
      </c>
      <c r="H386" s="9">
        <v>0.0</v>
      </c>
      <c r="I386" s="9" t="s">
        <v>61</v>
      </c>
      <c r="J386" s="9">
        <v>0.0</v>
      </c>
      <c r="K386" s="9">
        <v>0.0</v>
      </c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>
      <c r="A387" s="9">
        <v>404.0</v>
      </c>
      <c r="B387" s="9">
        <v>640.0</v>
      </c>
      <c r="C387" s="9">
        <v>10.0</v>
      </c>
      <c r="D387" s="9">
        <v>2.0</v>
      </c>
      <c r="E387" s="9">
        <v>1.478977656E9</v>
      </c>
      <c r="F387" s="8"/>
      <c r="G387" s="9">
        <v>0.0</v>
      </c>
      <c r="H387" s="9">
        <v>0.0</v>
      </c>
      <c r="I387" s="9" t="s">
        <v>61</v>
      </c>
      <c r="J387" s="9">
        <v>0.0</v>
      </c>
      <c r="K387" s="9">
        <v>0.0</v>
      </c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>
      <c r="A388" s="9">
        <v>404.0</v>
      </c>
      <c r="B388" s="9">
        <v>641.0</v>
      </c>
      <c r="C388" s="9">
        <v>10.0</v>
      </c>
      <c r="D388" s="9">
        <v>2.0</v>
      </c>
      <c r="E388" s="9">
        <v>1.478977732E9</v>
      </c>
      <c r="F388" s="8"/>
      <c r="G388" s="9">
        <v>0.0</v>
      </c>
      <c r="H388" s="9">
        <v>0.0</v>
      </c>
      <c r="I388" s="9" t="s">
        <v>61</v>
      </c>
      <c r="J388" s="9">
        <v>0.0</v>
      </c>
      <c r="K388" s="9">
        <v>0.0</v>
      </c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>
      <c r="A389" s="9">
        <v>404.0</v>
      </c>
      <c r="B389" s="9">
        <v>642.0</v>
      </c>
      <c r="C389" s="9">
        <v>10.0</v>
      </c>
      <c r="D389" s="9">
        <v>2.0</v>
      </c>
      <c r="E389" s="9">
        <v>1.478977836E9</v>
      </c>
      <c r="F389" s="8"/>
      <c r="G389" s="9">
        <v>0.0</v>
      </c>
      <c r="H389" s="9">
        <v>0.0</v>
      </c>
      <c r="I389" s="9" t="s">
        <v>61</v>
      </c>
      <c r="J389" s="9">
        <v>0.0</v>
      </c>
      <c r="K389" s="9">
        <v>0.0</v>
      </c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>
      <c r="A390" s="9">
        <v>404.0</v>
      </c>
      <c r="B390" s="9">
        <v>643.0</v>
      </c>
      <c r="C390" s="9">
        <v>10.0</v>
      </c>
      <c r="D390" s="9">
        <v>2.0</v>
      </c>
      <c r="E390" s="9">
        <v>1.478977896E9</v>
      </c>
      <c r="F390" s="8"/>
      <c r="G390" s="9">
        <v>0.0</v>
      </c>
      <c r="H390" s="9">
        <v>0.0</v>
      </c>
      <c r="I390" s="9" t="s">
        <v>61</v>
      </c>
      <c r="J390" s="9">
        <v>0.0</v>
      </c>
      <c r="K390" s="9">
        <v>0.0</v>
      </c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>
      <c r="A391" s="9">
        <v>404.0</v>
      </c>
      <c r="B391" s="9">
        <v>644.0</v>
      </c>
      <c r="C391" s="9">
        <v>10.0</v>
      </c>
      <c r="D391" s="9">
        <v>2.0</v>
      </c>
      <c r="E391" s="9">
        <v>1.478977983E9</v>
      </c>
      <c r="F391" s="8"/>
      <c r="G391" s="9">
        <v>0.0</v>
      </c>
      <c r="H391" s="9">
        <v>0.0</v>
      </c>
      <c r="I391" s="9" t="s">
        <v>61</v>
      </c>
      <c r="J391" s="9">
        <v>0.0</v>
      </c>
      <c r="K391" s="9">
        <v>0.0</v>
      </c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>
      <c r="A392" s="9">
        <v>404.0</v>
      </c>
      <c r="B392" s="9">
        <v>645.0</v>
      </c>
      <c r="C392" s="9">
        <v>10.0</v>
      </c>
      <c r="D392" s="9">
        <v>2.0</v>
      </c>
      <c r="E392" s="9">
        <v>1.478978577E9</v>
      </c>
      <c r="F392" s="8"/>
      <c r="G392" s="9">
        <v>0.0</v>
      </c>
      <c r="H392" s="9">
        <v>0.0</v>
      </c>
      <c r="I392" s="9" t="s">
        <v>61</v>
      </c>
      <c r="J392" s="9">
        <v>0.0</v>
      </c>
      <c r="K392" s="9">
        <v>0.0</v>
      </c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>
      <c r="A393" s="9">
        <v>404.0</v>
      </c>
      <c r="B393" s="9">
        <v>646.0</v>
      </c>
      <c r="C393" s="9">
        <v>10.0</v>
      </c>
      <c r="D393" s="9">
        <v>2.0</v>
      </c>
      <c r="E393" s="9">
        <v>1.47897862E9</v>
      </c>
      <c r="F393" s="8"/>
      <c r="G393" s="9">
        <v>0.0</v>
      </c>
      <c r="H393" s="9">
        <v>0.0</v>
      </c>
      <c r="I393" s="9" t="s">
        <v>61</v>
      </c>
      <c r="J393" s="9">
        <v>0.0</v>
      </c>
      <c r="K393" s="9">
        <v>0.0</v>
      </c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>
      <c r="A394" s="9">
        <v>404.0</v>
      </c>
      <c r="B394" s="9">
        <v>647.0</v>
      </c>
      <c r="C394" s="9">
        <v>10.0</v>
      </c>
      <c r="D394" s="9">
        <v>2.0</v>
      </c>
      <c r="E394" s="9">
        <v>1.478978703E9</v>
      </c>
      <c r="F394" s="8"/>
      <c r="G394" s="9">
        <v>0.0</v>
      </c>
      <c r="H394" s="9">
        <v>0.0</v>
      </c>
      <c r="I394" s="9" t="s">
        <v>61</v>
      </c>
      <c r="J394" s="9">
        <v>0.0</v>
      </c>
      <c r="K394" s="9">
        <v>0.0</v>
      </c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>
      <c r="A395" s="9">
        <v>404.0</v>
      </c>
      <c r="B395" s="9">
        <v>648.0</v>
      </c>
      <c r="C395" s="9">
        <v>10.0</v>
      </c>
      <c r="D395" s="9">
        <v>2.0</v>
      </c>
      <c r="E395" s="9">
        <v>1.478978758E9</v>
      </c>
      <c r="F395" s="8"/>
      <c r="G395" s="9">
        <v>0.0</v>
      </c>
      <c r="H395" s="9">
        <v>0.0</v>
      </c>
      <c r="I395" s="9" t="s">
        <v>61</v>
      </c>
      <c r="J395" s="9">
        <v>0.0</v>
      </c>
      <c r="K395" s="9">
        <v>0.0</v>
      </c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>
      <c r="A396" s="9">
        <v>404.0</v>
      </c>
      <c r="B396" s="9">
        <v>649.0</v>
      </c>
      <c r="C396" s="9">
        <v>10.0</v>
      </c>
      <c r="D396" s="9">
        <v>2.0</v>
      </c>
      <c r="E396" s="9">
        <v>1.478978777E9</v>
      </c>
      <c r="F396" s="8"/>
      <c r="G396" s="9">
        <v>0.0</v>
      </c>
      <c r="H396" s="9">
        <v>0.0</v>
      </c>
      <c r="I396" s="9" t="s">
        <v>61</v>
      </c>
      <c r="J396" s="9">
        <v>0.0</v>
      </c>
      <c r="K396" s="9">
        <v>0.0</v>
      </c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>
      <c r="A397" s="9">
        <v>404.0</v>
      </c>
      <c r="B397" s="9">
        <v>650.0</v>
      </c>
      <c r="C397" s="9">
        <v>10.0</v>
      </c>
      <c r="D397" s="9">
        <v>2.0</v>
      </c>
      <c r="E397" s="9">
        <v>1.478978844E9</v>
      </c>
      <c r="F397" s="8"/>
      <c r="G397" s="9">
        <v>0.0</v>
      </c>
      <c r="H397" s="9">
        <v>0.0</v>
      </c>
      <c r="I397" s="9" t="s">
        <v>61</v>
      </c>
      <c r="J397" s="9">
        <v>0.0</v>
      </c>
      <c r="K397" s="9">
        <v>0.0</v>
      </c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>
      <c r="A398" s="9">
        <v>404.0</v>
      </c>
      <c r="B398" s="9">
        <v>651.0</v>
      </c>
      <c r="C398" s="9">
        <v>10.0</v>
      </c>
      <c r="D398" s="9">
        <v>2.0</v>
      </c>
      <c r="E398" s="9">
        <v>1.47897886E9</v>
      </c>
      <c r="F398" s="8"/>
      <c r="G398" s="9">
        <v>0.0</v>
      </c>
      <c r="H398" s="9">
        <v>0.0</v>
      </c>
      <c r="I398" s="9" t="s">
        <v>61</v>
      </c>
      <c r="J398" s="9">
        <v>0.0</v>
      </c>
      <c r="K398" s="9">
        <v>0.0</v>
      </c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>
      <c r="A399" s="9">
        <v>404.0</v>
      </c>
      <c r="B399" s="9">
        <v>652.0</v>
      </c>
      <c r="C399" s="9">
        <v>10.0</v>
      </c>
      <c r="D399" s="9">
        <v>2.0</v>
      </c>
      <c r="E399" s="9">
        <v>1.478979682E9</v>
      </c>
      <c r="F399" s="8"/>
      <c r="G399" s="9">
        <v>0.0</v>
      </c>
      <c r="H399" s="9">
        <v>0.0</v>
      </c>
      <c r="I399" s="9" t="s">
        <v>61</v>
      </c>
      <c r="J399" s="9">
        <v>0.0</v>
      </c>
      <c r="K399" s="9">
        <v>0.0</v>
      </c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>
      <c r="A400" s="9">
        <v>404.0</v>
      </c>
      <c r="B400" s="9">
        <v>653.0</v>
      </c>
      <c r="C400" s="9">
        <v>10.0</v>
      </c>
      <c r="D400" s="9">
        <v>2.0</v>
      </c>
      <c r="E400" s="9">
        <v>1.478979694E9</v>
      </c>
      <c r="F400" s="8"/>
      <c r="G400" s="9">
        <v>0.0</v>
      </c>
      <c r="H400" s="9">
        <v>0.0</v>
      </c>
      <c r="I400" s="9" t="s">
        <v>61</v>
      </c>
      <c r="J400" s="9">
        <v>0.0</v>
      </c>
      <c r="K400" s="9">
        <v>0.0</v>
      </c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>
      <c r="A401" s="9">
        <v>404.0</v>
      </c>
      <c r="B401" s="9">
        <v>656.0</v>
      </c>
      <c r="C401" s="9">
        <v>10.0</v>
      </c>
      <c r="D401" s="9">
        <v>2.0</v>
      </c>
      <c r="E401" s="9">
        <v>1.478980883E9</v>
      </c>
      <c r="F401" s="8"/>
      <c r="G401" s="9">
        <v>0.0</v>
      </c>
      <c r="H401" s="9">
        <v>0.0</v>
      </c>
      <c r="I401" s="9" t="s">
        <v>61</v>
      </c>
      <c r="J401" s="9">
        <v>0.0</v>
      </c>
      <c r="K401" s="9">
        <v>0.0</v>
      </c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>
      <c r="A402" s="9">
        <v>404.0</v>
      </c>
      <c r="B402" s="9">
        <v>657.0</v>
      </c>
      <c r="C402" s="9">
        <v>10.0</v>
      </c>
      <c r="D402" s="9">
        <v>2.0</v>
      </c>
      <c r="E402" s="9">
        <v>1.478980887E9</v>
      </c>
      <c r="F402" s="8"/>
      <c r="G402" s="9">
        <v>0.0</v>
      </c>
      <c r="H402" s="9">
        <v>0.0</v>
      </c>
      <c r="I402" s="9" t="s">
        <v>61</v>
      </c>
      <c r="J402" s="9">
        <v>0.0</v>
      </c>
      <c r="K402" s="9">
        <v>0.0</v>
      </c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>
      <c r="A403" s="9">
        <v>404.0</v>
      </c>
      <c r="B403" s="9">
        <v>664.0</v>
      </c>
      <c r="C403" s="9">
        <v>10.0</v>
      </c>
      <c r="D403" s="9">
        <v>2.0</v>
      </c>
      <c r="E403" s="9">
        <v>1.478982997E9</v>
      </c>
      <c r="F403" s="8"/>
      <c r="G403" s="9">
        <v>0.0</v>
      </c>
      <c r="H403" s="9">
        <v>0.0</v>
      </c>
      <c r="I403" s="9" t="s">
        <v>61</v>
      </c>
      <c r="J403" s="9">
        <v>0.0</v>
      </c>
      <c r="K403" s="9">
        <v>0.0</v>
      </c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>
      <c r="A404" s="9">
        <v>404.0</v>
      </c>
      <c r="B404" s="9">
        <v>665.0</v>
      </c>
      <c r="C404" s="9">
        <v>10.0</v>
      </c>
      <c r="D404" s="9">
        <v>2.0</v>
      </c>
      <c r="E404" s="9">
        <v>1.478983006E9</v>
      </c>
      <c r="F404" s="8"/>
      <c r="G404" s="9">
        <v>0.0</v>
      </c>
      <c r="H404" s="9">
        <v>0.0</v>
      </c>
      <c r="I404" s="9" t="s">
        <v>61</v>
      </c>
      <c r="J404" s="9">
        <v>0.0</v>
      </c>
      <c r="K404" s="9">
        <v>0.0</v>
      </c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>
      <c r="A405" s="9">
        <v>404.0</v>
      </c>
      <c r="B405" s="9">
        <v>666.0</v>
      </c>
      <c r="C405" s="9">
        <v>10.0</v>
      </c>
      <c r="D405" s="9">
        <v>2.0</v>
      </c>
      <c r="E405" s="9">
        <v>1.478983584E9</v>
      </c>
      <c r="F405" s="8"/>
      <c r="G405" s="9">
        <v>0.0</v>
      </c>
      <c r="H405" s="9">
        <v>0.0</v>
      </c>
      <c r="I405" s="9" t="s">
        <v>61</v>
      </c>
      <c r="J405" s="9">
        <v>0.0</v>
      </c>
      <c r="K405" s="9">
        <v>0.0</v>
      </c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>
      <c r="A406" s="9">
        <v>404.0</v>
      </c>
      <c r="B406" s="9">
        <v>667.0</v>
      </c>
      <c r="C406" s="9">
        <v>10.0</v>
      </c>
      <c r="D406" s="9">
        <v>2.0</v>
      </c>
      <c r="E406" s="9">
        <v>1.478983666E9</v>
      </c>
      <c r="F406" s="8"/>
      <c r="G406" s="9">
        <v>0.0</v>
      </c>
      <c r="H406" s="9">
        <v>0.0</v>
      </c>
      <c r="I406" s="9" t="s">
        <v>61</v>
      </c>
      <c r="J406" s="9">
        <v>0.0</v>
      </c>
      <c r="K406" s="9">
        <v>0.0</v>
      </c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>
      <c r="A407" s="9">
        <v>404.0</v>
      </c>
      <c r="B407" s="9">
        <v>668.0</v>
      </c>
      <c r="C407" s="9">
        <v>10.0</v>
      </c>
      <c r="D407" s="9">
        <v>2.0</v>
      </c>
      <c r="E407" s="9">
        <v>1.478983694E9</v>
      </c>
      <c r="F407" s="8"/>
      <c r="G407" s="9">
        <v>0.0</v>
      </c>
      <c r="H407" s="9">
        <v>0.0</v>
      </c>
      <c r="I407" s="9" t="s">
        <v>61</v>
      </c>
      <c r="J407" s="9">
        <v>0.0</v>
      </c>
      <c r="K407" s="9">
        <v>0.0</v>
      </c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>
      <c r="A408" s="9">
        <v>404.0</v>
      </c>
      <c r="B408" s="9">
        <v>669.0</v>
      </c>
      <c r="C408" s="9">
        <v>10.0</v>
      </c>
      <c r="D408" s="9">
        <v>2.0</v>
      </c>
      <c r="E408" s="9">
        <v>1.47898373E9</v>
      </c>
      <c r="F408" s="8"/>
      <c r="G408" s="9">
        <v>0.0</v>
      </c>
      <c r="H408" s="9">
        <v>0.0</v>
      </c>
      <c r="I408" s="9" t="s">
        <v>61</v>
      </c>
      <c r="J408" s="9">
        <v>0.0</v>
      </c>
      <c r="K408" s="9">
        <v>0.0</v>
      </c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>
      <c r="A409" s="9">
        <v>404.0</v>
      </c>
      <c r="B409" s="9">
        <v>670.0</v>
      </c>
      <c r="C409" s="9">
        <v>10.0</v>
      </c>
      <c r="D409" s="9">
        <v>2.0</v>
      </c>
      <c r="E409" s="9">
        <v>1.478983795E9</v>
      </c>
      <c r="F409" s="8"/>
      <c r="G409" s="9">
        <v>0.0</v>
      </c>
      <c r="H409" s="9">
        <v>0.0</v>
      </c>
      <c r="I409" s="9" t="s">
        <v>61</v>
      </c>
      <c r="J409" s="9">
        <v>0.0</v>
      </c>
      <c r="K409" s="9">
        <v>0.0</v>
      </c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>
      <c r="A410" s="9">
        <v>404.0</v>
      </c>
      <c r="B410" s="9">
        <v>671.0</v>
      </c>
      <c r="C410" s="9">
        <v>10.0</v>
      </c>
      <c r="D410" s="9">
        <v>2.0</v>
      </c>
      <c r="E410" s="9">
        <v>1.478983846E9</v>
      </c>
      <c r="F410" s="8"/>
      <c r="G410" s="9">
        <v>0.0</v>
      </c>
      <c r="H410" s="9">
        <v>0.0</v>
      </c>
      <c r="I410" s="9" t="s">
        <v>61</v>
      </c>
      <c r="J410" s="9">
        <v>0.0</v>
      </c>
      <c r="K410" s="9">
        <v>0.0</v>
      </c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>
      <c r="A411" s="9">
        <v>404.0</v>
      </c>
      <c r="B411" s="9">
        <v>672.0</v>
      </c>
      <c r="C411" s="9">
        <v>10.0</v>
      </c>
      <c r="D411" s="9">
        <v>2.0</v>
      </c>
      <c r="E411" s="9">
        <v>1.478983858E9</v>
      </c>
      <c r="F411" s="8"/>
      <c r="G411" s="9">
        <v>0.0</v>
      </c>
      <c r="H411" s="9">
        <v>0.0</v>
      </c>
      <c r="I411" s="9" t="s">
        <v>61</v>
      </c>
      <c r="J411" s="9">
        <v>0.0</v>
      </c>
      <c r="K411" s="9">
        <v>0.0</v>
      </c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>
      <c r="A412" s="9">
        <v>404.0</v>
      </c>
      <c r="B412" s="9">
        <v>674.0</v>
      </c>
      <c r="C412" s="9">
        <v>10.0</v>
      </c>
      <c r="D412" s="9">
        <v>2.0</v>
      </c>
      <c r="E412" s="9">
        <v>1.478986296E9</v>
      </c>
      <c r="F412" s="8"/>
      <c r="G412" s="9">
        <v>0.0</v>
      </c>
      <c r="H412" s="9">
        <v>0.0</v>
      </c>
      <c r="I412" s="9" t="s">
        <v>61</v>
      </c>
      <c r="J412" s="9">
        <v>0.0</v>
      </c>
      <c r="K412" s="9">
        <v>0.0</v>
      </c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>
      <c r="A413" s="9">
        <v>404.0</v>
      </c>
      <c r="B413" s="9">
        <v>675.0</v>
      </c>
      <c r="C413" s="9">
        <v>10.0</v>
      </c>
      <c r="D413" s="9">
        <v>2.0</v>
      </c>
      <c r="E413" s="9">
        <v>1.478986303E9</v>
      </c>
      <c r="F413" s="8"/>
      <c r="G413" s="9">
        <v>0.0</v>
      </c>
      <c r="H413" s="9">
        <v>0.0</v>
      </c>
      <c r="I413" s="9" t="s">
        <v>61</v>
      </c>
      <c r="J413" s="9">
        <v>0.0</v>
      </c>
      <c r="K413" s="9">
        <v>0.0</v>
      </c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>
      <c r="A414" s="9">
        <v>404.0</v>
      </c>
      <c r="B414" s="9">
        <v>676.0</v>
      </c>
      <c r="C414" s="9">
        <v>10.0</v>
      </c>
      <c r="D414" s="9">
        <v>2.0</v>
      </c>
      <c r="E414" s="9">
        <v>1.478986612E9</v>
      </c>
      <c r="F414" s="8"/>
      <c r="G414" s="9">
        <v>0.0</v>
      </c>
      <c r="H414" s="9">
        <v>0.0</v>
      </c>
      <c r="I414" s="9" t="s">
        <v>61</v>
      </c>
      <c r="J414" s="9">
        <v>0.0</v>
      </c>
      <c r="K414" s="9">
        <v>0.0</v>
      </c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>
      <c r="A415" s="9">
        <v>404.0</v>
      </c>
      <c r="B415" s="9">
        <v>682.0</v>
      </c>
      <c r="C415" s="9">
        <v>10.0</v>
      </c>
      <c r="D415" s="9">
        <v>2.0</v>
      </c>
      <c r="E415" s="9">
        <v>1.47898955E9</v>
      </c>
      <c r="F415" s="8"/>
      <c r="G415" s="9">
        <v>0.0</v>
      </c>
      <c r="H415" s="9">
        <v>0.0</v>
      </c>
      <c r="I415" s="9" t="s">
        <v>61</v>
      </c>
      <c r="J415" s="9">
        <v>0.0</v>
      </c>
      <c r="K415" s="9">
        <v>0.0</v>
      </c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>
      <c r="A416" s="9">
        <v>404.0</v>
      </c>
      <c r="B416" s="9">
        <v>684.0</v>
      </c>
      <c r="C416" s="9">
        <v>10.0</v>
      </c>
      <c r="D416" s="9">
        <v>2.0</v>
      </c>
      <c r="E416" s="9">
        <v>1.478989571E9</v>
      </c>
      <c r="F416" s="8"/>
      <c r="G416" s="9">
        <v>0.0</v>
      </c>
      <c r="H416" s="9">
        <v>1.47898959E9</v>
      </c>
      <c r="I416" s="9">
        <v>0.0</v>
      </c>
      <c r="J416" s="9">
        <v>0.0</v>
      </c>
      <c r="K416" s="9">
        <v>0.0</v>
      </c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>
      <c r="A417" s="9">
        <v>404.0</v>
      </c>
      <c r="B417" s="9">
        <v>685.0</v>
      </c>
      <c r="C417" s="9">
        <v>10.0</v>
      </c>
      <c r="D417" s="9">
        <v>2.0</v>
      </c>
      <c r="E417" s="9">
        <v>1.478989657E9</v>
      </c>
      <c r="F417" s="8"/>
      <c r="G417" s="9">
        <v>0.0</v>
      </c>
      <c r="H417" s="9">
        <v>1.478989669E9</v>
      </c>
      <c r="I417" s="9">
        <v>10.0</v>
      </c>
      <c r="J417" s="9">
        <v>0.0</v>
      </c>
      <c r="K417" s="9">
        <v>0.0</v>
      </c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>
      <c r="A418" s="9">
        <v>404.0</v>
      </c>
      <c r="B418" s="9">
        <v>686.0</v>
      </c>
      <c r="C418" s="9">
        <v>10.0</v>
      </c>
      <c r="D418" s="9">
        <v>2.0</v>
      </c>
      <c r="E418" s="9">
        <v>1.478991096E9</v>
      </c>
      <c r="F418" s="8"/>
      <c r="G418" s="9">
        <v>0.0</v>
      </c>
      <c r="H418" s="9">
        <v>0.0</v>
      </c>
      <c r="I418" s="9" t="s">
        <v>61</v>
      </c>
      <c r="J418" s="9">
        <v>0.0</v>
      </c>
      <c r="K418" s="9">
        <v>0.0</v>
      </c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>
      <c r="A419" s="9">
        <v>404.0</v>
      </c>
      <c r="B419" s="9">
        <v>687.0</v>
      </c>
      <c r="C419" s="9">
        <v>10.0</v>
      </c>
      <c r="D419" s="9">
        <v>2.0</v>
      </c>
      <c r="E419" s="9">
        <v>1.478991154E9</v>
      </c>
      <c r="F419" s="8"/>
      <c r="G419" s="9">
        <v>0.0</v>
      </c>
      <c r="H419" s="9">
        <v>0.0</v>
      </c>
      <c r="I419" s="9" t="s">
        <v>61</v>
      </c>
      <c r="J419" s="9">
        <v>0.0</v>
      </c>
      <c r="K419" s="9">
        <v>0.0</v>
      </c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>
      <c r="A420" s="9">
        <v>404.0</v>
      </c>
      <c r="B420" s="9">
        <v>696.0</v>
      </c>
      <c r="C420" s="9">
        <v>10.0</v>
      </c>
      <c r="D420" s="9">
        <v>2.0</v>
      </c>
      <c r="E420" s="9">
        <v>1.478998926E9</v>
      </c>
      <c r="F420" s="8"/>
      <c r="G420" s="9">
        <v>0.0</v>
      </c>
      <c r="H420" s="9">
        <v>0.0</v>
      </c>
      <c r="I420" s="9" t="s">
        <v>61</v>
      </c>
      <c r="J420" s="9">
        <v>0.0</v>
      </c>
      <c r="K420" s="9">
        <v>0.0</v>
      </c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>
      <c r="A421" s="9">
        <v>404.0</v>
      </c>
      <c r="B421" s="9">
        <v>697.0</v>
      </c>
      <c r="C421" s="9">
        <v>10.0</v>
      </c>
      <c r="D421" s="9">
        <v>2.0</v>
      </c>
      <c r="E421" s="9">
        <v>1.478999083E9</v>
      </c>
      <c r="F421" s="8"/>
      <c r="G421" s="9">
        <v>0.0</v>
      </c>
      <c r="H421" s="9">
        <v>0.0</v>
      </c>
      <c r="I421" s="9" t="s">
        <v>61</v>
      </c>
      <c r="J421" s="9">
        <v>0.0</v>
      </c>
      <c r="K421" s="9">
        <v>0.0</v>
      </c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>
      <c r="A422" s="9">
        <v>404.0</v>
      </c>
      <c r="B422" s="9">
        <v>698.0</v>
      </c>
      <c r="C422" s="9">
        <v>10.0</v>
      </c>
      <c r="D422" s="9">
        <v>2.0</v>
      </c>
      <c r="E422" s="9">
        <v>1.478999129E9</v>
      </c>
      <c r="F422" s="8"/>
      <c r="G422" s="9">
        <v>0.0</v>
      </c>
      <c r="H422" s="9">
        <v>0.0</v>
      </c>
      <c r="I422" s="9" t="s">
        <v>61</v>
      </c>
      <c r="J422" s="9">
        <v>0.0</v>
      </c>
      <c r="K422" s="9">
        <v>0.0</v>
      </c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>
      <c r="A423" s="9">
        <v>404.0</v>
      </c>
      <c r="B423" s="9">
        <v>699.0</v>
      </c>
      <c r="C423" s="9">
        <v>10.0</v>
      </c>
      <c r="D423" s="9">
        <v>2.0</v>
      </c>
      <c r="E423" s="9">
        <v>1.478999205E9</v>
      </c>
      <c r="F423" s="8"/>
      <c r="G423" s="9">
        <v>0.0</v>
      </c>
      <c r="H423" s="9">
        <v>0.0</v>
      </c>
      <c r="I423" s="9" t="s">
        <v>61</v>
      </c>
      <c r="J423" s="9">
        <v>0.0</v>
      </c>
      <c r="K423" s="9">
        <v>0.0</v>
      </c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>
      <c r="A424" s="9">
        <v>404.0</v>
      </c>
      <c r="B424" s="9">
        <v>700.0</v>
      </c>
      <c r="C424" s="9">
        <v>10.0</v>
      </c>
      <c r="D424" s="9">
        <v>2.0</v>
      </c>
      <c r="E424" s="9">
        <v>1.478999455E9</v>
      </c>
      <c r="F424" s="8"/>
      <c r="G424" s="9">
        <v>0.0</v>
      </c>
      <c r="H424" s="9">
        <v>0.0</v>
      </c>
      <c r="I424" s="9" t="s">
        <v>61</v>
      </c>
      <c r="J424" s="9">
        <v>0.0</v>
      </c>
      <c r="K424" s="9">
        <v>0.0</v>
      </c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>
      <c r="A425" s="9">
        <v>404.0</v>
      </c>
      <c r="B425" s="9">
        <v>702.0</v>
      </c>
      <c r="C425" s="9">
        <v>10.0</v>
      </c>
      <c r="D425" s="9">
        <v>2.0</v>
      </c>
      <c r="E425" s="9">
        <v>1.479001688E9</v>
      </c>
      <c r="F425" s="8"/>
      <c r="G425" s="9">
        <v>0.0</v>
      </c>
      <c r="H425" s="9">
        <v>0.0</v>
      </c>
      <c r="I425" s="9" t="s">
        <v>61</v>
      </c>
      <c r="J425" s="9">
        <v>0.0</v>
      </c>
      <c r="K425" s="9">
        <v>0.0</v>
      </c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>
      <c r="A426" s="9">
        <v>404.0</v>
      </c>
      <c r="B426" s="9">
        <v>703.0</v>
      </c>
      <c r="C426" s="9">
        <v>10.0</v>
      </c>
      <c r="D426" s="9">
        <v>2.0</v>
      </c>
      <c r="E426" s="9">
        <v>1.479001771E9</v>
      </c>
      <c r="F426" s="8"/>
      <c r="G426" s="9">
        <v>0.0</v>
      </c>
      <c r="H426" s="9">
        <v>0.0</v>
      </c>
      <c r="I426" s="9" t="s">
        <v>61</v>
      </c>
      <c r="J426" s="9">
        <v>0.0</v>
      </c>
      <c r="K426" s="9">
        <v>0.0</v>
      </c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>
      <c r="A427" s="9">
        <v>404.0</v>
      </c>
      <c r="B427" s="9">
        <v>704.0</v>
      </c>
      <c r="C427" s="9">
        <v>10.0</v>
      </c>
      <c r="D427" s="9">
        <v>2.0</v>
      </c>
      <c r="E427" s="9">
        <v>1.479001784E9</v>
      </c>
      <c r="F427" s="8"/>
      <c r="G427" s="9">
        <v>0.0</v>
      </c>
      <c r="H427" s="9">
        <v>0.0</v>
      </c>
      <c r="I427" s="9" t="s">
        <v>61</v>
      </c>
      <c r="J427" s="9">
        <v>0.0</v>
      </c>
      <c r="K427" s="9">
        <v>0.0</v>
      </c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>
      <c r="A428" s="9">
        <v>404.0</v>
      </c>
      <c r="B428" s="9">
        <v>705.0</v>
      </c>
      <c r="C428" s="9">
        <v>10.0</v>
      </c>
      <c r="D428" s="9">
        <v>2.0</v>
      </c>
      <c r="E428" s="9">
        <v>1.479001838E9</v>
      </c>
      <c r="F428" s="8"/>
      <c r="G428" s="9">
        <v>0.0</v>
      </c>
      <c r="H428" s="9">
        <v>0.0</v>
      </c>
      <c r="I428" s="9" t="s">
        <v>61</v>
      </c>
      <c r="J428" s="9">
        <v>0.0</v>
      </c>
      <c r="K428" s="9">
        <v>0.0</v>
      </c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>
      <c r="A429" s="9">
        <v>404.0</v>
      </c>
      <c r="B429" s="9">
        <v>707.0</v>
      </c>
      <c r="C429" s="9">
        <v>10.0</v>
      </c>
      <c r="D429" s="9">
        <v>2.0</v>
      </c>
      <c r="E429" s="9">
        <v>1.47900189E9</v>
      </c>
      <c r="F429" s="8"/>
      <c r="G429" s="9">
        <v>0.0</v>
      </c>
      <c r="H429" s="9">
        <v>0.0</v>
      </c>
      <c r="I429" s="9" t="s">
        <v>61</v>
      </c>
      <c r="J429" s="9">
        <v>0.0</v>
      </c>
      <c r="K429" s="9">
        <v>0.0</v>
      </c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>
      <c r="A430" s="9">
        <v>404.0</v>
      </c>
      <c r="B430" s="9">
        <v>708.0</v>
      </c>
      <c r="C430" s="9">
        <v>10.0</v>
      </c>
      <c r="D430" s="9">
        <v>2.0</v>
      </c>
      <c r="E430" s="9">
        <v>1.479002181E9</v>
      </c>
      <c r="F430" s="8"/>
      <c r="G430" s="9">
        <v>0.0</v>
      </c>
      <c r="H430" s="9">
        <v>0.0</v>
      </c>
      <c r="I430" s="9" t="s">
        <v>61</v>
      </c>
      <c r="J430" s="9">
        <v>0.0</v>
      </c>
      <c r="K430" s="9">
        <v>0.0</v>
      </c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>
      <c r="A431" s="9">
        <v>404.0</v>
      </c>
      <c r="B431" s="9">
        <v>709.0</v>
      </c>
      <c r="C431" s="9">
        <v>10.0</v>
      </c>
      <c r="D431" s="9">
        <v>2.0</v>
      </c>
      <c r="E431" s="9">
        <v>1.47900224E9</v>
      </c>
      <c r="F431" s="8"/>
      <c r="G431" s="9">
        <v>0.0</v>
      </c>
      <c r="H431" s="9">
        <v>0.0</v>
      </c>
      <c r="I431" s="9" t="s">
        <v>61</v>
      </c>
      <c r="J431" s="9">
        <v>0.0</v>
      </c>
      <c r="K431" s="9">
        <v>0.0</v>
      </c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>
      <c r="A432" s="9">
        <v>404.0</v>
      </c>
      <c r="B432" s="9">
        <v>711.0</v>
      </c>
      <c r="C432" s="9">
        <v>10.0</v>
      </c>
      <c r="D432" s="9">
        <v>2.0</v>
      </c>
      <c r="E432" s="9">
        <v>1.479002298E9</v>
      </c>
      <c r="F432" s="8"/>
      <c r="G432" s="9">
        <v>0.0</v>
      </c>
      <c r="H432" s="9">
        <v>0.0</v>
      </c>
      <c r="I432" s="9" t="s">
        <v>61</v>
      </c>
      <c r="J432" s="9">
        <v>0.0</v>
      </c>
      <c r="K432" s="9">
        <v>0.0</v>
      </c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>
      <c r="A433" s="9">
        <v>404.0</v>
      </c>
      <c r="B433" s="9">
        <v>712.0</v>
      </c>
      <c r="C433" s="9">
        <v>10.0</v>
      </c>
      <c r="D433" s="9">
        <v>2.0</v>
      </c>
      <c r="E433" s="9">
        <v>1.479002364E9</v>
      </c>
      <c r="F433" s="8"/>
      <c r="G433" s="9">
        <v>0.0</v>
      </c>
      <c r="H433" s="9">
        <v>0.0</v>
      </c>
      <c r="I433" s="9" t="s">
        <v>61</v>
      </c>
      <c r="J433" s="9">
        <v>0.0</v>
      </c>
      <c r="K433" s="9">
        <v>0.0</v>
      </c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>
      <c r="A434" s="9">
        <v>404.0</v>
      </c>
      <c r="B434" s="9">
        <v>713.0</v>
      </c>
      <c r="C434" s="9">
        <v>10.0</v>
      </c>
      <c r="D434" s="9">
        <v>2.0</v>
      </c>
      <c r="E434" s="9">
        <v>1.479002421E9</v>
      </c>
      <c r="F434" s="8"/>
      <c r="G434" s="9">
        <v>0.0</v>
      </c>
      <c r="H434" s="9">
        <v>0.0</v>
      </c>
      <c r="I434" s="9" t="s">
        <v>61</v>
      </c>
      <c r="J434" s="9">
        <v>0.0</v>
      </c>
      <c r="K434" s="9">
        <v>0.0</v>
      </c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>
      <c r="A435" s="9">
        <v>404.0</v>
      </c>
      <c r="B435" s="9">
        <v>714.0</v>
      </c>
      <c r="C435" s="9">
        <v>10.0</v>
      </c>
      <c r="D435" s="9">
        <v>2.0</v>
      </c>
      <c r="E435" s="9">
        <v>1.479002447E9</v>
      </c>
      <c r="F435" s="8"/>
      <c r="G435" s="9">
        <v>0.0</v>
      </c>
      <c r="H435" s="9">
        <v>0.0</v>
      </c>
      <c r="I435" s="9" t="s">
        <v>61</v>
      </c>
      <c r="J435" s="9">
        <v>0.0</v>
      </c>
      <c r="K435" s="9">
        <v>0.0</v>
      </c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>
      <c r="A436" s="9">
        <v>404.0</v>
      </c>
      <c r="B436" s="9">
        <v>715.0</v>
      </c>
      <c r="C436" s="9">
        <v>10.0</v>
      </c>
      <c r="D436" s="9">
        <v>2.0</v>
      </c>
      <c r="E436" s="9">
        <v>1.4790026E9</v>
      </c>
      <c r="F436" s="8"/>
      <c r="G436" s="9">
        <v>0.0</v>
      </c>
      <c r="H436" s="9">
        <v>0.0</v>
      </c>
      <c r="I436" s="9" t="s">
        <v>61</v>
      </c>
      <c r="J436" s="9">
        <v>0.0</v>
      </c>
      <c r="K436" s="9">
        <v>0.0</v>
      </c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>
      <c r="A437" s="9">
        <v>404.0</v>
      </c>
      <c r="B437" s="9">
        <v>716.0</v>
      </c>
      <c r="C437" s="9">
        <v>10.0</v>
      </c>
      <c r="D437" s="9">
        <v>2.0</v>
      </c>
      <c r="E437" s="9">
        <v>1.479002747E9</v>
      </c>
      <c r="F437" s="8"/>
      <c r="G437" s="9">
        <v>0.0</v>
      </c>
      <c r="H437" s="9">
        <v>0.0</v>
      </c>
      <c r="I437" s="9" t="s">
        <v>61</v>
      </c>
      <c r="J437" s="9">
        <v>0.0</v>
      </c>
      <c r="K437" s="9">
        <v>0.0</v>
      </c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>
      <c r="A438" s="9">
        <v>404.0</v>
      </c>
      <c r="B438" s="9">
        <v>717.0</v>
      </c>
      <c r="C438" s="9">
        <v>10.0</v>
      </c>
      <c r="D438" s="9">
        <v>2.0</v>
      </c>
      <c r="E438" s="9">
        <v>1.479002777E9</v>
      </c>
      <c r="F438" s="8"/>
      <c r="G438" s="9">
        <v>0.0</v>
      </c>
      <c r="H438" s="9">
        <v>0.0</v>
      </c>
      <c r="I438" s="9" t="s">
        <v>61</v>
      </c>
      <c r="J438" s="9">
        <v>0.0</v>
      </c>
      <c r="K438" s="9">
        <v>0.0</v>
      </c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>
      <c r="A439" s="9">
        <v>404.0</v>
      </c>
      <c r="B439" s="9">
        <v>5.0</v>
      </c>
      <c r="C439" s="9">
        <v>10.0</v>
      </c>
      <c r="D439" s="9">
        <v>10115.0</v>
      </c>
      <c r="E439" s="9">
        <v>1.478903269E9</v>
      </c>
      <c r="F439" s="8"/>
      <c r="G439" s="9">
        <v>0.0</v>
      </c>
      <c r="H439" s="9">
        <v>0.0</v>
      </c>
      <c r="I439" s="9" t="s">
        <v>61</v>
      </c>
      <c r="J439" s="9">
        <v>0.0</v>
      </c>
      <c r="K439" s="9">
        <v>0.0</v>
      </c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>
      <c r="A440" s="9">
        <v>404.0</v>
      </c>
      <c r="B440" s="9">
        <v>6.0</v>
      </c>
      <c r="C440" s="9">
        <v>10.0</v>
      </c>
      <c r="D440" s="9">
        <v>10115.0</v>
      </c>
      <c r="E440" s="9">
        <v>1.478903277E9</v>
      </c>
      <c r="F440" s="8"/>
      <c r="G440" s="9">
        <v>0.0</v>
      </c>
      <c r="H440" s="9">
        <v>1.478903295E9</v>
      </c>
      <c r="I440" s="9">
        <v>0.0</v>
      </c>
      <c r="J440" s="9">
        <v>0.0</v>
      </c>
      <c r="K440" s="9">
        <v>0.0</v>
      </c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>
      <c r="A441" s="9">
        <v>404.0</v>
      </c>
      <c r="B441" s="9">
        <v>303.0</v>
      </c>
      <c r="C441" s="9">
        <v>10.0</v>
      </c>
      <c r="D441" s="9">
        <v>10116.0</v>
      </c>
      <c r="E441" s="9">
        <v>1.478908666E9</v>
      </c>
      <c r="F441" s="8"/>
      <c r="G441" s="9">
        <v>0.0</v>
      </c>
      <c r="H441" s="9">
        <v>0.0</v>
      </c>
      <c r="I441" s="9" t="s">
        <v>61</v>
      </c>
      <c r="J441" s="9">
        <v>0.0</v>
      </c>
      <c r="K441" s="9">
        <v>0.0</v>
      </c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>
      <c r="A442" s="9">
        <v>404.0</v>
      </c>
      <c r="B442" s="9">
        <v>352.0</v>
      </c>
      <c r="C442" s="9">
        <v>10.0</v>
      </c>
      <c r="D442" s="9">
        <v>10116.0</v>
      </c>
      <c r="E442" s="9">
        <v>1.478909152E9</v>
      </c>
      <c r="F442" s="8"/>
      <c r="G442" s="9">
        <v>0.0</v>
      </c>
      <c r="H442" s="9">
        <v>0.0</v>
      </c>
      <c r="I442" s="9" t="s">
        <v>61</v>
      </c>
      <c r="J442" s="9">
        <v>0.0</v>
      </c>
      <c r="K442" s="9">
        <v>0.0</v>
      </c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>
      <c r="A443" s="9">
        <v>404.0</v>
      </c>
      <c r="B443" s="9">
        <v>405.0</v>
      </c>
      <c r="C443" s="9">
        <v>10.0</v>
      </c>
      <c r="D443" s="9">
        <v>10116.0</v>
      </c>
      <c r="E443" s="9">
        <v>1.478909822E9</v>
      </c>
      <c r="F443" s="8"/>
      <c r="G443" s="9">
        <v>0.0</v>
      </c>
      <c r="H443" s="9">
        <v>0.0</v>
      </c>
      <c r="I443" s="9" t="s">
        <v>61</v>
      </c>
      <c r="J443" s="9">
        <v>0.0</v>
      </c>
      <c r="K443" s="9">
        <v>0.0</v>
      </c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>
      <c r="A444" s="9">
        <v>404.0</v>
      </c>
      <c r="B444" s="9">
        <v>409.0</v>
      </c>
      <c r="C444" s="9">
        <v>10.0</v>
      </c>
      <c r="D444" s="9">
        <v>10116.0</v>
      </c>
      <c r="E444" s="9">
        <v>1.478909867E9</v>
      </c>
      <c r="F444" s="8"/>
      <c r="G444" s="9">
        <v>0.0</v>
      </c>
      <c r="H444" s="9">
        <v>1.478909965E9</v>
      </c>
      <c r="I444" s="9">
        <v>0.0</v>
      </c>
      <c r="J444" s="9">
        <v>0.0</v>
      </c>
      <c r="K444" s="9">
        <v>0.0</v>
      </c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>
      <c r="A445" s="9">
        <v>404.0</v>
      </c>
      <c r="B445" s="9">
        <v>761.0</v>
      </c>
      <c r="C445" s="9">
        <v>10.0</v>
      </c>
      <c r="D445" s="9">
        <v>10116.0</v>
      </c>
      <c r="E445" s="9">
        <v>1.479156885E9</v>
      </c>
      <c r="F445" s="8"/>
      <c r="G445" s="9">
        <v>0.0</v>
      </c>
      <c r="H445" s="9">
        <v>0.0</v>
      </c>
      <c r="I445" s="9" t="s">
        <v>61</v>
      </c>
      <c r="J445" s="9">
        <v>0.0</v>
      </c>
      <c r="K445" s="9">
        <v>0.0</v>
      </c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>
      <c r="A446" s="9">
        <v>404.0</v>
      </c>
      <c r="B446" s="9">
        <v>762.0</v>
      </c>
      <c r="C446" s="9">
        <v>10.0</v>
      </c>
      <c r="D446" s="9">
        <v>10116.0</v>
      </c>
      <c r="E446" s="9">
        <v>1.47915696E9</v>
      </c>
      <c r="F446" s="8"/>
      <c r="G446" s="9">
        <v>0.0</v>
      </c>
      <c r="H446" s="9">
        <v>0.0</v>
      </c>
      <c r="I446" s="9" t="s">
        <v>61</v>
      </c>
      <c r="J446" s="9">
        <v>0.0</v>
      </c>
      <c r="K446" s="9">
        <v>0.0</v>
      </c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>
      <c r="A447" s="9">
        <v>404.0</v>
      </c>
      <c r="B447" s="9">
        <v>763.0</v>
      </c>
      <c r="C447" s="9">
        <v>10.0</v>
      </c>
      <c r="D447" s="9">
        <v>10116.0</v>
      </c>
      <c r="E447" s="9">
        <v>1.479157049E9</v>
      </c>
      <c r="F447" s="8"/>
      <c r="G447" s="9">
        <v>0.0</v>
      </c>
      <c r="H447" s="9">
        <v>0.0</v>
      </c>
      <c r="I447" s="9" t="s">
        <v>61</v>
      </c>
      <c r="J447" s="9">
        <v>0.0</v>
      </c>
      <c r="K447" s="9">
        <v>0.0</v>
      </c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>
      <c r="A448" s="9">
        <v>404.0</v>
      </c>
      <c r="B448" s="9">
        <v>764.0</v>
      </c>
      <c r="C448" s="9">
        <v>10.0</v>
      </c>
      <c r="D448" s="9">
        <v>10116.0</v>
      </c>
      <c r="E448" s="9">
        <v>1.479157645E9</v>
      </c>
      <c r="F448" s="8"/>
      <c r="G448" s="9">
        <v>0.0</v>
      </c>
      <c r="H448" s="9">
        <v>0.0</v>
      </c>
      <c r="I448" s="9" t="s">
        <v>61</v>
      </c>
      <c r="J448" s="9">
        <v>0.0</v>
      </c>
      <c r="K448" s="9">
        <v>0.0</v>
      </c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>
      <c r="A449" s="9">
        <v>404.0</v>
      </c>
      <c r="B449" s="9">
        <v>765.0</v>
      </c>
      <c r="C449" s="9">
        <v>10.0</v>
      </c>
      <c r="D449" s="9">
        <v>10116.0</v>
      </c>
      <c r="E449" s="9">
        <v>1.479157685E9</v>
      </c>
      <c r="F449" s="8"/>
      <c r="G449" s="9">
        <v>0.0</v>
      </c>
      <c r="H449" s="9">
        <v>0.0</v>
      </c>
      <c r="I449" s="9" t="s">
        <v>61</v>
      </c>
      <c r="J449" s="9">
        <v>0.0</v>
      </c>
      <c r="K449" s="9">
        <v>0.0</v>
      </c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>
      <c r="A450" s="9">
        <v>404.0</v>
      </c>
      <c r="B450" s="9">
        <v>766.0</v>
      </c>
      <c r="C450" s="9">
        <v>10.0</v>
      </c>
      <c r="D450" s="9">
        <v>10116.0</v>
      </c>
      <c r="E450" s="9">
        <v>1.479157841E9</v>
      </c>
      <c r="F450" s="8"/>
      <c r="G450" s="9">
        <v>0.0</v>
      </c>
      <c r="H450" s="9">
        <v>0.0</v>
      </c>
      <c r="I450" s="9" t="s">
        <v>61</v>
      </c>
      <c r="J450" s="9">
        <v>0.0</v>
      </c>
      <c r="K450" s="9">
        <v>0.0</v>
      </c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>
      <c r="A451" s="9">
        <v>404.0</v>
      </c>
      <c r="B451" s="9">
        <v>767.0</v>
      </c>
      <c r="C451" s="9">
        <v>10.0</v>
      </c>
      <c r="D451" s="9">
        <v>10116.0</v>
      </c>
      <c r="E451" s="9">
        <v>1.479158051E9</v>
      </c>
      <c r="F451" s="8"/>
      <c r="G451" s="9">
        <v>0.0</v>
      </c>
      <c r="H451" s="9">
        <v>0.0</v>
      </c>
      <c r="I451" s="9" t="s">
        <v>61</v>
      </c>
      <c r="J451" s="9">
        <v>0.0</v>
      </c>
      <c r="K451" s="9">
        <v>0.0</v>
      </c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>
      <c r="A452" s="9">
        <v>404.0</v>
      </c>
      <c r="B452" s="9">
        <v>769.0</v>
      </c>
      <c r="C452" s="9">
        <v>10.0</v>
      </c>
      <c r="D452" s="9">
        <v>10116.0</v>
      </c>
      <c r="E452" s="9">
        <v>1.479158108E9</v>
      </c>
      <c r="F452" s="8"/>
      <c r="G452" s="9">
        <v>0.0</v>
      </c>
      <c r="H452" s="9">
        <v>0.0</v>
      </c>
      <c r="I452" s="9" t="s">
        <v>61</v>
      </c>
      <c r="J452" s="9">
        <v>0.0</v>
      </c>
      <c r="K452" s="9">
        <v>0.0</v>
      </c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>
      <c r="A453" s="9">
        <v>404.0</v>
      </c>
      <c r="B453" s="9">
        <v>770.0</v>
      </c>
      <c r="C453" s="9">
        <v>10.0</v>
      </c>
      <c r="D453" s="9">
        <v>10116.0</v>
      </c>
      <c r="E453" s="9">
        <v>1.479158159E9</v>
      </c>
      <c r="F453" s="8"/>
      <c r="G453" s="9">
        <v>0.0</v>
      </c>
      <c r="H453" s="9">
        <v>0.0</v>
      </c>
      <c r="I453" s="9" t="s">
        <v>61</v>
      </c>
      <c r="J453" s="9">
        <v>0.0</v>
      </c>
      <c r="K453" s="9">
        <v>0.0</v>
      </c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>
      <c r="A454" s="9">
        <v>404.0</v>
      </c>
      <c r="B454" s="9">
        <v>771.0</v>
      </c>
      <c r="C454" s="9">
        <v>10.0</v>
      </c>
      <c r="D454" s="9">
        <v>10116.0</v>
      </c>
      <c r="E454" s="9">
        <v>1.479158214E9</v>
      </c>
      <c r="F454" s="8"/>
      <c r="G454" s="9">
        <v>0.0</v>
      </c>
      <c r="H454" s="9">
        <v>0.0</v>
      </c>
      <c r="I454" s="9" t="s">
        <v>61</v>
      </c>
      <c r="J454" s="9">
        <v>0.0</v>
      </c>
      <c r="K454" s="9">
        <v>0.0</v>
      </c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>
      <c r="A455" s="9">
        <v>404.0</v>
      </c>
      <c r="B455" s="9">
        <v>772.0</v>
      </c>
      <c r="C455" s="9">
        <v>10.0</v>
      </c>
      <c r="D455" s="9">
        <v>10116.0</v>
      </c>
      <c r="E455" s="9">
        <v>1.479158563E9</v>
      </c>
      <c r="F455" s="8"/>
      <c r="G455" s="9">
        <v>0.0</v>
      </c>
      <c r="H455" s="9">
        <v>0.0</v>
      </c>
      <c r="I455" s="9" t="s">
        <v>61</v>
      </c>
      <c r="J455" s="9">
        <v>0.0</v>
      </c>
      <c r="K455" s="9">
        <v>0.0</v>
      </c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>
      <c r="A456" s="9">
        <v>404.0</v>
      </c>
      <c r="B456" s="9">
        <v>773.0</v>
      </c>
      <c r="C456" s="9">
        <v>10.0</v>
      </c>
      <c r="D456" s="9">
        <v>10116.0</v>
      </c>
      <c r="E456" s="9">
        <v>1.479158705E9</v>
      </c>
      <c r="F456" s="8"/>
      <c r="G456" s="9">
        <v>0.0</v>
      </c>
      <c r="H456" s="9">
        <v>0.0</v>
      </c>
      <c r="I456" s="9" t="s">
        <v>61</v>
      </c>
      <c r="J456" s="9">
        <v>0.0</v>
      </c>
      <c r="K456" s="9">
        <v>0.0</v>
      </c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>
      <c r="A457" s="9">
        <v>404.0</v>
      </c>
      <c r="B457" s="9">
        <v>775.0</v>
      </c>
      <c r="C457" s="9">
        <v>10.0</v>
      </c>
      <c r="D457" s="9">
        <v>10116.0</v>
      </c>
      <c r="E457" s="9">
        <v>1.479158752E9</v>
      </c>
      <c r="F457" s="8"/>
      <c r="G457" s="9">
        <v>0.0</v>
      </c>
      <c r="H457" s="9">
        <v>1.479158774E9</v>
      </c>
      <c r="I457" s="9">
        <v>10.0</v>
      </c>
      <c r="J457" s="9">
        <v>0.0</v>
      </c>
      <c r="K457" s="9">
        <v>0.0</v>
      </c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>
      <c r="A458" s="9">
        <v>404.0</v>
      </c>
      <c r="B458" s="9">
        <v>776.0</v>
      </c>
      <c r="C458" s="9">
        <v>10.0</v>
      </c>
      <c r="D458" s="9">
        <v>10116.0</v>
      </c>
      <c r="E458" s="9">
        <v>1.479158818E9</v>
      </c>
      <c r="F458" s="8"/>
      <c r="G458" s="9">
        <v>0.0</v>
      </c>
      <c r="H458" s="9">
        <v>0.0</v>
      </c>
      <c r="I458" s="9" t="s">
        <v>61</v>
      </c>
      <c r="J458" s="9">
        <v>0.0</v>
      </c>
      <c r="K458" s="9">
        <v>0.0</v>
      </c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>
      <c r="A459" s="9">
        <v>404.0</v>
      </c>
      <c r="B459" s="9">
        <v>777.0</v>
      </c>
      <c r="C459" s="9">
        <v>10.0</v>
      </c>
      <c r="D459" s="9">
        <v>10116.0</v>
      </c>
      <c r="E459" s="9">
        <v>1.479158831E9</v>
      </c>
      <c r="F459" s="8"/>
      <c r="G459" s="9">
        <v>0.0</v>
      </c>
      <c r="H459" s="9">
        <v>1.479158846E9</v>
      </c>
      <c r="I459" s="9">
        <v>10.0</v>
      </c>
      <c r="J459" s="9">
        <v>0.0</v>
      </c>
      <c r="K459" s="9">
        <v>0.0</v>
      </c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>
      <c r="A460" s="9">
        <v>404.0</v>
      </c>
      <c r="B460" s="9">
        <v>778.0</v>
      </c>
      <c r="C460" s="9">
        <v>10.0</v>
      </c>
      <c r="D460" s="9">
        <v>10116.0</v>
      </c>
      <c r="E460" s="9">
        <v>1.479159528E9</v>
      </c>
      <c r="F460" s="8"/>
      <c r="G460" s="9">
        <v>0.0</v>
      </c>
      <c r="H460" s="9">
        <v>0.0</v>
      </c>
      <c r="I460" s="9" t="s">
        <v>61</v>
      </c>
      <c r="J460" s="9">
        <v>0.0</v>
      </c>
      <c r="K460" s="9">
        <v>0.0</v>
      </c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>
      <c r="A461" s="9">
        <v>404.0</v>
      </c>
      <c r="B461" s="9">
        <v>779.0</v>
      </c>
      <c r="C461" s="9">
        <v>10.0</v>
      </c>
      <c r="D461" s="9">
        <v>10116.0</v>
      </c>
      <c r="E461" s="9">
        <v>1.479159582E9</v>
      </c>
      <c r="F461" s="8"/>
      <c r="G461" s="9">
        <v>0.0</v>
      </c>
      <c r="H461" s="9">
        <v>1.479159596E9</v>
      </c>
      <c r="I461" s="9">
        <v>10.0</v>
      </c>
      <c r="J461" s="9">
        <v>0.0</v>
      </c>
      <c r="K461" s="9">
        <v>0.0</v>
      </c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>
      <c r="A462" s="9">
        <v>404.0</v>
      </c>
      <c r="B462" s="9">
        <v>257.0</v>
      </c>
      <c r="C462" s="9">
        <v>10.0</v>
      </c>
      <c r="D462" s="9">
        <v>10120.0</v>
      </c>
      <c r="E462" s="9">
        <v>1.478908379E9</v>
      </c>
      <c r="F462" s="8"/>
      <c r="G462" s="9">
        <v>0.0</v>
      </c>
      <c r="H462" s="9">
        <v>0.0</v>
      </c>
      <c r="I462" s="9" t="s">
        <v>61</v>
      </c>
      <c r="J462" s="9">
        <v>0.0</v>
      </c>
      <c r="K462" s="9">
        <v>0.0</v>
      </c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>
      <c r="A463" s="9">
        <v>404.0</v>
      </c>
      <c r="B463" s="9">
        <v>330.0</v>
      </c>
      <c r="C463" s="9">
        <v>10.0</v>
      </c>
      <c r="D463" s="9">
        <v>10120.0</v>
      </c>
      <c r="E463" s="9">
        <v>1.478908926E9</v>
      </c>
      <c r="F463" s="8"/>
      <c r="G463" s="9">
        <v>0.0</v>
      </c>
      <c r="H463" s="9">
        <v>0.0</v>
      </c>
      <c r="I463" s="9" t="s">
        <v>61</v>
      </c>
      <c r="J463" s="9">
        <v>0.0</v>
      </c>
      <c r="K463" s="9">
        <v>0.0</v>
      </c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>
      <c r="A464" s="9">
        <v>404.0</v>
      </c>
      <c r="B464" s="9">
        <v>332.0</v>
      </c>
      <c r="C464" s="9">
        <v>10.0</v>
      </c>
      <c r="D464" s="9">
        <v>10120.0</v>
      </c>
      <c r="E464" s="9">
        <v>1.478908941E9</v>
      </c>
      <c r="F464" s="8"/>
      <c r="G464" s="9">
        <v>0.0</v>
      </c>
      <c r="H464" s="9">
        <v>0.0</v>
      </c>
      <c r="I464" s="9" t="s">
        <v>61</v>
      </c>
      <c r="J464" s="9">
        <v>0.0</v>
      </c>
      <c r="K464" s="9">
        <v>0.0</v>
      </c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>
      <c r="A465" s="9">
        <v>404.0</v>
      </c>
      <c r="B465" s="9">
        <v>339.0</v>
      </c>
      <c r="C465" s="9">
        <v>10.0</v>
      </c>
      <c r="D465" s="9">
        <v>10120.0</v>
      </c>
      <c r="E465" s="9">
        <v>1.478909024E9</v>
      </c>
      <c r="F465" s="8"/>
      <c r="G465" s="9">
        <v>0.0</v>
      </c>
      <c r="H465" s="9">
        <v>0.0</v>
      </c>
      <c r="I465" s="9" t="s">
        <v>61</v>
      </c>
      <c r="J465" s="9">
        <v>0.0</v>
      </c>
      <c r="K465" s="9">
        <v>0.0</v>
      </c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>
      <c r="A466" s="9">
        <v>404.0</v>
      </c>
      <c r="B466" s="9">
        <v>369.0</v>
      </c>
      <c r="C466" s="9">
        <v>10.0</v>
      </c>
      <c r="D466" s="9">
        <v>10120.0</v>
      </c>
      <c r="E466" s="9">
        <v>1.478909364E9</v>
      </c>
      <c r="F466" s="8"/>
      <c r="G466" s="9">
        <v>0.0</v>
      </c>
      <c r="H466" s="9">
        <v>0.0</v>
      </c>
      <c r="I466" s="9" t="s">
        <v>61</v>
      </c>
      <c r="J466" s="9">
        <v>0.0</v>
      </c>
      <c r="K466" s="9">
        <v>0.0</v>
      </c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>
      <c r="A467" s="9">
        <v>404.0</v>
      </c>
      <c r="B467" s="9">
        <v>372.0</v>
      </c>
      <c r="C467" s="9">
        <v>10.0</v>
      </c>
      <c r="D467" s="9">
        <v>10120.0</v>
      </c>
      <c r="E467" s="9">
        <v>1.47890939E9</v>
      </c>
      <c r="F467" s="8"/>
      <c r="G467" s="9">
        <v>0.0</v>
      </c>
      <c r="H467" s="9">
        <v>0.0</v>
      </c>
      <c r="I467" s="9" t="s">
        <v>61</v>
      </c>
      <c r="J467" s="9">
        <v>0.0</v>
      </c>
      <c r="K467" s="9">
        <v>0.0</v>
      </c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>
      <c r="A468" s="9">
        <v>404.0</v>
      </c>
      <c r="B468" s="9">
        <v>379.0</v>
      </c>
      <c r="C468" s="9">
        <v>10.0</v>
      </c>
      <c r="D468" s="9">
        <v>10120.0</v>
      </c>
      <c r="E468" s="9">
        <v>1.478909442E9</v>
      </c>
      <c r="F468" s="8"/>
      <c r="G468" s="9">
        <v>0.0</v>
      </c>
      <c r="H468" s="9">
        <v>0.0</v>
      </c>
      <c r="I468" s="9" t="s">
        <v>61</v>
      </c>
      <c r="J468" s="9">
        <v>0.0</v>
      </c>
      <c r="K468" s="9">
        <v>0.0</v>
      </c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>
      <c r="A469" s="9">
        <v>404.0</v>
      </c>
      <c r="B469" s="9">
        <v>408.0</v>
      </c>
      <c r="C469" s="9">
        <v>10.0</v>
      </c>
      <c r="D469" s="9">
        <v>10120.0</v>
      </c>
      <c r="E469" s="9">
        <v>1.47890986E9</v>
      </c>
      <c r="F469" s="8"/>
      <c r="G469" s="9">
        <v>0.0</v>
      </c>
      <c r="H469" s="9">
        <v>0.0</v>
      </c>
      <c r="I469" s="9" t="s">
        <v>61</v>
      </c>
      <c r="J469" s="9">
        <v>0.0</v>
      </c>
      <c r="K469" s="9">
        <v>0.0</v>
      </c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>
      <c r="A470" s="9">
        <v>404.0</v>
      </c>
      <c r="B470" s="9">
        <v>412.0</v>
      </c>
      <c r="C470" s="9">
        <v>10.0</v>
      </c>
      <c r="D470" s="9">
        <v>10120.0</v>
      </c>
      <c r="E470" s="9">
        <v>1.478909888E9</v>
      </c>
      <c r="F470" s="8"/>
      <c r="G470" s="9">
        <v>0.0</v>
      </c>
      <c r="H470" s="9">
        <v>0.0</v>
      </c>
      <c r="I470" s="9" t="s">
        <v>61</v>
      </c>
      <c r="J470" s="9">
        <v>0.0</v>
      </c>
      <c r="K470" s="9">
        <v>0.0</v>
      </c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>
      <c r="A471" s="9">
        <v>404.0</v>
      </c>
      <c r="B471" s="9">
        <v>423.0</v>
      </c>
      <c r="C471" s="9">
        <v>10.0</v>
      </c>
      <c r="D471" s="9">
        <v>10120.0</v>
      </c>
      <c r="E471" s="9">
        <v>1.478910001E9</v>
      </c>
      <c r="F471" s="8"/>
      <c r="G471" s="9">
        <v>0.0</v>
      </c>
      <c r="H471" s="9">
        <v>0.0</v>
      </c>
      <c r="I471" s="9" t="s">
        <v>61</v>
      </c>
      <c r="J471" s="9">
        <v>0.0</v>
      </c>
      <c r="K471" s="9">
        <v>0.0</v>
      </c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>
      <c r="A472" s="9">
        <v>404.0</v>
      </c>
      <c r="B472" s="9">
        <v>430.0</v>
      </c>
      <c r="C472" s="9">
        <v>10.0</v>
      </c>
      <c r="D472" s="9">
        <v>10120.0</v>
      </c>
      <c r="E472" s="9">
        <v>1.478910097E9</v>
      </c>
      <c r="F472" s="8"/>
      <c r="G472" s="9">
        <v>0.0</v>
      </c>
      <c r="H472" s="9">
        <v>0.0</v>
      </c>
      <c r="I472" s="9" t="s">
        <v>61</v>
      </c>
      <c r="J472" s="9">
        <v>0.0</v>
      </c>
      <c r="K472" s="9">
        <v>0.0</v>
      </c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>
      <c r="A473" s="9">
        <v>404.0</v>
      </c>
      <c r="B473" s="9">
        <v>436.0</v>
      </c>
      <c r="C473" s="9">
        <v>10.0</v>
      </c>
      <c r="D473" s="9">
        <v>10120.0</v>
      </c>
      <c r="E473" s="9">
        <v>1.478910137E9</v>
      </c>
      <c r="F473" s="8"/>
      <c r="G473" s="9">
        <v>0.0</v>
      </c>
      <c r="H473" s="9">
        <v>0.0</v>
      </c>
      <c r="I473" s="9" t="s">
        <v>61</v>
      </c>
      <c r="J473" s="9">
        <v>0.0</v>
      </c>
      <c r="K473" s="9">
        <v>0.0</v>
      </c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>
      <c r="A474" s="9">
        <v>404.0</v>
      </c>
      <c r="B474" s="9">
        <v>447.0</v>
      </c>
      <c r="C474" s="9">
        <v>10.0</v>
      </c>
      <c r="D474" s="9">
        <v>10120.0</v>
      </c>
      <c r="E474" s="9">
        <v>1.478910383E9</v>
      </c>
      <c r="F474" s="8"/>
      <c r="G474" s="9">
        <v>0.0</v>
      </c>
      <c r="H474" s="9">
        <v>0.0</v>
      </c>
      <c r="I474" s="9" t="s">
        <v>61</v>
      </c>
      <c r="J474" s="9">
        <v>0.0</v>
      </c>
      <c r="K474" s="9">
        <v>0.0</v>
      </c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>
      <c r="A475" s="9">
        <v>404.0</v>
      </c>
      <c r="B475" s="9">
        <v>458.0</v>
      </c>
      <c r="C475" s="9">
        <v>10.0</v>
      </c>
      <c r="D475" s="9">
        <v>10120.0</v>
      </c>
      <c r="E475" s="9">
        <v>1.478910583E9</v>
      </c>
      <c r="F475" s="8"/>
      <c r="G475" s="9">
        <v>0.0</v>
      </c>
      <c r="H475" s="9">
        <v>0.0</v>
      </c>
      <c r="I475" s="9" t="s">
        <v>61</v>
      </c>
      <c r="J475" s="9">
        <v>0.0</v>
      </c>
      <c r="K475" s="9">
        <v>0.0</v>
      </c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>
      <c r="A476" s="9">
        <v>404.0</v>
      </c>
      <c r="B476" s="9">
        <v>462.0</v>
      </c>
      <c r="C476" s="9">
        <v>10.0</v>
      </c>
      <c r="D476" s="9">
        <v>10120.0</v>
      </c>
      <c r="E476" s="9">
        <v>1.478910677E9</v>
      </c>
      <c r="F476" s="8"/>
      <c r="G476" s="9">
        <v>0.0</v>
      </c>
      <c r="H476" s="9">
        <v>0.0</v>
      </c>
      <c r="I476" s="9" t="s">
        <v>61</v>
      </c>
      <c r="J476" s="9">
        <v>0.0</v>
      </c>
      <c r="K476" s="9">
        <v>0.0</v>
      </c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>
      <c r="A477" s="9">
        <v>404.0</v>
      </c>
      <c r="B477" s="9">
        <v>468.0</v>
      </c>
      <c r="C477" s="9">
        <v>10.0</v>
      </c>
      <c r="D477" s="9">
        <v>10120.0</v>
      </c>
      <c r="E477" s="9">
        <v>1.478910722E9</v>
      </c>
      <c r="F477" s="8"/>
      <c r="G477" s="9">
        <v>0.0</v>
      </c>
      <c r="H477" s="9">
        <v>0.0</v>
      </c>
      <c r="I477" s="9" t="s">
        <v>61</v>
      </c>
      <c r="J477" s="9">
        <v>0.0</v>
      </c>
      <c r="K477" s="9">
        <v>0.0</v>
      </c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>
      <c r="A478" s="9">
        <v>404.0</v>
      </c>
      <c r="B478" s="9">
        <v>474.0</v>
      </c>
      <c r="C478" s="9">
        <v>10.0</v>
      </c>
      <c r="D478" s="9">
        <v>10120.0</v>
      </c>
      <c r="E478" s="9">
        <v>1.478910918E9</v>
      </c>
      <c r="F478" s="8"/>
      <c r="G478" s="9">
        <v>0.0</v>
      </c>
      <c r="H478" s="9">
        <v>0.0</v>
      </c>
      <c r="I478" s="9" t="s">
        <v>61</v>
      </c>
      <c r="J478" s="9">
        <v>0.0</v>
      </c>
      <c r="K478" s="9">
        <v>0.0</v>
      </c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>
      <c r="A479" s="9">
        <v>404.0</v>
      </c>
      <c r="B479" s="9">
        <v>479.0</v>
      </c>
      <c r="C479" s="9">
        <v>10.0</v>
      </c>
      <c r="D479" s="9">
        <v>10120.0</v>
      </c>
      <c r="E479" s="9">
        <v>1.478911028E9</v>
      </c>
      <c r="F479" s="8"/>
      <c r="G479" s="9">
        <v>0.0</v>
      </c>
      <c r="H479" s="9">
        <v>0.0</v>
      </c>
      <c r="I479" s="9" t="s">
        <v>61</v>
      </c>
      <c r="J479" s="9">
        <v>0.0</v>
      </c>
      <c r="K479" s="9">
        <v>0.0</v>
      </c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>
      <c r="A480" s="9">
        <v>404.0</v>
      </c>
      <c r="B480" s="9">
        <v>484.0</v>
      </c>
      <c r="C480" s="9">
        <v>10.0</v>
      </c>
      <c r="D480" s="9">
        <v>10120.0</v>
      </c>
      <c r="E480" s="9">
        <v>1.478911154E9</v>
      </c>
      <c r="F480" s="8"/>
      <c r="G480" s="9">
        <v>0.0</v>
      </c>
      <c r="H480" s="9">
        <v>0.0</v>
      </c>
      <c r="I480" s="9" t="s">
        <v>61</v>
      </c>
      <c r="J480" s="9">
        <v>0.0</v>
      </c>
      <c r="K480" s="9">
        <v>0.0</v>
      </c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>
      <c r="A481" s="9">
        <v>404.0</v>
      </c>
      <c r="B481" s="9">
        <v>486.0</v>
      </c>
      <c r="C481" s="9">
        <v>10.0</v>
      </c>
      <c r="D481" s="9">
        <v>10120.0</v>
      </c>
      <c r="E481" s="9">
        <v>1.47891123E9</v>
      </c>
      <c r="F481" s="8"/>
      <c r="G481" s="9">
        <v>0.0</v>
      </c>
      <c r="H481" s="9">
        <v>0.0</v>
      </c>
      <c r="I481" s="9" t="s">
        <v>61</v>
      </c>
      <c r="J481" s="9">
        <v>0.0</v>
      </c>
      <c r="K481" s="9">
        <v>0.0</v>
      </c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>
      <c r="A482" s="9">
        <v>404.0</v>
      </c>
      <c r="B482" s="9">
        <v>487.0</v>
      </c>
      <c r="C482" s="9">
        <v>10.0</v>
      </c>
      <c r="D482" s="9">
        <v>10120.0</v>
      </c>
      <c r="E482" s="9">
        <v>1.478911283E9</v>
      </c>
      <c r="F482" s="8"/>
      <c r="G482" s="9">
        <v>0.0</v>
      </c>
      <c r="H482" s="9">
        <v>0.0</v>
      </c>
      <c r="I482" s="9" t="s">
        <v>61</v>
      </c>
      <c r="J482" s="9">
        <v>0.0</v>
      </c>
      <c r="K482" s="9">
        <v>0.0</v>
      </c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>
      <c r="A483" s="9">
        <v>404.0</v>
      </c>
      <c r="B483" s="9">
        <v>488.0</v>
      </c>
      <c r="C483" s="9">
        <v>10.0</v>
      </c>
      <c r="D483" s="9">
        <v>10120.0</v>
      </c>
      <c r="E483" s="9">
        <v>1.478911336E9</v>
      </c>
      <c r="F483" s="8"/>
      <c r="G483" s="9">
        <v>0.0</v>
      </c>
      <c r="H483" s="9">
        <v>0.0</v>
      </c>
      <c r="I483" s="9" t="s">
        <v>61</v>
      </c>
      <c r="J483" s="9">
        <v>0.0</v>
      </c>
      <c r="K483" s="9">
        <v>0.0</v>
      </c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>
      <c r="A484" s="9">
        <v>404.0</v>
      </c>
      <c r="B484" s="9">
        <v>490.0</v>
      </c>
      <c r="C484" s="9">
        <v>10.0</v>
      </c>
      <c r="D484" s="9">
        <v>10120.0</v>
      </c>
      <c r="E484" s="9">
        <v>1.478911478E9</v>
      </c>
      <c r="F484" s="8"/>
      <c r="G484" s="9">
        <v>0.0</v>
      </c>
      <c r="H484" s="9">
        <v>0.0</v>
      </c>
      <c r="I484" s="9" t="s">
        <v>61</v>
      </c>
      <c r="J484" s="9">
        <v>0.0</v>
      </c>
      <c r="K484" s="9">
        <v>0.0</v>
      </c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>
      <c r="A485" s="9">
        <v>404.0</v>
      </c>
      <c r="B485" s="9">
        <v>491.0</v>
      </c>
      <c r="C485" s="9">
        <v>10.0</v>
      </c>
      <c r="D485" s="9">
        <v>10120.0</v>
      </c>
      <c r="E485" s="9">
        <v>1.478911638E9</v>
      </c>
      <c r="F485" s="8"/>
      <c r="G485" s="9">
        <v>0.0</v>
      </c>
      <c r="H485" s="9">
        <v>0.0</v>
      </c>
      <c r="I485" s="9" t="s">
        <v>61</v>
      </c>
      <c r="J485" s="9">
        <v>0.0</v>
      </c>
      <c r="K485" s="9">
        <v>0.0</v>
      </c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>
      <c r="A486" s="9">
        <v>404.0</v>
      </c>
      <c r="B486" s="9">
        <v>492.0</v>
      </c>
      <c r="C486" s="9">
        <v>10.0</v>
      </c>
      <c r="D486" s="9">
        <v>10120.0</v>
      </c>
      <c r="E486" s="9">
        <v>1.478911656E9</v>
      </c>
      <c r="F486" s="8"/>
      <c r="G486" s="9">
        <v>0.0</v>
      </c>
      <c r="H486" s="9">
        <v>0.0</v>
      </c>
      <c r="I486" s="9" t="s">
        <v>61</v>
      </c>
      <c r="J486" s="9">
        <v>0.0</v>
      </c>
      <c r="K486" s="9">
        <v>0.0</v>
      </c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>
      <c r="A487" s="9">
        <v>404.0</v>
      </c>
      <c r="B487" s="9">
        <v>493.0</v>
      </c>
      <c r="C487" s="9">
        <v>10.0</v>
      </c>
      <c r="D487" s="9">
        <v>10120.0</v>
      </c>
      <c r="E487" s="9">
        <v>1.47891172E9</v>
      </c>
      <c r="F487" s="8"/>
      <c r="G487" s="9">
        <v>0.0</v>
      </c>
      <c r="H487" s="9">
        <v>0.0</v>
      </c>
      <c r="I487" s="9" t="s">
        <v>61</v>
      </c>
      <c r="J487" s="9">
        <v>0.0</v>
      </c>
      <c r="K487" s="9">
        <v>0.0</v>
      </c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>
      <c r="A488" s="9">
        <v>404.0</v>
      </c>
      <c r="B488" s="9">
        <v>494.0</v>
      </c>
      <c r="C488" s="9">
        <v>10.0</v>
      </c>
      <c r="D488" s="9">
        <v>10120.0</v>
      </c>
      <c r="E488" s="9">
        <v>1.478911872E9</v>
      </c>
      <c r="F488" s="8"/>
      <c r="G488" s="9">
        <v>0.0</v>
      </c>
      <c r="H488" s="9">
        <v>0.0</v>
      </c>
      <c r="I488" s="9" t="s">
        <v>61</v>
      </c>
      <c r="J488" s="9">
        <v>0.0</v>
      </c>
      <c r="K488" s="9">
        <v>0.0</v>
      </c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>
      <c r="A489" s="9">
        <v>404.0</v>
      </c>
      <c r="B489" s="9">
        <v>496.0</v>
      </c>
      <c r="C489" s="9">
        <v>10.0</v>
      </c>
      <c r="D489" s="9">
        <v>10120.0</v>
      </c>
      <c r="E489" s="9">
        <v>1.478912004E9</v>
      </c>
      <c r="F489" s="8"/>
      <c r="G489" s="9">
        <v>0.0</v>
      </c>
      <c r="H489" s="9">
        <v>0.0</v>
      </c>
      <c r="I489" s="9" t="s">
        <v>61</v>
      </c>
      <c r="J489" s="9">
        <v>0.0</v>
      </c>
      <c r="K489" s="9">
        <v>0.0</v>
      </c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>
      <c r="A490" s="9">
        <v>404.0</v>
      </c>
      <c r="B490" s="9">
        <v>497.0</v>
      </c>
      <c r="C490" s="9">
        <v>10.0</v>
      </c>
      <c r="D490" s="9">
        <v>10120.0</v>
      </c>
      <c r="E490" s="9">
        <v>1.478913222E9</v>
      </c>
      <c r="F490" s="8"/>
      <c r="G490" s="9">
        <v>0.0</v>
      </c>
      <c r="H490" s="9">
        <v>0.0</v>
      </c>
      <c r="I490" s="9" t="s">
        <v>61</v>
      </c>
      <c r="J490" s="9">
        <v>0.0</v>
      </c>
      <c r="K490" s="9">
        <v>0.0</v>
      </c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>
      <c r="A491" s="9">
        <v>404.0</v>
      </c>
      <c r="B491" s="9">
        <v>498.0</v>
      </c>
      <c r="C491" s="9">
        <v>10.0</v>
      </c>
      <c r="D491" s="9">
        <v>10120.0</v>
      </c>
      <c r="E491" s="9">
        <v>1.478913266E9</v>
      </c>
      <c r="F491" s="8"/>
      <c r="G491" s="9">
        <v>0.0</v>
      </c>
      <c r="H491" s="9">
        <v>0.0</v>
      </c>
      <c r="I491" s="9" t="s">
        <v>61</v>
      </c>
      <c r="J491" s="9">
        <v>0.0</v>
      </c>
      <c r="K491" s="9">
        <v>0.0</v>
      </c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>
      <c r="A492" s="9">
        <v>404.0</v>
      </c>
      <c r="B492" s="9">
        <v>499.0</v>
      </c>
      <c r="C492" s="9">
        <v>10.0</v>
      </c>
      <c r="D492" s="9">
        <v>10120.0</v>
      </c>
      <c r="E492" s="9">
        <v>1.478913324E9</v>
      </c>
      <c r="F492" s="8"/>
      <c r="G492" s="9">
        <v>0.0</v>
      </c>
      <c r="H492" s="9">
        <v>0.0</v>
      </c>
      <c r="I492" s="9" t="s">
        <v>61</v>
      </c>
      <c r="J492" s="9">
        <v>0.0</v>
      </c>
      <c r="K492" s="9">
        <v>0.0</v>
      </c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>
      <c r="A493" s="9">
        <v>404.0</v>
      </c>
      <c r="B493" s="9">
        <v>500.0</v>
      </c>
      <c r="C493" s="9">
        <v>10.0</v>
      </c>
      <c r="D493" s="9">
        <v>10120.0</v>
      </c>
      <c r="E493" s="9">
        <v>1.478913477E9</v>
      </c>
      <c r="F493" s="8"/>
      <c r="G493" s="9">
        <v>0.0</v>
      </c>
      <c r="H493" s="9">
        <v>0.0</v>
      </c>
      <c r="I493" s="9" t="s">
        <v>61</v>
      </c>
      <c r="J493" s="9">
        <v>0.0</v>
      </c>
      <c r="K493" s="9">
        <v>0.0</v>
      </c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>
      <c r="A494" s="9">
        <v>404.0</v>
      </c>
      <c r="B494" s="9">
        <v>501.0</v>
      </c>
      <c r="C494" s="9">
        <v>10.0</v>
      </c>
      <c r="D494" s="9">
        <v>10120.0</v>
      </c>
      <c r="E494" s="9">
        <v>1.47891349E9</v>
      </c>
      <c r="F494" s="8"/>
      <c r="G494" s="9">
        <v>0.0</v>
      </c>
      <c r="H494" s="9">
        <v>0.0</v>
      </c>
      <c r="I494" s="9" t="s">
        <v>61</v>
      </c>
      <c r="J494" s="9">
        <v>0.0</v>
      </c>
      <c r="K494" s="9">
        <v>0.0</v>
      </c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>
      <c r="A495" s="9">
        <v>404.0</v>
      </c>
      <c r="B495" s="9">
        <v>502.0</v>
      </c>
      <c r="C495" s="9">
        <v>10.0</v>
      </c>
      <c r="D495" s="9">
        <v>10120.0</v>
      </c>
      <c r="E495" s="9">
        <v>1.478913557E9</v>
      </c>
      <c r="F495" s="8"/>
      <c r="G495" s="9">
        <v>0.0</v>
      </c>
      <c r="H495" s="9">
        <v>0.0</v>
      </c>
      <c r="I495" s="9" t="s">
        <v>61</v>
      </c>
      <c r="J495" s="9">
        <v>0.0</v>
      </c>
      <c r="K495" s="9">
        <v>0.0</v>
      </c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>
      <c r="A496" s="9">
        <v>404.0</v>
      </c>
      <c r="B496" s="9">
        <v>503.0</v>
      </c>
      <c r="C496" s="9">
        <v>10.0</v>
      </c>
      <c r="D496" s="9">
        <v>10120.0</v>
      </c>
      <c r="E496" s="9">
        <v>1.478913648E9</v>
      </c>
      <c r="F496" s="8"/>
      <c r="G496" s="9">
        <v>0.0</v>
      </c>
      <c r="H496" s="9">
        <v>0.0</v>
      </c>
      <c r="I496" s="9" t="s">
        <v>61</v>
      </c>
      <c r="J496" s="9">
        <v>0.0</v>
      </c>
      <c r="K496" s="9">
        <v>0.0</v>
      </c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>
      <c r="A497" s="9">
        <v>404.0</v>
      </c>
      <c r="B497" s="9">
        <v>504.0</v>
      </c>
      <c r="C497" s="9">
        <v>10.0</v>
      </c>
      <c r="D497" s="9">
        <v>10120.0</v>
      </c>
      <c r="E497" s="9">
        <v>1.478913714E9</v>
      </c>
      <c r="F497" s="8"/>
      <c r="G497" s="9">
        <v>0.0</v>
      </c>
      <c r="H497" s="9">
        <v>0.0</v>
      </c>
      <c r="I497" s="9" t="s">
        <v>61</v>
      </c>
      <c r="J497" s="9">
        <v>0.0</v>
      </c>
      <c r="K497" s="9">
        <v>0.0</v>
      </c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>
      <c r="A498" s="9">
        <v>404.0</v>
      </c>
      <c r="B498" s="9">
        <v>505.0</v>
      </c>
      <c r="C498" s="9">
        <v>10.0</v>
      </c>
      <c r="D498" s="9">
        <v>10120.0</v>
      </c>
      <c r="E498" s="9">
        <v>1.478913777E9</v>
      </c>
      <c r="F498" s="8"/>
      <c r="G498" s="9">
        <v>0.0</v>
      </c>
      <c r="H498" s="9">
        <v>0.0</v>
      </c>
      <c r="I498" s="9" t="s">
        <v>61</v>
      </c>
      <c r="J498" s="9">
        <v>0.0</v>
      </c>
      <c r="K498" s="9">
        <v>0.0</v>
      </c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>
      <c r="A499" s="9">
        <v>404.0</v>
      </c>
      <c r="B499" s="9">
        <v>506.0</v>
      </c>
      <c r="C499" s="9">
        <v>10.0</v>
      </c>
      <c r="D499" s="9">
        <v>10120.0</v>
      </c>
      <c r="E499" s="9">
        <v>1.478913814E9</v>
      </c>
      <c r="F499" s="8"/>
      <c r="G499" s="9">
        <v>0.0</v>
      </c>
      <c r="H499" s="9">
        <v>0.0</v>
      </c>
      <c r="I499" s="9" t="s">
        <v>61</v>
      </c>
      <c r="J499" s="9">
        <v>0.0</v>
      </c>
      <c r="K499" s="9">
        <v>0.0</v>
      </c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>
      <c r="A500" s="9">
        <v>404.0</v>
      </c>
      <c r="B500" s="9">
        <v>508.0</v>
      </c>
      <c r="C500" s="9">
        <v>10.0</v>
      </c>
      <c r="D500" s="9">
        <v>10120.0</v>
      </c>
      <c r="E500" s="9">
        <v>1.478913869E9</v>
      </c>
      <c r="F500" s="8"/>
      <c r="G500" s="9">
        <v>0.0</v>
      </c>
      <c r="H500" s="9">
        <v>0.0</v>
      </c>
      <c r="I500" s="9" t="s">
        <v>61</v>
      </c>
      <c r="J500" s="9">
        <v>0.0</v>
      </c>
      <c r="K500" s="9">
        <v>0.0</v>
      </c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>
      <c r="A501" s="9">
        <v>404.0</v>
      </c>
      <c r="B501" s="9">
        <v>510.0</v>
      </c>
      <c r="C501" s="9">
        <v>10.0</v>
      </c>
      <c r="D501" s="9">
        <v>10120.0</v>
      </c>
      <c r="E501" s="9">
        <v>1.478913896E9</v>
      </c>
      <c r="F501" s="8"/>
      <c r="G501" s="9">
        <v>0.0</v>
      </c>
      <c r="H501" s="9">
        <v>0.0</v>
      </c>
      <c r="I501" s="9" t="s">
        <v>61</v>
      </c>
      <c r="J501" s="9">
        <v>0.0</v>
      </c>
      <c r="K501" s="9">
        <v>0.0</v>
      </c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>
      <c r="A502" s="9">
        <v>404.0</v>
      </c>
      <c r="B502" s="9">
        <v>511.0</v>
      </c>
      <c r="C502" s="9">
        <v>10.0</v>
      </c>
      <c r="D502" s="9">
        <v>10120.0</v>
      </c>
      <c r="E502" s="9">
        <v>1.478913941E9</v>
      </c>
      <c r="F502" s="8"/>
      <c r="G502" s="9">
        <v>0.0</v>
      </c>
      <c r="H502" s="9">
        <v>0.0</v>
      </c>
      <c r="I502" s="9" t="s">
        <v>61</v>
      </c>
      <c r="J502" s="9">
        <v>0.0</v>
      </c>
      <c r="K502" s="9">
        <v>0.0</v>
      </c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>
      <c r="A503" s="9">
        <v>404.0</v>
      </c>
      <c r="B503" s="9">
        <v>512.0</v>
      </c>
      <c r="C503" s="9">
        <v>10.0</v>
      </c>
      <c r="D503" s="9">
        <v>10120.0</v>
      </c>
      <c r="E503" s="9">
        <v>1.478914093E9</v>
      </c>
      <c r="F503" s="8"/>
      <c r="G503" s="9">
        <v>0.0</v>
      </c>
      <c r="H503" s="9">
        <v>0.0</v>
      </c>
      <c r="I503" s="9" t="s">
        <v>61</v>
      </c>
      <c r="J503" s="9">
        <v>0.0</v>
      </c>
      <c r="K503" s="9">
        <v>0.0</v>
      </c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>
      <c r="A504" s="9">
        <v>404.0</v>
      </c>
      <c r="B504" s="9">
        <v>513.0</v>
      </c>
      <c r="C504" s="9">
        <v>10.0</v>
      </c>
      <c r="D504" s="9">
        <v>10120.0</v>
      </c>
      <c r="E504" s="9">
        <v>1.478914142E9</v>
      </c>
      <c r="F504" s="8"/>
      <c r="G504" s="9">
        <v>0.0</v>
      </c>
      <c r="H504" s="9">
        <v>0.0</v>
      </c>
      <c r="I504" s="9" t="s">
        <v>61</v>
      </c>
      <c r="J504" s="9">
        <v>0.0</v>
      </c>
      <c r="K504" s="9">
        <v>0.0</v>
      </c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>
      <c r="A505" s="9">
        <v>404.0</v>
      </c>
      <c r="B505" s="9">
        <v>514.0</v>
      </c>
      <c r="C505" s="9">
        <v>10.0</v>
      </c>
      <c r="D505" s="9">
        <v>10120.0</v>
      </c>
      <c r="E505" s="9">
        <v>1.478914184E9</v>
      </c>
      <c r="F505" s="8"/>
      <c r="G505" s="9">
        <v>0.0</v>
      </c>
      <c r="H505" s="9">
        <v>0.0</v>
      </c>
      <c r="I505" s="9" t="s">
        <v>61</v>
      </c>
      <c r="J505" s="9">
        <v>0.0</v>
      </c>
      <c r="K505" s="9">
        <v>0.0</v>
      </c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>
      <c r="A506" s="9">
        <v>404.0</v>
      </c>
      <c r="B506" s="9">
        <v>515.0</v>
      </c>
      <c r="C506" s="9">
        <v>10.0</v>
      </c>
      <c r="D506" s="9">
        <v>10120.0</v>
      </c>
      <c r="E506" s="9">
        <v>1.478914225E9</v>
      </c>
      <c r="F506" s="8"/>
      <c r="G506" s="9">
        <v>0.0</v>
      </c>
      <c r="H506" s="9">
        <v>0.0</v>
      </c>
      <c r="I506" s="9" t="s">
        <v>61</v>
      </c>
      <c r="J506" s="9">
        <v>0.0</v>
      </c>
      <c r="K506" s="9">
        <v>0.0</v>
      </c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>
      <c r="A507" s="9">
        <v>404.0</v>
      </c>
      <c r="B507" s="9">
        <v>516.0</v>
      </c>
      <c r="C507" s="9">
        <v>10.0</v>
      </c>
      <c r="D507" s="9">
        <v>10120.0</v>
      </c>
      <c r="E507" s="9">
        <v>1.478914341E9</v>
      </c>
      <c r="F507" s="8"/>
      <c r="G507" s="9">
        <v>0.0</v>
      </c>
      <c r="H507" s="9">
        <v>0.0</v>
      </c>
      <c r="I507" s="9" t="s">
        <v>61</v>
      </c>
      <c r="J507" s="9">
        <v>0.0</v>
      </c>
      <c r="K507" s="9">
        <v>0.0</v>
      </c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>
      <c r="A508" s="9">
        <v>404.0</v>
      </c>
      <c r="B508" s="9">
        <v>517.0</v>
      </c>
      <c r="C508" s="9">
        <v>10.0</v>
      </c>
      <c r="D508" s="9">
        <v>10120.0</v>
      </c>
      <c r="E508" s="9">
        <v>1.478914376E9</v>
      </c>
      <c r="F508" s="8"/>
      <c r="G508" s="9">
        <v>0.0</v>
      </c>
      <c r="H508" s="9">
        <v>0.0</v>
      </c>
      <c r="I508" s="9" t="s">
        <v>61</v>
      </c>
      <c r="J508" s="9">
        <v>0.0</v>
      </c>
      <c r="K508" s="9">
        <v>0.0</v>
      </c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>
      <c r="A509" s="9">
        <v>404.0</v>
      </c>
      <c r="B509" s="9">
        <v>518.0</v>
      </c>
      <c r="C509" s="9">
        <v>10.0</v>
      </c>
      <c r="D509" s="9">
        <v>10120.0</v>
      </c>
      <c r="E509" s="9">
        <v>1.478914416E9</v>
      </c>
      <c r="F509" s="8"/>
      <c r="G509" s="9">
        <v>0.0</v>
      </c>
      <c r="H509" s="9">
        <v>0.0</v>
      </c>
      <c r="I509" s="9" t="s">
        <v>61</v>
      </c>
      <c r="J509" s="9">
        <v>0.0</v>
      </c>
      <c r="K509" s="9">
        <v>0.0</v>
      </c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>
      <c r="A510" s="9">
        <v>404.0</v>
      </c>
      <c r="B510" s="9">
        <v>519.0</v>
      </c>
      <c r="C510" s="9">
        <v>10.0</v>
      </c>
      <c r="D510" s="9">
        <v>10120.0</v>
      </c>
      <c r="E510" s="9">
        <v>1.47891444E9</v>
      </c>
      <c r="F510" s="8"/>
      <c r="G510" s="9">
        <v>0.0</v>
      </c>
      <c r="H510" s="9">
        <v>0.0</v>
      </c>
      <c r="I510" s="9" t="s">
        <v>61</v>
      </c>
      <c r="J510" s="9">
        <v>0.0</v>
      </c>
      <c r="K510" s="9">
        <v>0.0</v>
      </c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>
      <c r="A511" s="9">
        <v>404.0</v>
      </c>
      <c r="B511" s="9">
        <v>520.0</v>
      </c>
      <c r="C511" s="9">
        <v>10.0</v>
      </c>
      <c r="D511" s="9">
        <v>10120.0</v>
      </c>
      <c r="E511" s="9">
        <v>1.478914594E9</v>
      </c>
      <c r="F511" s="8"/>
      <c r="G511" s="9">
        <v>0.0</v>
      </c>
      <c r="H511" s="9">
        <v>0.0</v>
      </c>
      <c r="I511" s="9" t="s">
        <v>61</v>
      </c>
      <c r="J511" s="9">
        <v>0.0</v>
      </c>
      <c r="K511" s="9">
        <v>0.0</v>
      </c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>
      <c r="A512" s="9">
        <v>404.0</v>
      </c>
      <c r="B512" s="9">
        <v>521.0</v>
      </c>
      <c r="C512" s="9">
        <v>10.0</v>
      </c>
      <c r="D512" s="9">
        <v>10120.0</v>
      </c>
      <c r="E512" s="9">
        <v>1.478914749E9</v>
      </c>
      <c r="F512" s="8"/>
      <c r="G512" s="9">
        <v>0.0</v>
      </c>
      <c r="H512" s="9">
        <v>1.478914768E9</v>
      </c>
      <c r="I512" s="9">
        <v>10.0</v>
      </c>
      <c r="J512" s="9">
        <v>0.0</v>
      </c>
      <c r="K512" s="9">
        <v>0.0</v>
      </c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>
      <c r="A513" s="9">
        <v>404.0</v>
      </c>
      <c r="B513" s="9">
        <v>413.0</v>
      </c>
      <c r="C513" s="9">
        <v>10.0</v>
      </c>
      <c r="D513" s="9">
        <v>10121.0</v>
      </c>
      <c r="E513" s="9">
        <v>1.478909902E9</v>
      </c>
      <c r="F513" s="8"/>
      <c r="G513" s="9">
        <v>0.0</v>
      </c>
      <c r="H513" s="9">
        <v>0.0</v>
      </c>
      <c r="I513" s="9" t="s">
        <v>61</v>
      </c>
      <c r="J513" s="9">
        <v>0.0</v>
      </c>
      <c r="K513" s="9">
        <v>0.0</v>
      </c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>
      <c r="A514" s="9">
        <v>404.0</v>
      </c>
      <c r="B514" s="9">
        <v>465.0</v>
      </c>
      <c r="C514" s="9">
        <v>10.0</v>
      </c>
      <c r="D514" s="9">
        <v>10122.0</v>
      </c>
      <c r="E514" s="9">
        <v>1.478910698E9</v>
      </c>
      <c r="F514" s="8"/>
      <c r="G514" s="9">
        <v>0.0</v>
      </c>
      <c r="H514" s="9">
        <v>0.0</v>
      </c>
      <c r="I514" s="9" t="s">
        <v>61</v>
      </c>
      <c r="J514" s="9">
        <v>0.0</v>
      </c>
      <c r="K514" s="9">
        <v>0.0</v>
      </c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>
      <c r="A515" s="9">
        <v>404.0</v>
      </c>
      <c r="B515" s="9">
        <v>283.0</v>
      </c>
      <c r="C515" s="9">
        <v>10.0</v>
      </c>
      <c r="D515" s="9">
        <v>10123.0</v>
      </c>
      <c r="E515" s="9">
        <v>1.478908509E9</v>
      </c>
      <c r="F515" s="8"/>
      <c r="G515" s="9">
        <v>0.0</v>
      </c>
      <c r="H515" s="9">
        <v>0.0</v>
      </c>
      <c r="I515" s="9" t="s">
        <v>61</v>
      </c>
      <c r="J515" s="9">
        <v>0.0</v>
      </c>
      <c r="K515" s="9">
        <v>0.0</v>
      </c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>
      <c r="A516" s="9">
        <v>404.0</v>
      </c>
      <c r="B516" s="9">
        <v>291.0</v>
      </c>
      <c r="C516" s="9">
        <v>10.0</v>
      </c>
      <c r="D516" s="9">
        <v>10123.0</v>
      </c>
      <c r="E516" s="9">
        <v>1.478908568E9</v>
      </c>
      <c r="F516" s="8"/>
      <c r="G516" s="9">
        <v>0.0</v>
      </c>
      <c r="H516" s="9">
        <v>0.0</v>
      </c>
      <c r="I516" s="9" t="s">
        <v>61</v>
      </c>
      <c r="J516" s="9">
        <v>0.0</v>
      </c>
      <c r="K516" s="9">
        <v>0.0</v>
      </c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>
      <c r="A517" s="9">
        <v>404.0</v>
      </c>
      <c r="B517" s="9">
        <v>298.0</v>
      </c>
      <c r="C517" s="9">
        <v>10.0</v>
      </c>
      <c r="D517" s="9">
        <v>10123.0</v>
      </c>
      <c r="E517" s="9">
        <v>1.478908636E9</v>
      </c>
      <c r="F517" s="8"/>
      <c r="G517" s="9">
        <v>0.0</v>
      </c>
      <c r="H517" s="9">
        <v>0.0</v>
      </c>
      <c r="I517" s="9" t="s">
        <v>61</v>
      </c>
      <c r="J517" s="9">
        <v>0.0</v>
      </c>
      <c r="K517" s="9">
        <v>0.0</v>
      </c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>
      <c r="A518" s="9">
        <v>404.0</v>
      </c>
      <c r="B518" s="9">
        <v>301.0</v>
      </c>
      <c r="C518" s="9">
        <v>10.0</v>
      </c>
      <c r="D518" s="9">
        <v>10123.0</v>
      </c>
      <c r="E518" s="9">
        <v>1.478908659E9</v>
      </c>
      <c r="F518" s="8"/>
      <c r="G518" s="9">
        <v>0.0</v>
      </c>
      <c r="H518" s="9">
        <v>1.478908784E9</v>
      </c>
      <c r="I518" s="9">
        <v>0.0</v>
      </c>
      <c r="J518" s="9">
        <v>0.0</v>
      </c>
      <c r="K518" s="9">
        <v>0.0</v>
      </c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>
      <c r="A519" s="9">
        <v>404.0</v>
      </c>
      <c r="B519" s="9">
        <v>331.0</v>
      </c>
      <c r="C519" s="9">
        <v>10.0</v>
      </c>
      <c r="D519" s="9">
        <v>10123.0</v>
      </c>
      <c r="E519" s="9">
        <v>1.478908926E9</v>
      </c>
      <c r="F519" s="8"/>
      <c r="G519" s="9">
        <v>0.0</v>
      </c>
      <c r="H519" s="9">
        <v>1.478909068E9</v>
      </c>
      <c r="I519" s="9">
        <v>0.0</v>
      </c>
      <c r="J519" s="9">
        <v>0.0</v>
      </c>
      <c r="K519" s="9">
        <v>0.0</v>
      </c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>
      <c r="A520" s="9">
        <v>404.0</v>
      </c>
      <c r="B520" s="9">
        <v>362.0</v>
      </c>
      <c r="C520" s="9">
        <v>10.0</v>
      </c>
      <c r="D520" s="9">
        <v>10123.0</v>
      </c>
      <c r="E520" s="9">
        <v>1.478909271E9</v>
      </c>
      <c r="F520" s="8"/>
      <c r="G520" s="9">
        <v>0.0</v>
      </c>
      <c r="H520" s="9">
        <v>1.478909279E9</v>
      </c>
      <c r="I520" s="9">
        <v>0.0</v>
      </c>
      <c r="J520" s="9">
        <v>0.0</v>
      </c>
      <c r="K520" s="9">
        <v>0.0</v>
      </c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>
      <c r="A521" s="9">
        <v>404.0</v>
      </c>
      <c r="B521" s="9">
        <v>370.0</v>
      </c>
      <c r="C521" s="9">
        <v>10.0</v>
      </c>
      <c r="D521" s="9">
        <v>10123.0</v>
      </c>
      <c r="E521" s="9">
        <v>1.478909368E9</v>
      </c>
      <c r="F521" s="8"/>
      <c r="G521" s="9">
        <v>0.0</v>
      </c>
      <c r="H521" s="9">
        <v>1.478909376E9</v>
      </c>
      <c r="I521" s="9">
        <v>0.0</v>
      </c>
      <c r="J521" s="9">
        <v>0.0</v>
      </c>
      <c r="K521" s="9">
        <v>0.0</v>
      </c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>
      <c r="A522" s="9">
        <v>404.0</v>
      </c>
      <c r="B522" s="9">
        <v>375.0</v>
      </c>
      <c r="C522" s="9">
        <v>10.0</v>
      </c>
      <c r="D522" s="9">
        <v>10123.0</v>
      </c>
      <c r="E522" s="9">
        <v>1.478909421E9</v>
      </c>
      <c r="F522" s="8"/>
      <c r="G522" s="9">
        <v>0.0</v>
      </c>
      <c r="H522" s="9">
        <v>1.47890943E9</v>
      </c>
      <c r="I522" s="9">
        <v>0.0</v>
      </c>
      <c r="J522" s="9">
        <v>0.0</v>
      </c>
      <c r="K522" s="9">
        <v>0.0</v>
      </c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>
      <c r="A523" s="9">
        <v>404.0</v>
      </c>
      <c r="B523" s="9">
        <v>407.0</v>
      </c>
      <c r="C523" s="9">
        <v>10.0</v>
      </c>
      <c r="D523" s="9">
        <v>10123.0</v>
      </c>
      <c r="E523" s="9">
        <v>1.478909859E9</v>
      </c>
      <c r="F523" s="8"/>
      <c r="G523" s="9">
        <v>0.0</v>
      </c>
      <c r="H523" s="9">
        <v>0.0</v>
      </c>
      <c r="I523" s="9" t="s">
        <v>61</v>
      </c>
      <c r="J523" s="9">
        <v>0.0</v>
      </c>
      <c r="K523" s="9">
        <v>0.0</v>
      </c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>
      <c r="A524" s="9">
        <v>404.0</v>
      </c>
      <c r="B524" s="9">
        <v>414.0</v>
      </c>
      <c r="C524" s="9">
        <v>10.0</v>
      </c>
      <c r="D524" s="9">
        <v>10123.0</v>
      </c>
      <c r="E524" s="9">
        <v>1.478909904E9</v>
      </c>
      <c r="F524" s="8"/>
      <c r="G524" s="9">
        <v>0.0</v>
      </c>
      <c r="H524" s="9">
        <v>0.0</v>
      </c>
      <c r="I524" s="9" t="s">
        <v>61</v>
      </c>
      <c r="J524" s="9">
        <v>0.0</v>
      </c>
      <c r="K524" s="9">
        <v>0.0</v>
      </c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>
      <c r="A525" s="9">
        <v>404.0</v>
      </c>
      <c r="B525" s="9">
        <v>416.0</v>
      </c>
      <c r="C525" s="9">
        <v>10.0</v>
      </c>
      <c r="D525" s="9">
        <v>10123.0</v>
      </c>
      <c r="E525" s="9">
        <v>1.478909925E9</v>
      </c>
      <c r="F525" s="8"/>
      <c r="G525" s="9">
        <v>0.0</v>
      </c>
      <c r="H525" s="9">
        <v>0.0</v>
      </c>
      <c r="I525" s="9" t="s">
        <v>61</v>
      </c>
      <c r="J525" s="9">
        <v>0.0</v>
      </c>
      <c r="K525" s="9">
        <v>0.0</v>
      </c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>
      <c r="A526" s="9">
        <v>404.0</v>
      </c>
      <c r="B526" s="9">
        <v>421.0</v>
      </c>
      <c r="C526" s="9">
        <v>10.0</v>
      </c>
      <c r="D526" s="9">
        <v>10123.0</v>
      </c>
      <c r="E526" s="9">
        <v>1.47890998E9</v>
      </c>
      <c r="F526" s="8"/>
      <c r="G526" s="9">
        <v>0.0</v>
      </c>
      <c r="H526" s="9">
        <v>1.478910042E9</v>
      </c>
      <c r="I526" s="9">
        <v>0.0</v>
      </c>
      <c r="J526" s="9">
        <v>0.0</v>
      </c>
      <c r="K526" s="9">
        <v>0.0</v>
      </c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>
      <c r="A527" s="9">
        <v>404.0</v>
      </c>
      <c r="B527" s="9">
        <v>797.0</v>
      </c>
      <c r="C527" s="9">
        <v>10.0</v>
      </c>
      <c r="D527" s="9">
        <v>10123.0</v>
      </c>
      <c r="E527" s="9">
        <v>1.479347546E9</v>
      </c>
      <c r="F527" s="8"/>
      <c r="G527" s="9">
        <v>0.0</v>
      </c>
      <c r="H527" s="9">
        <v>1.479347807E9</v>
      </c>
      <c r="I527" s="9">
        <v>0.0</v>
      </c>
      <c r="J527" s="9">
        <v>0.0</v>
      </c>
      <c r="K527" s="9">
        <v>0.0</v>
      </c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>
      <c r="A528" s="9">
        <v>404.0</v>
      </c>
      <c r="B528" s="9">
        <v>325.0</v>
      </c>
      <c r="C528" s="9">
        <v>10.0</v>
      </c>
      <c r="D528" s="9">
        <v>10125.0</v>
      </c>
      <c r="E528" s="9">
        <v>1.478908887E9</v>
      </c>
      <c r="F528" s="8"/>
      <c r="G528" s="9">
        <v>0.0</v>
      </c>
      <c r="H528" s="9">
        <v>1.478909119E9</v>
      </c>
      <c r="I528" s="9">
        <v>0.0</v>
      </c>
      <c r="J528" s="9">
        <v>0.0</v>
      </c>
      <c r="K528" s="9">
        <v>0.0</v>
      </c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>
      <c r="A529" s="9">
        <v>404.0</v>
      </c>
      <c r="B529" s="9">
        <v>827.0</v>
      </c>
      <c r="C529" s="9">
        <v>10.0</v>
      </c>
      <c r="D529" s="9">
        <v>10125.0</v>
      </c>
      <c r="E529" s="9">
        <v>1.479431222E9</v>
      </c>
      <c r="F529" s="8"/>
      <c r="G529" s="9">
        <v>0.0</v>
      </c>
      <c r="H529" s="9">
        <v>0.0</v>
      </c>
      <c r="I529" s="9" t="s">
        <v>61</v>
      </c>
      <c r="J529" s="9">
        <v>0.0</v>
      </c>
      <c r="K529" s="9">
        <v>0.0</v>
      </c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>
      <c r="A530" s="9">
        <v>404.0</v>
      </c>
      <c r="B530" s="9">
        <v>828.0</v>
      </c>
      <c r="C530" s="9">
        <v>10.0</v>
      </c>
      <c r="D530" s="9">
        <v>10125.0</v>
      </c>
      <c r="E530" s="9">
        <v>1.479431253E9</v>
      </c>
      <c r="F530" s="8"/>
      <c r="G530" s="9">
        <v>0.0</v>
      </c>
      <c r="H530" s="9">
        <v>0.0</v>
      </c>
      <c r="I530" s="9" t="s">
        <v>61</v>
      </c>
      <c r="J530" s="9">
        <v>0.0</v>
      </c>
      <c r="K530" s="9">
        <v>0.0</v>
      </c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>
      <c r="A531" s="9">
        <v>404.0</v>
      </c>
      <c r="B531" s="9">
        <v>829.0</v>
      </c>
      <c r="C531" s="9">
        <v>10.0</v>
      </c>
      <c r="D531" s="9">
        <v>10125.0</v>
      </c>
      <c r="E531" s="9">
        <v>1.479431541E9</v>
      </c>
      <c r="F531" s="8"/>
      <c r="G531" s="9">
        <v>0.0</v>
      </c>
      <c r="H531" s="9">
        <v>0.0</v>
      </c>
      <c r="I531" s="9" t="s">
        <v>61</v>
      </c>
      <c r="J531" s="9">
        <v>0.0</v>
      </c>
      <c r="K531" s="9">
        <v>0.0</v>
      </c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>
      <c r="A532" s="9">
        <v>404.0</v>
      </c>
      <c r="B532" s="9">
        <v>830.0</v>
      </c>
      <c r="C532" s="9">
        <v>10.0</v>
      </c>
      <c r="D532" s="9">
        <v>10125.0</v>
      </c>
      <c r="E532" s="9">
        <v>1.479431726E9</v>
      </c>
      <c r="F532" s="8"/>
      <c r="G532" s="9">
        <v>0.0</v>
      </c>
      <c r="H532" s="9">
        <v>0.0</v>
      </c>
      <c r="I532" s="9" t="s">
        <v>61</v>
      </c>
      <c r="J532" s="9">
        <v>0.0</v>
      </c>
      <c r="K532" s="9">
        <v>0.0</v>
      </c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>
      <c r="A533" s="9">
        <v>404.0</v>
      </c>
      <c r="B533" s="9">
        <v>831.0</v>
      </c>
      <c r="C533" s="9">
        <v>10.0</v>
      </c>
      <c r="D533" s="9">
        <v>10125.0</v>
      </c>
      <c r="E533" s="9">
        <v>1.479432225E9</v>
      </c>
      <c r="F533" s="8"/>
      <c r="G533" s="9">
        <v>0.0</v>
      </c>
      <c r="H533" s="9">
        <v>0.0</v>
      </c>
      <c r="I533" s="9" t="s">
        <v>61</v>
      </c>
      <c r="J533" s="9">
        <v>0.0</v>
      </c>
      <c r="K533" s="9">
        <v>0.0</v>
      </c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>
      <c r="A534" s="9">
        <v>404.0</v>
      </c>
      <c r="B534" s="9">
        <v>832.0</v>
      </c>
      <c r="C534" s="9">
        <v>10.0</v>
      </c>
      <c r="D534" s="9">
        <v>10125.0</v>
      </c>
      <c r="E534" s="9">
        <v>1.479432237E9</v>
      </c>
      <c r="F534" s="8"/>
      <c r="G534" s="9">
        <v>0.0</v>
      </c>
      <c r="H534" s="9">
        <v>0.0</v>
      </c>
      <c r="I534" s="9" t="s">
        <v>61</v>
      </c>
      <c r="J534" s="9">
        <v>0.0</v>
      </c>
      <c r="K534" s="9">
        <v>0.0</v>
      </c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>
      <c r="A535" s="9">
        <v>404.0</v>
      </c>
      <c r="B535" s="9">
        <v>833.0</v>
      </c>
      <c r="C535" s="9">
        <v>10.0</v>
      </c>
      <c r="D535" s="9">
        <v>10125.0</v>
      </c>
      <c r="E535" s="9">
        <v>1.479432539E9</v>
      </c>
      <c r="F535" s="8"/>
      <c r="G535" s="9">
        <v>0.0</v>
      </c>
      <c r="H535" s="9">
        <v>0.0</v>
      </c>
      <c r="I535" s="9" t="s">
        <v>61</v>
      </c>
      <c r="J535" s="9">
        <v>0.0</v>
      </c>
      <c r="K535" s="9">
        <v>0.0</v>
      </c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>
      <c r="A536" s="9">
        <v>404.0</v>
      </c>
      <c r="B536" s="9">
        <v>834.0</v>
      </c>
      <c r="C536" s="9">
        <v>10.0</v>
      </c>
      <c r="D536" s="9">
        <v>10125.0</v>
      </c>
      <c r="E536" s="9">
        <v>1.479432713E9</v>
      </c>
      <c r="F536" s="8"/>
      <c r="G536" s="9">
        <v>0.0</v>
      </c>
      <c r="H536" s="9">
        <v>0.0</v>
      </c>
      <c r="I536" s="9" t="s">
        <v>61</v>
      </c>
      <c r="J536" s="9">
        <v>0.0</v>
      </c>
      <c r="K536" s="9">
        <v>0.0</v>
      </c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>
      <c r="A537" s="9">
        <v>404.0</v>
      </c>
      <c r="B537" s="9">
        <v>835.0</v>
      </c>
      <c r="C537" s="9">
        <v>10.0</v>
      </c>
      <c r="D537" s="9">
        <v>10125.0</v>
      </c>
      <c r="E537" s="9">
        <v>1.479435495E9</v>
      </c>
      <c r="F537" s="8"/>
      <c r="G537" s="9">
        <v>0.0</v>
      </c>
      <c r="H537" s="9">
        <v>0.0</v>
      </c>
      <c r="I537" s="9" t="s">
        <v>61</v>
      </c>
      <c r="J537" s="9">
        <v>0.0</v>
      </c>
      <c r="K537" s="9">
        <v>0.0</v>
      </c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>
      <c r="A538" s="9">
        <v>404.0</v>
      </c>
      <c r="B538" s="9">
        <v>836.0</v>
      </c>
      <c r="C538" s="9">
        <v>10.0</v>
      </c>
      <c r="D538" s="9">
        <v>10125.0</v>
      </c>
      <c r="E538" s="9">
        <v>1.479438451E9</v>
      </c>
      <c r="F538" s="8"/>
      <c r="G538" s="9">
        <v>0.0</v>
      </c>
      <c r="H538" s="9">
        <v>0.0</v>
      </c>
      <c r="I538" s="9" t="s">
        <v>61</v>
      </c>
      <c r="J538" s="9">
        <v>0.0</v>
      </c>
      <c r="K538" s="9">
        <v>0.0</v>
      </c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>
      <c r="A539" s="9">
        <v>404.0</v>
      </c>
      <c r="B539" s="9">
        <v>309.0</v>
      </c>
      <c r="C539" s="9">
        <v>10.0</v>
      </c>
      <c r="D539" s="9">
        <v>10126.0</v>
      </c>
      <c r="E539" s="9">
        <v>1.478908741E9</v>
      </c>
      <c r="F539" s="8"/>
      <c r="G539" s="9">
        <v>0.0</v>
      </c>
      <c r="H539" s="9">
        <v>1.478909087E9</v>
      </c>
      <c r="I539" s="9">
        <v>0.0</v>
      </c>
      <c r="J539" s="9">
        <v>0.0</v>
      </c>
      <c r="K539" s="9">
        <v>0.0</v>
      </c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>
      <c r="A540" s="9">
        <v>404.0</v>
      </c>
      <c r="B540" s="9">
        <v>454.0</v>
      </c>
      <c r="C540" s="9">
        <v>10.0</v>
      </c>
      <c r="D540" s="9">
        <v>10126.0</v>
      </c>
      <c r="E540" s="9">
        <v>1.478910485E9</v>
      </c>
      <c r="F540" s="8"/>
      <c r="G540" s="9">
        <v>0.0</v>
      </c>
      <c r="H540" s="9">
        <v>0.0</v>
      </c>
      <c r="I540" s="9" t="s">
        <v>61</v>
      </c>
      <c r="J540" s="9">
        <v>0.0</v>
      </c>
      <c r="K540" s="9">
        <v>0.0</v>
      </c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>
      <c r="A541" s="9">
        <v>404.0</v>
      </c>
      <c r="B541" s="9">
        <v>469.0</v>
      </c>
      <c r="C541" s="9">
        <v>10.0</v>
      </c>
      <c r="D541" s="9">
        <v>10126.0</v>
      </c>
      <c r="E541" s="9">
        <v>1.478910755E9</v>
      </c>
      <c r="F541" s="8"/>
      <c r="G541" s="9">
        <v>0.0</v>
      </c>
      <c r="H541" s="9">
        <v>0.0</v>
      </c>
      <c r="I541" s="9" t="s">
        <v>61</v>
      </c>
      <c r="J541" s="9">
        <v>0.0</v>
      </c>
      <c r="K541" s="9">
        <v>0.0</v>
      </c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>
      <c r="A542" s="9">
        <v>404.0</v>
      </c>
      <c r="B542" s="9">
        <v>758.0</v>
      </c>
      <c r="C542" s="9">
        <v>10.0</v>
      </c>
      <c r="D542" s="9">
        <v>10126.0</v>
      </c>
      <c r="E542" s="9">
        <v>1.479143792E9</v>
      </c>
      <c r="F542" s="8"/>
      <c r="G542" s="9">
        <v>0.0</v>
      </c>
      <c r="H542" s="9">
        <v>0.0</v>
      </c>
      <c r="I542" s="9" t="s">
        <v>61</v>
      </c>
      <c r="J542" s="9">
        <v>0.0</v>
      </c>
      <c r="K542" s="9">
        <v>0.0</v>
      </c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>
      <c r="A543" s="9">
        <v>404.0</v>
      </c>
      <c r="B543" s="9">
        <v>759.0</v>
      </c>
      <c r="C543" s="9">
        <v>10.0</v>
      </c>
      <c r="D543" s="9">
        <v>10126.0</v>
      </c>
      <c r="E543" s="9">
        <v>1.479144376E9</v>
      </c>
      <c r="F543" s="8"/>
      <c r="G543" s="9">
        <v>0.0</v>
      </c>
      <c r="H543" s="9">
        <v>0.0</v>
      </c>
      <c r="I543" s="9" t="s">
        <v>61</v>
      </c>
      <c r="J543" s="9">
        <v>0.0</v>
      </c>
      <c r="K543" s="9">
        <v>0.0</v>
      </c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>
      <c r="A544" s="9">
        <v>404.0</v>
      </c>
      <c r="B544" s="9">
        <v>760.0</v>
      </c>
      <c r="C544" s="9">
        <v>10.0</v>
      </c>
      <c r="D544" s="9">
        <v>10126.0</v>
      </c>
      <c r="E544" s="9">
        <v>1.479145496E9</v>
      </c>
      <c r="F544" s="8"/>
      <c r="G544" s="9">
        <v>0.0</v>
      </c>
      <c r="H544" s="9">
        <v>1.47914629E9</v>
      </c>
      <c r="I544" s="9">
        <v>0.0</v>
      </c>
      <c r="J544" s="9">
        <v>0.0</v>
      </c>
      <c r="K544" s="9">
        <v>0.0</v>
      </c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>
      <c r="A545" s="9">
        <v>404.0</v>
      </c>
      <c r="B545" s="9">
        <v>371.0</v>
      </c>
      <c r="C545" s="9">
        <v>10.0</v>
      </c>
      <c r="D545" s="9">
        <v>10127.0</v>
      </c>
      <c r="E545" s="9">
        <v>1.478909369E9</v>
      </c>
      <c r="F545" s="8"/>
      <c r="G545" s="9">
        <v>0.0</v>
      </c>
      <c r="H545" s="9">
        <v>0.0</v>
      </c>
      <c r="I545" s="9" t="s">
        <v>61</v>
      </c>
      <c r="J545" s="9">
        <v>0.0</v>
      </c>
      <c r="K545" s="9">
        <v>0.0</v>
      </c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>
      <c r="A546" s="9">
        <v>404.0</v>
      </c>
      <c r="B546" s="9">
        <v>387.0</v>
      </c>
      <c r="C546" s="9">
        <v>10.0</v>
      </c>
      <c r="D546" s="9">
        <v>10127.0</v>
      </c>
      <c r="E546" s="9">
        <v>1.478909544E9</v>
      </c>
      <c r="F546" s="8"/>
      <c r="G546" s="9">
        <v>0.0</v>
      </c>
      <c r="H546" s="9">
        <v>0.0</v>
      </c>
      <c r="I546" s="9" t="s">
        <v>61</v>
      </c>
      <c r="J546" s="9">
        <v>0.0</v>
      </c>
      <c r="K546" s="9">
        <v>0.0</v>
      </c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>
      <c r="A547" s="9">
        <v>404.0</v>
      </c>
      <c r="B547" s="9">
        <v>417.0</v>
      </c>
      <c r="C547" s="9">
        <v>10.0</v>
      </c>
      <c r="D547" s="9">
        <v>10127.0</v>
      </c>
      <c r="E547" s="9">
        <v>1.478909928E9</v>
      </c>
      <c r="F547" s="8"/>
      <c r="G547" s="9">
        <v>0.0</v>
      </c>
      <c r="H547" s="9">
        <v>0.0</v>
      </c>
      <c r="I547" s="9" t="s">
        <v>61</v>
      </c>
      <c r="J547" s="9">
        <v>0.0</v>
      </c>
      <c r="K547" s="9">
        <v>0.0</v>
      </c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>
      <c r="A548" s="9">
        <v>404.0</v>
      </c>
      <c r="B548" s="9">
        <v>446.0</v>
      </c>
      <c r="C548" s="9">
        <v>10.0</v>
      </c>
      <c r="D548" s="9">
        <v>10127.0</v>
      </c>
      <c r="E548" s="9">
        <v>1.47891036E9</v>
      </c>
      <c r="F548" s="8"/>
      <c r="G548" s="9">
        <v>0.0</v>
      </c>
      <c r="H548" s="9">
        <v>1.478911615E9</v>
      </c>
      <c r="I548" s="9">
        <v>0.0</v>
      </c>
      <c r="J548" s="9">
        <v>0.0</v>
      </c>
      <c r="K548" s="9">
        <v>0.0</v>
      </c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>
      <c r="A549" s="9">
        <v>404.0</v>
      </c>
      <c r="B549" s="9">
        <v>243.0</v>
      </c>
      <c r="C549" s="9">
        <v>10.0</v>
      </c>
      <c r="D549" s="9">
        <v>10128.0</v>
      </c>
      <c r="E549" s="9">
        <v>1.478908262E9</v>
      </c>
      <c r="F549" s="8"/>
      <c r="G549" s="9">
        <v>0.0</v>
      </c>
      <c r="H549" s="9">
        <v>1.478909464E9</v>
      </c>
      <c r="I549" s="9">
        <v>0.0</v>
      </c>
      <c r="J549" s="9">
        <v>0.0</v>
      </c>
      <c r="K549" s="9">
        <v>0.0</v>
      </c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>
      <c r="A550" s="9">
        <v>404.0</v>
      </c>
      <c r="B550" s="9">
        <v>358.0</v>
      </c>
      <c r="C550" s="9">
        <v>10.0</v>
      </c>
      <c r="D550" s="9">
        <v>10129.0</v>
      </c>
      <c r="E550" s="9">
        <v>1.478909218E9</v>
      </c>
      <c r="F550" s="8"/>
      <c r="G550" s="9">
        <v>0.0</v>
      </c>
      <c r="H550" s="9">
        <v>0.0</v>
      </c>
      <c r="I550" s="9" t="s">
        <v>61</v>
      </c>
      <c r="J550" s="9">
        <v>0.0</v>
      </c>
      <c r="K550" s="9">
        <v>0.0</v>
      </c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>
      <c r="A551" s="9">
        <v>404.0</v>
      </c>
      <c r="B551" s="9">
        <v>796.0</v>
      </c>
      <c r="C551" s="9">
        <v>10.0</v>
      </c>
      <c r="D551" s="9">
        <v>10129.0</v>
      </c>
      <c r="E551" s="9">
        <v>1.479347355E9</v>
      </c>
      <c r="F551" s="8"/>
      <c r="G551" s="9">
        <v>0.0</v>
      </c>
      <c r="H551" s="9">
        <v>1.479347442E9</v>
      </c>
      <c r="I551" s="9">
        <v>0.0</v>
      </c>
      <c r="J551" s="9">
        <v>0.0</v>
      </c>
      <c r="K551" s="9">
        <v>0.0</v>
      </c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>
      <c r="A552" s="9">
        <v>404.0</v>
      </c>
      <c r="B552" s="9">
        <v>792.0</v>
      </c>
      <c r="C552" s="9">
        <v>10.0</v>
      </c>
      <c r="D552" s="9">
        <v>10130.0</v>
      </c>
      <c r="E552" s="9">
        <v>1.479343486E9</v>
      </c>
      <c r="F552" s="8"/>
      <c r="G552" s="9">
        <v>0.0</v>
      </c>
      <c r="H552" s="9">
        <v>1.479347791E9</v>
      </c>
      <c r="I552" s="9">
        <v>0.0</v>
      </c>
      <c r="J552" s="9">
        <v>0.0</v>
      </c>
      <c r="K552" s="9">
        <v>0.0</v>
      </c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>
      <c r="A553" s="9">
        <v>404.0</v>
      </c>
      <c r="B553" s="9">
        <v>782.0</v>
      </c>
      <c r="C553" s="9">
        <v>10.0</v>
      </c>
      <c r="D553" s="9">
        <v>10132.0</v>
      </c>
      <c r="E553" s="9">
        <v>1.479248688E9</v>
      </c>
      <c r="F553" s="8"/>
      <c r="G553" s="9">
        <v>0.0</v>
      </c>
      <c r="H553" s="9">
        <v>1.479248941E9</v>
      </c>
      <c r="I553" s="9">
        <v>0.0</v>
      </c>
      <c r="J553" s="9">
        <v>0.0</v>
      </c>
      <c r="K553" s="9">
        <v>0.0</v>
      </c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>
      <c r="A554" s="9">
        <v>404.0</v>
      </c>
      <c r="B554" s="9">
        <v>374.0</v>
      </c>
      <c r="C554" s="9">
        <v>10.0</v>
      </c>
      <c r="D554" s="9">
        <v>10134.0</v>
      </c>
      <c r="E554" s="9">
        <v>1.478909418E9</v>
      </c>
      <c r="F554" s="8"/>
      <c r="G554" s="9">
        <v>0.0</v>
      </c>
      <c r="H554" s="9">
        <v>1.478909636E9</v>
      </c>
      <c r="I554" s="9">
        <v>0.0</v>
      </c>
      <c r="J554" s="9">
        <v>0.0</v>
      </c>
      <c r="K554" s="9">
        <v>0.0</v>
      </c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>
      <c r="A555" s="9">
        <v>404.0</v>
      </c>
      <c r="B555" s="9">
        <v>340.0</v>
      </c>
      <c r="C555" s="9">
        <v>10.0</v>
      </c>
      <c r="D555" s="9">
        <v>10136.0</v>
      </c>
      <c r="E555" s="9">
        <v>1.478909037E9</v>
      </c>
      <c r="F555" s="8"/>
      <c r="G555" s="9">
        <v>0.0</v>
      </c>
      <c r="H555" s="9">
        <v>1.478909199E9</v>
      </c>
      <c r="I555" s="9">
        <v>0.0</v>
      </c>
      <c r="J555" s="9">
        <v>0.0</v>
      </c>
      <c r="K555" s="9">
        <v>0.0</v>
      </c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>
      <c r="A556" s="9">
        <v>404.0</v>
      </c>
      <c r="B556" s="9">
        <v>473.0</v>
      </c>
      <c r="C556" s="9">
        <v>10.0</v>
      </c>
      <c r="D556" s="9">
        <v>10137.0</v>
      </c>
      <c r="E556" s="9">
        <v>1.478910908E9</v>
      </c>
      <c r="F556" s="8"/>
      <c r="G556" s="9">
        <v>0.0</v>
      </c>
      <c r="H556" s="9">
        <v>1.478910919E9</v>
      </c>
      <c r="I556" s="9">
        <v>0.0</v>
      </c>
      <c r="J556" s="9">
        <v>0.0</v>
      </c>
      <c r="K556" s="9">
        <v>0.0</v>
      </c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>
      <c r="A557" s="9">
        <v>404.0</v>
      </c>
      <c r="B557" s="9">
        <v>463.0</v>
      </c>
      <c r="C557" s="9">
        <v>10.0</v>
      </c>
      <c r="D557" s="9">
        <v>10138.0</v>
      </c>
      <c r="E557" s="9">
        <v>1.47891069E9</v>
      </c>
      <c r="F557" s="8"/>
      <c r="G557" s="9">
        <v>0.0</v>
      </c>
      <c r="H557" s="9">
        <v>1.478910797E9</v>
      </c>
      <c r="I557" s="9">
        <v>0.0</v>
      </c>
      <c r="J557" s="9">
        <v>0.0</v>
      </c>
      <c r="K557" s="9">
        <v>0.0</v>
      </c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>
      <c r="A558" s="9">
        <v>404.0</v>
      </c>
      <c r="B558" s="9">
        <v>795.0</v>
      </c>
      <c r="C558" s="9">
        <v>10.0</v>
      </c>
      <c r="D558" s="9">
        <v>10138.0</v>
      </c>
      <c r="E558" s="9">
        <v>1.479346711E9</v>
      </c>
      <c r="F558" s="8"/>
      <c r="G558" s="9">
        <v>0.0</v>
      </c>
      <c r="H558" s="9">
        <v>1.479347927E9</v>
      </c>
      <c r="I558" s="9">
        <v>0.0</v>
      </c>
      <c r="J558" s="9">
        <v>0.0</v>
      </c>
      <c r="K558" s="9">
        <v>0.0</v>
      </c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>
      <c r="A559" s="9">
        <v>404.0</v>
      </c>
      <c r="B559" s="9">
        <v>475.0</v>
      </c>
      <c r="C559" s="9">
        <v>10.0</v>
      </c>
      <c r="D559" s="9">
        <v>10140.0</v>
      </c>
      <c r="E559" s="9">
        <v>1.478910931E9</v>
      </c>
      <c r="F559" s="8"/>
      <c r="G559" s="9">
        <v>0.0</v>
      </c>
      <c r="H559" s="9">
        <v>1.478910946E9</v>
      </c>
      <c r="I559" s="9">
        <v>0.0</v>
      </c>
      <c r="J559" s="9">
        <v>0.0</v>
      </c>
      <c r="K559" s="9">
        <v>0.0</v>
      </c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>
      <c r="A560" s="9">
        <v>404.0</v>
      </c>
      <c r="B560" s="9">
        <v>483.0</v>
      </c>
      <c r="C560" s="9">
        <v>10.0</v>
      </c>
      <c r="D560" s="9">
        <v>10141.0</v>
      </c>
      <c r="E560" s="9">
        <v>1.478911137E9</v>
      </c>
      <c r="F560" s="8"/>
      <c r="G560" s="9">
        <v>0.0</v>
      </c>
      <c r="H560" s="9">
        <v>1.478911151E9</v>
      </c>
      <c r="I560" s="9">
        <v>0.0</v>
      </c>
      <c r="J560" s="9">
        <v>0.0</v>
      </c>
      <c r="K560" s="9">
        <v>0.0</v>
      </c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>
      <c r="A561" s="9">
        <v>404.0</v>
      </c>
      <c r="B561" s="9">
        <v>798.0</v>
      </c>
      <c r="C561" s="9">
        <v>10.0</v>
      </c>
      <c r="D561" s="9">
        <v>10142.0</v>
      </c>
      <c r="E561" s="9">
        <v>1.479348145E9</v>
      </c>
      <c r="F561" s="8"/>
      <c r="G561" s="9">
        <v>0.0</v>
      </c>
      <c r="H561" s="9">
        <v>1.479348176E9</v>
      </c>
      <c r="I561" s="9">
        <v>0.0</v>
      </c>
      <c r="J561" s="9">
        <v>0.0</v>
      </c>
      <c r="K561" s="9">
        <v>0.0</v>
      </c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>
      <c r="A562" s="9">
        <v>404.0</v>
      </c>
      <c r="B562" s="9">
        <v>489.0</v>
      </c>
      <c r="C562" s="9">
        <v>10.0</v>
      </c>
      <c r="D562" s="9">
        <v>10144.0</v>
      </c>
      <c r="E562" s="9">
        <v>1.478911475E9</v>
      </c>
      <c r="F562" s="8"/>
      <c r="G562" s="9">
        <v>0.0</v>
      </c>
      <c r="H562" s="9">
        <v>1.478911504E9</v>
      </c>
      <c r="I562" s="9">
        <v>0.0</v>
      </c>
      <c r="J562" s="9">
        <v>0.0</v>
      </c>
      <c r="K562" s="9">
        <v>0.0</v>
      </c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>
      <c r="A563" s="9">
        <v>404.0</v>
      </c>
      <c r="B563" s="9">
        <v>592.0</v>
      </c>
      <c r="C563" s="9">
        <v>10.0</v>
      </c>
      <c r="D563" s="9">
        <v>10144.0</v>
      </c>
      <c r="E563" s="9">
        <v>1.478966634E9</v>
      </c>
      <c r="F563" s="8"/>
      <c r="G563" s="9">
        <v>0.0</v>
      </c>
      <c r="H563" s="9">
        <v>0.0</v>
      </c>
      <c r="I563" s="9" t="s">
        <v>61</v>
      </c>
      <c r="J563" s="9">
        <v>0.0</v>
      </c>
      <c r="K563" s="9">
        <v>0.0</v>
      </c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>
      <c r="A564" s="9">
        <v>404.0</v>
      </c>
      <c r="B564" s="9">
        <v>594.0</v>
      </c>
      <c r="C564" s="9">
        <v>10.0</v>
      </c>
      <c r="D564" s="9">
        <v>10144.0</v>
      </c>
      <c r="E564" s="9">
        <v>1.478967151E9</v>
      </c>
      <c r="F564" s="8"/>
      <c r="G564" s="9">
        <v>0.0</v>
      </c>
      <c r="H564" s="9">
        <v>1.478967204E9</v>
      </c>
      <c r="I564" s="9">
        <v>5.0</v>
      </c>
      <c r="J564" s="9">
        <v>0.0</v>
      </c>
      <c r="K564" s="9">
        <v>0.0</v>
      </c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>
      <c r="A565" s="9">
        <v>404.0</v>
      </c>
      <c r="B565" s="9">
        <v>595.0</v>
      </c>
      <c r="C565" s="9">
        <v>10.0</v>
      </c>
      <c r="D565" s="9">
        <v>10144.0</v>
      </c>
      <c r="E565" s="9">
        <v>1.478967372E9</v>
      </c>
      <c r="F565" s="8"/>
      <c r="G565" s="9">
        <v>0.0</v>
      </c>
      <c r="H565" s="9">
        <v>1.478967379E9</v>
      </c>
      <c r="I565" s="9">
        <v>7.0</v>
      </c>
      <c r="J565" s="9">
        <v>0.0</v>
      </c>
      <c r="K565" s="9">
        <v>0.0</v>
      </c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>
      <c r="A566" s="9">
        <v>404.0</v>
      </c>
      <c r="B566" s="9">
        <v>596.0</v>
      </c>
      <c r="C566" s="9">
        <v>10.0</v>
      </c>
      <c r="D566" s="9">
        <v>10144.0</v>
      </c>
      <c r="E566" s="9">
        <v>1.478967625E9</v>
      </c>
      <c r="F566" s="8"/>
      <c r="G566" s="9">
        <v>0.0</v>
      </c>
      <c r="H566" s="9">
        <v>1.478967629E9</v>
      </c>
      <c r="I566" s="9">
        <v>7.0</v>
      </c>
      <c r="J566" s="9">
        <v>0.0</v>
      </c>
      <c r="K566" s="9">
        <v>0.0</v>
      </c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>
      <c r="A567" s="9">
        <v>404.0</v>
      </c>
      <c r="B567" s="9">
        <v>597.0</v>
      </c>
      <c r="C567" s="9">
        <v>10.0</v>
      </c>
      <c r="D567" s="9">
        <v>10144.0</v>
      </c>
      <c r="E567" s="9">
        <v>1.478967838E9</v>
      </c>
      <c r="F567" s="8"/>
      <c r="G567" s="9">
        <v>0.0</v>
      </c>
      <c r="H567" s="9">
        <v>0.0</v>
      </c>
      <c r="I567" s="9" t="s">
        <v>61</v>
      </c>
      <c r="J567" s="9">
        <v>0.0</v>
      </c>
      <c r="K567" s="9">
        <v>0.0</v>
      </c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>
      <c r="A568" s="9">
        <v>404.0</v>
      </c>
      <c r="B568" s="9">
        <v>598.0</v>
      </c>
      <c r="C568" s="9">
        <v>10.0</v>
      </c>
      <c r="D568" s="9">
        <v>10144.0</v>
      </c>
      <c r="E568" s="9">
        <v>1.478967994E9</v>
      </c>
      <c r="F568" s="8"/>
      <c r="G568" s="9">
        <v>0.0</v>
      </c>
      <c r="H568" s="9">
        <v>1.478968146E9</v>
      </c>
      <c r="I568" s="9">
        <v>0.0</v>
      </c>
      <c r="J568" s="9">
        <v>0.0</v>
      </c>
      <c r="K568" s="9">
        <v>0.0</v>
      </c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>
      <c r="A569" s="9">
        <v>404.0</v>
      </c>
      <c r="B569" s="9">
        <v>599.0</v>
      </c>
      <c r="C569" s="9">
        <v>10.0</v>
      </c>
      <c r="D569" s="9">
        <v>10144.0</v>
      </c>
      <c r="E569" s="9">
        <v>1.478968267E9</v>
      </c>
      <c r="F569" s="8"/>
      <c r="G569" s="9">
        <v>0.0</v>
      </c>
      <c r="H569" s="9">
        <v>1.478968306E9</v>
      </c>
      <c r="I569" s="9">
        <v>10.0</v>
      </c>
      <c r="J569" s="9">
        <v>0.0</v>
      </c>
      <c r="K569" s="9">
        <v>0.0</v>
      </c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>
      <c r="A570" s="9">
        <v>404.0</v>
      </c>
      <c r="B570" s="9">
        <v>311.0</v>
      </c>
      <c r="C570" s="9">
        <v>10.0</v>
      </c>
      <c r="D570" s="9">
        <v>10145.0</v>
      </c>
      <c r="E570" s="9">
        <v>1.478908762E9</v>
      </c>
      <c r="F570" s="8"/>
      <c r="G570" s="9">
        <v>0.0</v>
      </c>
      <c r="H570" s="9">
        <v>0.0</v>
      </c>
      <c r="I570" s="9" t="s">
        <v>61</v>
      </c>
      <c r="J570" s="9">
        <v>0.0</v>
      </c>
      <c r="K570" s="9">
        <v>0.0</v>
      </c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>
      <c r="A571" s="9">
        <v>404.0</v>
      </c>
      <c r="B571" s="9">
        <v>329.0</v>
      </c>
      <c r="C571" s="9">
        <v>10.0</v>
      </c>
      <c r="D571" s="9">
        <v>10145.0</v>
      </c>
      <c r="E571" s="9">
        <v>1.478908915E9</v>
      </c>
      <c r="F571" s="8"/>
      <c r="G571" s="9">
        <v>0.0</v>
      </c>
      <c r="H571" s="9">
        <v>1.478908922E9</v>
      </c>
      <c r="I571" s="9">
        <v>0.0</v>
      </c>
      <c r="J571" s="9">
        <v>0.0</v>
      </c>
      <c r="K571" s="9">
        <v>0.0</v>
      </c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>
      <c r="A572" s="9">
        <v>404.0</v>
      </c>
      <c r="B572" s="9">
        <v>338.0</v>
      </c>
      <c r="C572" s="9">
        <v>10.0</v>
      </c>
      <c r="D572" s="9">
        <v>10145.0</v>
      </c>
      <c r="E572" s="9">
        <v>1.478909014E9</v>
      </c>
      <c r="F572" s="8"/>
      <c r="G572" s="9">
        <v>0.0</v>
      </c>
      <c r="H572" s="9">
        <v>1.478909028E9</v>
      </c>
      <c r="I572" s="9">
        <v>0.0</v>
      </c>
      <c r="J572" s="9">
        <v>0.0</v>
      </c>
      <c r="K572" s="9">
        <v>0.0</v>
      </c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>
      <c r="A573" s="9">
        <v>404.0</v>
      </c>
      <c r="B573" s="9">
        <v>342.0</v>
      </c>
      <c r="C573" s="9">
        <v>10.0</v>
      </c>
      <c r="D573" s="9">
        <v>10145.0</v>
      </c>
      <c r="E573" s="9">
        <v>1.478909044E9</v>
      </c>
      <c r="F573" s="8"/>
      <c r="G573" s="9">
        <v>0.0</v>
      </c>
      <c r="H573" s="9">
        <v>1.478909057E9</v>
      </c>
      <c r="I573" s="9">
        <v>0.0</v>
      </c>
      <c r="J573" s="9">
        <v>0.0</v>
      </c>
      <c r="K573" s="9">
        <v>0.0</v>
      </c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>
      <c r="A574" s="9">
        <v>404.0</v>
      </c>
      <c r="B574" s="9">
        <v>350.0</v>
      </c>
      <c r="C574" s="9">
        <v>10.0</v>
      </c>
      <c r="D574" s="9">
        <v>10145.0</v>
      </c>
      <c r="E574" s="9">
        <v>1.478909131E9</v>
      </c>
      <c r="F574" s="8"/>
      <c r="G574" s="9">
        <v>0.0</v>
      </c>
      <c r="H574" s="9">
        <v>0.0</v>
      </c>
      <c r="I574" s="9" t="s">
        <v>61</v>
      </c>
      <c r="J574" s="9">
        <v>0.0</v>
      </c>
      <c r="K574" s="9">
        <v>0.0</v>
      </c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>
      <c r="A575" s="9">
        <v>404.0</v>
      </c>
      <c r="B575" s="9">
        <v>360.0</v>
      </c>
      <c r="C575" s="9">
        <v>10.0</v>
      </c>
      <c r="D575" s="9">
        <v>10145.0</v>
      </c>
      <c r="E575" s="9">
        <v>1.478909247E9</v>
      </c>
      <c r="F575" s="8"/>
      <c r="G575" s="9">
        <v>0.0</v>
      </c>
      <c r="H575" s="9">
        <v>0.0</v>
      </c>
      <c r="I575" s="9" t="s">
        <v>61</v>
      </c>
      <c r="J575" s="9">
        <v>0.0</v>
      </c>
      <c r="K575" s="9">
        <v>0.0</v>
      </c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>
      <c r="A576" s="9">
        <v>404.0</v>
      </c>
      <c r="B576" s="9">
        <v>368.0</v>
      </c>
      <c r="C576" s="9">
        <v>10.0</v>
      </c>
      <c r="D576" s="9">
        <v>10145.0</v>
      </c>
      <c r="E576" s="9">
        <v>1.478909335E9</v>
      </c>
      <c r="F576" s="8"/>
      <c r="G576" s="9">
        <v>0.0</v>
      </c>
      <c r="H576" s="9">
        <v>0.0</v>
      </c>
      <c r="I576" s="9" t="s">
        <v>61</v>
      </c>
      <c r="J576" s="9">
        <v>0.0</v>
      </c>
      <c r="K576" s="9">
        <v>0.0</v>
      </c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>
      <c r="A577" s="9">
        <v>404.0</v>
      </c>
      <c r="B577" s="9">
        <v>381.0</v>
      </c>
      <c r="C577" s="9">
        <v>10.0</v>
      </c>
      <c r="D577" s="9">
        <v>10145.0</v>
      </c>
      <c r="E577" s="9">
        <v>1.478909475E9</v>
      </c>
      <c r="F577" s="8"/>
      <c r="G577" s="9">
        <v>0.0</v>
      </c>
      <c r="H577" s="9">
        <v>1.478917318E9</v>
      </c>
      <c r="I577" s="9">
        <v>0.0</v>
      </c>
      <c r="J577" s="9">
        <v>0.0</v>
      </c>
      <c r="K577" s="9">
        <v>0.0</v>
      </c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>
      <c r="A578" s="9">
        <v>404.0</v>
      </c>
      <c r="B578" s="9">
        <v>531.0</v>
      </c>
      <c r="C578" s="9">
        <v>10.0</v>
      </c>
      <c r="D578" s="9">
        <v>10145.0</v>
      </c>
      <c r="E578" s="9">
        <v>1.478917878E9</v>
      </c>
      <c r="F578" s="8"/>
      <c r="G578" s="9">
        <v>0.0</v>
      </c>
      <c r="H578" s="9">
        <v>0.0</v>
      </c>
      <c r="I578" s="9" t="s">
        <v>61</v>
      </c>
      <c r="J578" s="9">
        <v>0.0</v>
      </c>
      <c r="K578" s="9">
        <v>0.0</v>
      </c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>
      <c r="A579" s="9">
        <v>404.0</v>
      </c>
      <c r="B579" s="9">
        <v>533.0</v>
      </c>
      <c r="C579" s="9">
        <v>10.0</v>
      </c>
      <c r="D579" s="9">
        <v>10145.0</v>
      </c>
      <c r="E579" s="9">
        <v>1.478917912E9</v>
      </c>
      <c r="F579" s="8"/>
      <c r="G579" s="9">
        <v>0.0</v>
      </c>
      <c r="H579" s="9">
        <v>1.478917918E9</v>
      </c>
      <c r="I579" s="9">
        <v>10.0</v>
      </c>
      <c r="J579" s="9">
        <v>0.0</v>
      </c>
      <c r="K579" s="9">
        <v>0.0</v>
      </c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>
      <c r="A580" s="9">
        <v>404.0</v>
      </c>
      <c r="B580" s="9">
        <v>266.0</v>
      </c>
      <c r="C580" s="9">
        <v>10.0</v>
      </c>
      <c r="D580" s="9">
        <v>10146.0</v>
      </c>
      <c r="E580" s="9">
        <v>1.47890842E9</v>
      </c>
      <c r="F580" s="8"/>
      <c r="G580" s="9">
        <v>0.0</v>
      </c>
      <c r="H580" s="9">
        <v>0.0</v>
      </c>
      <c r="I580" s="9" t="s">
        <v>61</v>
      </c>
      <c r="J580" s="9">
        <v>0.0</v>
      </c>
      <c r="K580" s="9">
        <v>0.0</v>
      </c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>
      <c r="A581" s="9">
        <v>404.0</v>
      </c>
      <c r="B581" s="9">
        <v>751.0</v>
      </c>
      <c r="C581" s="9">
        <v>10.0</v>
      </c>
      <c r="D581" s="9">
        <v>10146.0</v>
      </c>
      <c r="E581" s="9">
        <v>1.479091106E9</v>
      </c>
      <c r="F581" s="8"/>
      <c r="G581" s="9">
        <v>0.0</v>
      </c>
      <c r="H581" s="9">
        <v>0.0</v>
      </c>
      <c r="I581" s="9" t="s">
        <v>61</v>
      </c>
      <c r="J581" s="9">
        <v>0.0</v>
      </c>
      <c r="K581" s="9">
        <v>0.0</v>
      </c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>
      <c r="A582" s="9">
        <v>404.0</v>
      </c>
      <c r="B582" s="9">
        <v>752.0</v>
      </c>
      <c r="C582" s="9">
        <v>10.0</v>
      </c>
      <c r="D582" s="9">
        <v>10146.0</v>
      </c>
      <c r="E582" s="9">
        <v>1.479091211E9</v>
      </c>
      <c r="F582" s="8"/>
      <c r="G582" s="9">
        <v>0.0</v>
      </c>
      <c r="H582" s="9">
        <v>0.0</v>
      </c>
      <c r="I582" s="9" t="s">
        <v>61</v>
      </c>
      <c r="J582" s="9">
        <v>0.0</v>
      </c>
      <c r="K582" s="9">
        <v>0.0</v>
      </c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>
      <c r="A583" s="9">
        <v>404.0</v>
      </c>
      <c r="B583" s="9">
        <v>753.0</v>
      </c>
      <c r="C583" s="9">
        <v>10.0</v>
      </c>
      <c r="D583" s="9">
        <v>10146.0</v>
      </c>
      <c r="E583" s="9">
        <v>1.479091233E9</v>
      </c>
      <c r="F583" s="8"/>
      <c r="G583" s="9">
        <v>0.0</v>
      </c>
      <c r="H583" s="9">
        <v>0.0</v>
      </c>
      <c r="I583" s="9" t="s">
        <v>61</v>
      </c>
      <c r="J583" s="9">
        <v>0.0</v>
      </c>
      <c r="K583" s="9">
        <v>0.0</v>
      </c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>
      <c r="A584" s="9">
        <v>404.0</v>
      </c>
      <c r="B584" s="9">
        <v>754.0</v>
      </c>
      <c r="C584" s="9">
        <v>10.0</v>
      </c>
      <c r="D584" s="9">
        <v>10146.0</v>
      </c>
      <c r="E584" s="9">
        <v>1.47909146E9</v>
      </c>
      <c r="F584" s="8"/>
      <c r="G584" s="9">
        <v>0.0</v>
      </c>
      <c r="H584" s="9">
        <v>0.0</v>
      </c>
      <c r="I584" s="9" t="s">
        <v>61</v>
      </c>
      <c r="J584" s="9">
        <v>0.0</v>
      </c>
      <c r="K584" s="9">
        <v>0.0</v>
      </c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>
      <c r="A585" s="9">
        <v>404.0</v>
      </c>
      <c r="B585" s="9">
        <v>757.0</v>
      </c>
      <c r="C585" s="9">
        <v>10.0</v>
      </c>
      <c r="D585" s="9">
        <v>10146.0</v>
      </c>
      <c r="E585" s="9">
        <v>1.479091514E9</v>
      </c>
      <c r="F585" s="8"/>
      <c r="G585" s="9">
        <v>0.0</v>
      </c>
      <c r="H585" s="9">
        <v>0.0</v>
      </c>
      <c r="I585" s="9" t="s">
        <v>61</v>
      </c>
      <c r="J585" s="9">
        <v>0.0</v>
      </c>
      <c r="K585" s="9">
        <v>0.0</v>
      </c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>
      <c r="A586" s="9">
        <v>404.0</v>
      </c>
      <c r="B586" s="9">
        <v>783.0</v>
      </c>
      <c r="C586" s="9">
        <v>10.0</v>
      </c>
      <c r="D586" s="9">
        <v>10146.0</v>
      </c>
      <c r="E586" s="9">
        <v>1.479249025E9</v>
      </c>
      <c r="F586" s="8"/>
      <c r="G586" s="9">
        <v>0.0</v>
      </c>
      <c r="H586" s="9">
        <v>1.479249968E9</v>
      </c>
      <c r="I586" s="9">
        <v>0.0</v>
      </c>
      <c r="J586" s="9">
        <v>0.0</v>
      </c>
      <c r="K586" s="9">
        <v>0.0</v>
      </c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>
      <c r="A587" s="9">
        <v>404.0</v>
      </c>
      <c r="B587" s="9">
        <v>466.0</v>
      </c>
      <c r="C587" s="9">
        <v>10.0</v>
      </c>
      <c r="D587" s="9">
        <v>10148.0</v>
      </c>
      <c r="E587" s="9">
        <v>1.478910702E9</v>
      </c>
      <c r="F587" s="8"/>
      <c r="G587" s="9">
        <v>0.0</v>
      </c>
      <c r="H587" s="9">
        <v>0.0</v>
      </c>
      <c r="I587" s="9" t="s">
        <v>61</v>
      </c>
      <c r="J587" s="9">
        <v>0.0</v>
      </c>
      <c r="K587" s="9">
        <v>0.0</v>
      </c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>
      <c r="A588" s="9">
        <v>404.0</v>
      </c>
      <c r="B588" s="9">
        <v>472.0</v>
      </c>
      <c r="C588" s="9">
        <v>10.0</v>
      </c>
      <c r="D588" s="9">
        <v>10148.0</v>
      </c>
      <c r="E588" s="9">
        <v>1.478910879E9</v>
      </c>
      <c r="F588" s="8"/>
      <c r="G588" s="9">
        <v>0.0</v>
      </c>
      <c r="H588" s="9">
        <v>1.478910885E9</v>
      </c>
      <c r="I588" s="9">
        <v>0.0</v>
      </c>
      <c r="J588" s="9">
        <v>0.0</v>
      </c>
      <c r="K588" s="9">
        <v>0.0</v>
      </c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>
      <c r="A589" s="9">
        <v>404.0</v>
      </c>
      <c r="B589" s="9">
        <v>477.0</v>
      </c>
      <c r="C589" s="9">
        <v>10.0</v>
      </c>
      <c r="D589" s="9">
        <v>10148.0</v>
      </c>
      <c r="E589" s="9">
        <v>1.478910977E9</v>
      </c>
      <c r="F589" s="8"/>
      <c r="G589" s="9">
        <v>0.0</v>
      </c>
      <c r="H589" s="9">
        <v>1.478911038E9</v>
      </c>
      <c r="I589" s="9">
        <v>0.0</v>
      </c>
      <c r="J589" s="9">
        <v>0.0</v>
      </c>
      <c r="K589" s="9">
        <v>0.0</v>
      </c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>
      <c r="A590" s="9">
        <v>404.0</v>
      </c>
      <c r="B590" s="9">
        <v>485.0</v>
      </c>
      <c r="C590" s="9">
        <v>10.0</v>
      </c>
      <c r="D590" s="9">
        <v>10148.0</v>
      </c>
      <c r="E590" s="9">
        <v>1.478911181E9</v>
      </c>
      <c r="F590" s="8"/>
      <c r="G590" s="9">
        <v>0.0</v>
      </c>
      <c r="H590" s="9">
        <v>1.484615879E9</v>
      </c>
      <c r="I590" s="9">
        <v>0.0</v>
      </c>
      <c r="J590" s="9">
        <v>0.0</v>
      </c>
      <c r="K590" s="9">
        <v>0.0</v>
      </c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>
      <c r="A591" s="9">
        <v>404.0</v>
      </c>
      <c r="B591" s="9">
        <v>781.0</v>
      </c>
      <c r="C591" s="9">
        <v>10.0</v>
      </c>
      <c r="D591" s="9">
        <v>10149.0</v>
      </c>
      <c r="E591" s="9">
        <v>1.479248034E9</v>
      </c>
      <c r="F591" s="8"/>
      <c r="G591" s="9">
        <v>0.0</v>
      </c>
      <c r="H591" s="9">
        <v>1.479248862E9</v>
      </c>
      <c r="I591" s="9">
        <v>0.0</v>
      </c>
      <c r="J591" s="9">
        <v>0.0</v>
      </c>
      <c r="K591" s="9">
        <v>0.0</v>
      </c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>
      <c r="A592" s="9">
        <v>404.0</v>
      </c>
      <c r="B592" s="9">
        <v>355.0</v>
      </c>
      <c r="C592" s="9">
        <v>10.0</v>
      </c>
      <c r="D592" s="9">
        <v>10150.0</v>
      </c>
      <c r="E592" s="9">
        <v>1.478909172E9</v>
      </c>
      <c r="F592" s="8"/>
      <c r="G592" s="9">
        <v>0.0</v>
      </c>
      <c r="H592" s="9">
        <v>0.0</v>
      </c>
      <c r="I592" s="9" t="s">
        <v>61</v>
      </c>
      <c r="J592" s="9">
        <v>0.0</v>
      </c>
      <c r="K592" s="9">
        <v>0.0</v>
      </c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>
      <c r="A593" s="9">
        <v>404.0</v>
      </c>
      <c r="B593" s="9">
        <v>382.0</v>
      </c>
      <c r="C593" s="9">
        <v>10.0</v>
      </c>
      <c r="D593" s="9">
        <v>10150.0</v>
      </c>
      <c r="E593" s="9">
        <v>1.478909483E9</v>
      </c>
      <c r="F593" s="8"/>
      <c r="G593" s="9">
        <v>0.0</v>
      </c>
      <c r="H593" s="9">
        <v>0.0</v>
      </c>
      <c r="I593" s="9" t="s">
        <v>61</v>
      </c>
      <c r="J593" s="9">
        <v>0.0</v>
      </c>
      <c r="K593" s="9">
        <v>0.0</v>
      </c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>
      <c r="A594" s="9">
        <v>404.0</v>
      </c>
      <c r="B594" s="9">
        <v>399.0</v>
      </c>
      <c r="C594" s="9">
        <v>10.0</v>
      </c>
      <c r="D594" s="9">
        <v>10150.0</v>
      </c>
      <c r="E594" s="9">
        <v>1.478909685E9</v>
      </c>
      <c r="F594" s="8"/>
      <c r="G594" s="9">
        <v>0.0</v>
      </c>
      <c r="H594" s="9">
        <v>0.0</v>
      </c>
      <c r="I594" s="9" t="s">
        <v>61</v>
      </c>
      <c r="J594" s="9">
        <v>0.0</v>
      </c>
      <c r="K594" s="9">
        <v>0.0</v>
      </c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>
      <c r="A595" s="9">
        <v>404.0</v>
      </c>
      <c r="B595" s="9">
        <v>404.0</v>
      </c>
      <c r="C595" s="9">
        <v>10.0</v>
      </c>
      <c r="D595" s="9">
        <v>10150.0</v>
      </c>
      <c r="E595" s="9">
        <v>1.478909785E9</v>
      </c>
      <c r="F595" s="8"/>
      <c r="G595" s="9">
        <v>0.0</v>
      </c>
      <c r="H595" s="9">
        <v>0.0</v>
      </c>
      <c r="I595" s="9" t="s">
        <v>61</v>
      </c>
      <c r="J595" s="9">
        <v>0.0</v>
      </c>
      <c r="K595" s="9">
        <v>0.0</v>
      </c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>
      <c r="A596" s="9">
        <v>404.0</v>
      </c>
      <c r="B596" s="9">
        <v>419.0</v>
      </c>
      <c r="C596" s="9">
        <v>10.0</v>
      </c>
      <c r="D596" s="9">
        <v>10150.0</v>
      </c>
      <c r="E596" s="9">
        <v>1.478909951E9</v>
      </c>
      <c r="F596" s="8"/>
      <c r="G596" s="9">
        <v>0.0</v>
      </c>
      <c r="H596" s="9">
        <v>0.0</v>
      </c>
      <c r="I596" s="9" t="s">
        <v>61</v>
      </c>
      <c r="J596" s="9">
        <v>0.0</v>
      </c>
      <c r="K596" s="9">
        <v>0.0</v>
      </c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>
      <c r="A597" s="9">
        <v>404.0</v>
      </c>
      <c r="B597" s="9">
        <v>424.0</v>
      </c>
      <c r="C597" s="9">
        <v>10.0</v>
      </c>
      <c r="D597" s="9">
        <v>10150.0</v>
      </c>
      <c r="E597" s="9">
        <v>1.478910018E9</v>
      </c>
      <c r="F597" s="8"/>
      <c r="G597" s="9">
        <v>0.0</v>
      </c>
      <c r="H597" s="9">
        <v>0.0</v>
      </c>
      <c r="I597" s="9" t="s">
        <v>61</v>
      </c>
      <c r="J597" s="9">
        <v>0.0</v>
      </c>
      <c r="K597" s="9">
        <v>0.0</v>
      </c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>
      <c r="A598" s="9">
        <v>404.0</v>
      </c>
      <c r="B598" s="9">
        <v>428.0</v>
      </c>
      <c r="C598" s="9">
        <v>10.0</v>
      </c>
      <c r="D598" s="9">
        <v>10150.0</v>
      </c>
      <c r="E598" s="9">
        <v>1.478910089E9</v>
      </c>
      <c r="F598" s="8"/>
      <c r="G598" s="9">
        <v>0.0</v>
      </c>
      <c r="H598" s="9">
        <v>0.0</v>
      </c>
      <c r="I598" s="9" t="s">
        <v>61</v>
      </c>
      <c r="J598" s="9">
        <v>0.0</v>
      </c>
      <c r="K598" s="9">
        <v>0.0</v>
      </c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>
      <c r="A599" s="9">
        <v>404.0</v>
      </c>
      <c r="B599" s="9">
        <v>435.0</v>
      </c>
      <c r="C599" s="9">
        <v>10.0</v>
      </c>
      <c r="D599" s="9">
        <v>10150.0</v>
      </c>
      <c r="E599" s="9">
        <v>1.478910128E9</v>
      </c>
      <c r="F599" s="8"/>
      <c r="G599" s="9">
        <v>0.0</v>
      </c>
      <c r="H599" s="9">
        <v>0.0</v>
      </c>
      <c r="I599" s="9" t="s">
        <v>61</v>
      </c>
      <c r="J599" s="9">
        <v>0.0</v>
      </c>
      <c r="K599" s="9">
        <v>0.0</v>
      </c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>
      <c r="A600" s="9">
        <v>404.0</v>
      </c>
      <c r="B600" s="9">
        <v>439.0</v>
      </c>
      <c r="C600" s="9">
        <v>10.0</v>
      </c>
      <c r="D600" s="9">
        <v>10150.0</v>
      </c>
      <c r="E600" s="9">
        <v>1.478910211E9</v>
      </c>
      <c r="F600" s="8"/>
      <c r="G600" s="9">
        <v>0.0</v>
      </c>
      <c r="H600" s="9">
        <v>0.0</v>
      </c>
      <c r="I600" s="9" t="s">
        <v>61</v>
      </c>
      <c r="J600" s="9">
        <v>0.0</v>
      </c>
      <c r="K600" s="9">
        <v>0.0</v>
      </c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>
      <c r="A601" s="9">
        <v>404.0</v>
      </c>
      <c r="B601" s="9">
        <v>441.0</v>
      </c>
      <c r="C601" s="9">
        <v>10.0</v>
      </c>
      <c r="D601" s="9">
        <v>10150.0</v>
      </c>
      <c r="E601" s="9">
        <v>1.478910274E9</v>
      </c>
      <c r="F601" s="8"/>
      <c r="G601" s="9">
        <v>0.0</v>
      </c>
      <c r="H601" s="9">
        <v>0.0</v>
      </c>
      <c r="I601" s="9" t="s">
        <v>61</v>
      </c>
      <c r="J601" s="9">
        <v>0.0</v>
      </c>
      <c r="K601" s="9">
        <v>0.0</v>
      </c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>
      <c r="A602" s="9">
        <v>404.0</v>
      </c>
      <c r="B602" s="9">
        <v>442.0</v>
      </c>
      <c r="C602" s="9">
        <v>10.0</v>
      </c>
      <c r="D602" s="9">
        <v>10150.0</v>
      </c>
      <c r="E602" s="9">
        <v>1.478910319E9</v>
      </c>
      <c r="F602" s="8"/>
      <c r="G602" s="9">
        <v>0.0</v>
      </c>
      <c r="H602" s="9">
        <v>0.0</v>
      </c>
      <c r="I602" s="9" t="s">
        <v>61</v>
      </c>
      <c r="J602" s="9">
        <v>0.0</v>
      </c>
      <c r="K602" s="9">
        <v>0.0</v>
      </c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>
      <c r="A603" s="9">
        <v>404.0</v>
      </c>
      <c r="B603" s="9">
        <v>444.0</v>
      </c>
      <c r="C603" s="9">
        <v>10.0</v>
      </c>
      <c r="D603" s="9">
        <v>10150.0</v>
      </c>
      <c r="E603" s="9">
        <v>1.478910346E9</v>
      </c>
      <c r="F603" s="8"/>
      <c r="G603" s="9">
        <v>0.0</v>
      </c>
      <c r="H603" s="9">
        <v>0.0</v>
      </c>
      <c r="I603" s="9" t="s">
        <v>61</v>
      </c>
      <c r="J603" s="9">
        <v>0.0</v>
      </c>
      <c r="K603" s="9">
        <v>0.0</v>
      </c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>
      <c r="A604" s="9">
        <v>404.0</v>
      </c>
      <c r="B604" s="9">
        <v>448.0</v>
      </c>
      <c r="C604" s="9">
        <v>10.0</v>
      </c>
      <c r="D604" s="9">
        <v>10150.0</v>
      </c>
      <c r="E604" s="9">
        <v>1.478910385E9</v>
      </c>
      <c r="F604" s="8"/>
      <c r="G604" s="9">
        <v>0.0</v>
      </c>
      <c r="H604" s="9">
        <v>1.478910404E9</v>
      </c>
      <c r="I604" s="9">
        <v>10.0</v>
      </c>
      <c r="J604" s="9">
        <v>0.0</v>
      </c>
      <c r="K604" s="9">
        <v>0.0</v>
      </c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>
      <c r="A605" s="9">
        <v>404.0</v>
      </c>
      <c r="B605" s="9">
        <v>429.0</v>
      </c>
      <c r="C605" s="9">
        <v>10.0</v>
      </c>
      <c r="D605" s="9">
        <v>10152.0</v>
      </c>
      <c r="E605" s="9">
        <v>1.478910093E9</v>
      </c>
      <c r="F605" s="8"/>
      <c r="G605" s="9">
        <v>0.0</v>
      </c>
      <c r="H605" s="9">
        <v>0.0</v>
      </c>
      <c r="I605" s="9" t="s">
        <v>61</v>
      </c>
      <c r="J605" s="9">
        <v>0.0</v>
      </c>
      <c r="K605" s="9">
        <v>0.0</v>
      </c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>
      <c r="A606" s="9">
        <v>404.0</v>
      </c>
      <c r="B606" s="9">
        <v>432.0</v>
      </c>
      <c r="C606" s="9">
        <v>10.0</v>
      </c>
      <c r="D606" s="9">
        <v>10152.0</v>
      </c>
      <c r="E606" s="9">
        <v>1.478910113E9</v>
      </c>
      <c r="F606" s="8"/>
      <c r="G606" s="9">
        <v>0.0</v>
      </c>
      <c r="H606" s="9">
        <v>0.0</v>
      </c>
      <c r="I606" s="9" t="s">
        <v>61</v>
      </c>
      <c r="J606" s="9">
        <v>0.0</v>
      </c>
      <c r="K606" s="9">
        <v>0.0</v>
      </c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>
      <c r="A607" s="9">
        <v>404.0</v>
      </c>
      <c r="B607" s="9">
        <v>445.0</v>
      </c>
      <c r="C607" s="9">
        <v>10.0</v>
      </c>
      <c r="D607" s="9">
        <v>10152.0</v>
      </c>
      <c r="E607" s="9">
        <v>1.478910353E9</v>
      </c>
      <c r="F607" s="8"/>
      <c r="G607" s="9">
        <v>0.0</v>
      </c>
      <c r="H607" s="9">
        <v>1.478910371E9</v>
      </c>
      <c r="I607" s="9">
        <v>4.0</v>
      </c>
      <c r="J607" s="9">
        <v>0.0</v>
      </c>
      <c r="K607" s="9">
        <v>0.0</v>
      </c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>
      <c r="A608" s="9">
        <v>404.0</v>
      </c>
      <c r="B608" s="9">
        <v>450.0</v>
      </c>
      <c r="C608" s="9">
        <v>10.0</v>
      </c>
      <c r="D608" s="9">
        <v>10152.0</v>
      </c>
      <c r="E608" s="9">
        <v>1.478910438E9</v>
      </c>
      <c r="F608" s="8"/>
      <c r="G608" s="9">
        <v>0.0</v>
      </c>
      <c r="H608" s="9">
        <v>0.0</v>
      </c>
      <c r="I608" s="9" t="s">
        <v>61</v>
      </c>
      <c r="J608" s="9">
        <v>0.0</v>
      </c>
      <c r="K608" s="9">
        <v>0.0</v>
      </c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>
      <c r="A609" s="9">
        <v>404.0</v>
      </c>
      <c r="B609" s="9">
        <v>451.0</v>
      </c>
      <c r="C609" s="9">
        <v>10.0</v>
      </c>
      <c r="D609" s="9">
        <v>10152.0</v>
      </c>
      <c r="E609" s="9">
        <v>1.478910458E9</v>
      </c>
      <c r="F609" s="8"/>
      <c r="G609" s="9">
        <v>0.0</v>
      </c>
      <c r="H609" s="9">
        <v>1.478910528E9</v>
      </c>
      <c r="I609" s="9">
        <v>4.0</v>
      </c>
      <c r="J609" s="9">
        <v>0.0</v>
      </c>
      <c r="K609" s="9">
        <v>0.0</v>
      </c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>
      <c r="A610" s="9">
        <v>404.0</v>
      </c>
      <c r="B610" s="9">
        <v>461.0</v>
      </c>
      <c r="C610" s="9">
        <v>10.0</v>
      </c>
      <c r="D610" s="9">
        <v>10152.0</v>
      </c>
      <c r="E610" s="9">
        <v>1.478910653E9</v>
      </c>
      <c r="F610" s="8"/>
      <c r="G610" s="9">
        <v>0.0</v>
      </c>
      <c r="H610" s="9">
        <v>0.0</v>
      </c>
      <c r="I610" s="9" t="s">
        <v>61</v>
      </c>
      <c r="J610" s="9">
        <v>0.0</v>
      </c>
      <c r="K610" s="9">
        <v>0.0</v>
      </c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>
      <c r="A611" s="9">
        <v>404.0</v>
      </c>
      <c r="B611" s="9">
        <v>470.0</v>
      </c>
      <c r="C611" s="9">
        <v>10.0</v>
      </c>
      <c r="D611" s="9">
        <v>10152.0</v>
      </c>
      <c r="E611" s="9">
        <v>1.478910783E9</v>
      </c>
      <c r="F611" s="8"/>
      <c r="G611" s="9">
        <v>0.0</v>
      </c>
      <c r="H611" s="9">
        <v>1.478910799E9</v>
      </c>
      <c r="I611" s="9">
        <v>10.0</v>
      </c>
      <c r="J611" s="9">
        <v>0.0</v>
      </c>
      <c r="K611" s="9">
        <v>0.0</v>
      </c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>
      <c r="A612" s="9">
        <v>405.0</v>
      </c>
      <c r="B612" s="9">
        <v>719.0</v>
      </c>
      <c r="C612" s="9">
        <v>11.0</v>
      </c>
      <c r="D612" s="9">
        <v>2.0</v>
      </c>
      <c r="E612" s="9">
        <v>1.479010309E9</v>
      </c>
      <c r="F612" s="8"/>
      <c r="G612" s="9">
        <v>0.0</v>
      </c>
      <c r="H612" s="9">
        <v>0.0</v>
      </c>
      <c r="I612" s="9" t="s">
        <v>61</v>
      </c>
      <c r="J612" s="9">
        <v>0.0</v>
      </c>
      <c r="K612" s="9">
        <v>0.0</v>
      </c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>
      <c r="A613" s="9">
        <v>405.0</v>
      </c>
      <c r="B613" s="9">
        <v>720.0</v>
      </c>
      <c r="C613" s="9">
        <v>11.0</v>
      </c>
      <c r="D613" s="9">
        <v>2.0</v>
      </c>
      <c r="E613" s="9">
        <v>1.479010334E9</v>
      </c>
      <c r="F613" s="8"/>
      <c r="G613" s="9">
        <v>0.0</v>
      </c>
      <c r="H613" s="9">
        <v>0.0</v>
      </c>
      <c r="I613" s="9" t="s">
        <v>61</v>
      </c>
      <c r="J613" s="9">
        <v>0.0</v>
      </c>
      <c r="K613" s="9">
        <v>0.0</v>
      </c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>
      <c r="A614" s="9">
        <v>405.0</v>
      </c>
      <c r="B614" s="9">
        <v>721.0</v>
      </c>
      <c r="C614" s="9">
        <v>11.0</v>
      </c>
      <c r="D614" s="9">
        <v>2.0</v>
      </c>
      <c r="E614" s="9">
        <v>1.479010788E9</v>
      </c>
      <c r="F614" s="8"/>
      <c r="G614" s="9">
        <v>0.0</v>
      </c>
      <c r="H614" s="9">
        <v>0.0</v>
      </c>
      <c r="I614" s="9" t="s">
        <v>61</v>
      </c>
      <c r="J614" s="9">
        <v>0.0</v>
      </c>
      <c r="K614" s="9">
        <v>0.0</v>
      </c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>
      <c r="A615" s="9">
        <v>405.0</v>
      </c>
      <c r="B615" s="9">
        <v>722.0</v>
      </c>
      <c r="C615" s="9">
        <v>11.0</v>
      </c>
      <c r="D615" s="9">
        <v>2.0</v>
      </c>
      <c r="E615" s="9">
        <v>1.479010857E9</v>
      </c>
      <c r="F615" s="8"/>
      <c r="G615" s="9">
        <v>0.0</v>
      </c>
      <c r="H615" s="9">
        <v>0.0</v>
      </c>
      <c r="I615" s="9" t="s">
        <v>61</v>
      </c>
      <c r="J615" s="9">
        <v>0.0</v>
      </c>
      <c r="K615" s="9">
        <v>0.0</v>
      </c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>
      <c r="A616" s="9">
        <v>405.0</v>
      </c>
      <c r="B616" s="9">
        <v>723.0</v>
      </c>
      <c r="C616" s="9">
        <v>11.0</v>
      </c>
      <c r="D616" s="9">
        <v>2.0</v>
      </c>
      <c r="E616" s="9">
        <v>1.479010945E9</v>
      </c>
      <c r="F616" s="8"/>
      <c r="G616" s="9">
        <v>0.0</v>
      </c>
      <c r="H616" s="9">
        <v>0.0</v>
      </c>
      <c r="I616" s="9" t="s">
        <v>61</v>
      </c>
      <c r="J616" s="9">
        <v>0.0</v>
      </c>
      <c r="K616" s="9">
        <v>0.0</v>
      </c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>
      <c r="A617" s="9">
        <v>405.0</v>
      </c>
      <c r="B617" s="9">
        <v>724.0</v>
      </c>
      <c r="C617" s="9">
        <v>11.0</v>
      </c>
      <c r="D617" s="9">
        <v>2.0</v>
      </c>
      <c r="E617" s="9">
        <v>1.479011014E9</v>
      </c>
      <c r="F617" s="8"/>
      <c r="G617" s="9">
        <v>0.0</v>
      </c>
      <c r="H617" s="9">
        <v>0.0</v>
      </c>
      <c r="I617" s="9" t="s">
        <v>61</v>
      </c>
      <c r="J617" s="9">
        <v>0.0</v>
      </c>
      <c r="K617" s="9">
        <v>0.0</v>
      </c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>
      <c r="A618" s="9">
        <v>405.0</v>
      </c>
      <c r="B618" s="9">
        <v>725.0</v>
      </c>
      <c r="C618" s="9">
        <v>11.0</v>
      </c>
      <c r="D618" s="9">
        <v>2.0</v>
      </c>
      <c r="E618" s="9">
        <v>1.479011123E9</v>
      </c>
      <c r="F618" s="8"/>
      <c r="G618" s="9">
        <v>0.0</v>
      </c>
      <c r="H618" s="9">
        <v>0.0</v>
      </c>
      <c r="I618" s="9" t="s">
        <v>61</v>
      </c>
      <c r="J618" s="9">
        <v>0.0</v>
      </c>
      <c r="K618" s="9">
        <v>0.0</v>
      </c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>
      <c r="A619" s="9">
        <v>405.0</v>
      </c>
      <c r="B619" s="9">
        <v>727.0</v>
      </c>
      <c r="C619" s="9">
        <v>11.0</v>
      </c>
      <c r="D619" s="9">
        <v>2.0</v>
      </c>
      <c r="E619" s="9">
        <v>1.479011163E9</v>
      </c>
      <c r="F619" s="8"/>
      <c r="G619" s="9">
        <v>0.0</v>
      </c>
      <c r="H619" s="9">
        <v>0.0</v>
      </c>
      <c r="I619" s="9" t="s">
        <v>61</v>
      </c>
      <c r="J619" s="9">
        <v>0.0</v>
      </c>
      <c r="K619" s="9">
        <v>0.0</v>
      </c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>
      <c r="A620" s="9">
        <v>405.0</v>
      </c>
      <c r="B620" s="9">
        <v>728.0</v>
      </c>
      <c r="C620" s="9">
        <v>11.0</v>
      </c>
      <c r="D620" s="9">
        <v>2.0</v>
      </c>
      <c r="E620" s="9">
        <v>1.479011248E9</v>
      </c>
      <c r="F620" s="8"/>
      <c r="G620" s="9">
        <v>0.0</v>
      </c>
      <c r="H620" s="9">
        <v>0.0</v>
      </c>
      <c r="I620" s="9" t="s">
        <v>61</v>
      </c>
      <c r="J620" s="9">
        <v>0.0</v>
      </c>
      <c r="K620" s="9">
        <v>0.0</v>
      </c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>
      <c r="A621" s="9">
        <v>405.0</v>
      </c>
      <c r="B621" s="9">
        <v>729.0</v>
      </c>
      <c r="C621" s="9">
        <v>11.0</v>
      </c>
      <c r="D621" s="9">
        <v>2.0</v>
      </c>
      <c r="E621" s="9">
        <v>1.479011284E9</v>
      </c>
      <c r="F621" s="8"/>
      <c r="G621" s="9">
        <v>0.0</v>
      </c>
      <c r="H621" s="9">
        <v>0.0</v>
      </c>
      <c r="I621" s="9" t="s">
        <v>61</v>
      </c>
      <c r="J621" s="9">
        <v>0.0</v>
      </c>
      <c r="K621" s="9">
        <v>0.0</v>
      </c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>
      <c r="A622" s="9">
        <v>405.0</v>
      </c>
      <c r="B622" s="9">
        <v>730.0</v>
      </c>
      <c r="C622" s="9">
        <v>11.0</v>
      </c>
      <c r="D622" s="9">
        <v>2.0</v>
      </c>
      <c r="E622" s="9">
        <v>1.479011394E9</v>
      </c>
      <c r="F622" s="8"/>
      <c r="G622" s="9">
        <v>0.0</v>
      </c>
      <c r="H622" s="9">
        <v>0.0</v>
      </c>
      <c r="I622" s="9" t="s">
        <v>61</v>
      </c>
      <c r="J622" s="9">
        <v>0.0</v>
      </c>
      <c r="K622" s="9">
        <v>0.0</v>
      </c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>
      <c r="A623" s="9">
        <v>405.0</v>
      </c>
      <c r="B623" s="9">
        <v>731.0</v>
      </c>
      <c r="C623" s="9">
        <v>11.0</v>
      </c>
      <c r="D623" s="9">
        <v>2.0</v>
      </c>
      <c r="E623" s="9">
        <v>1.479012355E9</v>
      </c>
      <c r="F623" s="8"/>
      <c r="G623" s="9">
        <v>0.0</v>
      </c>
      <c r="H623" s="9">
        <v>0.0</v>
      </c>
      <c r="I623" s="9" t="s">
        <v>61</v>
      </c>
      <c r="J623" s="9">
        <v>0.0</v>
      </c>
      <c r="K623" s="9">
        <v>0.0</v>
      </c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>
      <c r="A624" s="9">
        <v>405.0</v>
      </c>
      <c r="B624" s="9">
        <v>732.0</v>
      </c>
      <c r="C624" s="9">
        <v>11.0</v>
      </c>
      <c r="D624" s="9">
        <v>2.0</v>
      </c>
      <c r="E624" s="9">
        <v>1.479012373E9</v>
      </c>
      <c r="F624" s="8"/>
      <c r="G624" s="9">
        <v>0.0</v>
      </c>
      <c r="H624" s="9">
        <v>0.0</v>
      </c>
      <c r="I624" s="9" t="s">
        <v>61</v>
      </c>
      <c r="J624" s="9">
        <v>0.0</v>
      </c>
      <c r="K624" s="9">
        <v>0.0</v>
      </c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>
      <c r="A625" s="9">
        <v>405.0</v>
      </c>
      <c r="B625" s="9">
        <v>733.0</v>
      </c>
      <c r="C625" s="9">
        <v>11.0</v>
      </c>
      <c r="D625" s="9">
        <v>2.0</v>
      </c>
      <c r="E625" s="9">
        <v>1.479012433E9</v>
      </c>
      <c r="F625" s="8"/>
      <c r="G625" s="9">
        <v>0.0</v>
      </c>
      <c r="H625" s="9">
        <v>0.0</v>
      </c>
      <c r="I625" s="9" t="s">
        <v>61</v>
      </c>
      <c r="J625" s="9">
        <v>0.0</v>
      </c>
      <c r="K625" s="9">
        <v>0.0</v>
      </c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>
      <c r="A626" s="9">
        <v>405.0</v>
      </c>
      <c r="B626" s="9">
        <v>734.0</v>
      </c>
      <c r="C626" s="9">
        <v>11.0</v>
      </c>
      <c r="D626" s="9">
        <v>2.0</v>
      </c>
      <c r="E626" s="9">
        <v>1.479012458E9</v>
      </c>
      <c r="F626" s="8"/>
      <c r="G626" s="9">
        <v>0.0</v>
      </c>
      <c r="H626" s="9">
        <v>0.0</v>
      </c>
      <c r="I626" s="9" t="s">
        <v>61</v>
      </c>
      <c r="J626" s="9">
        <v>0.0</v>
      </c>
      <c r="K626" s="9">
        <v>0.0</v>
      </c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>
      <c r="A627" s="9">
        <v>405.0</v>
      </c>
      <c r="B627" s="9">
        <v>735.0</v>
      </c>
      <c r="C627" s="9">
        <v>11.0</v>
      </c>
      <c r="D627" s="9">
        <v>2.0</v>
      </c>
      <c r="E627" s="9">
        <v>1.479012508E9</v>
      </c>
      <c r="F627" s="8"/>
      <c r="G627" s="9">
        <v>0.0</v>
      </c>
      <c r="H627" s="9">
        <v>0.0</v>
      </c>
      <c r="I627" s="9" t="s">
        <v>61</v>
      </c>
      <c r="J627" s="9">
        <v>0.0</v>
      </c>
      <c r="K627" s="9">
        <v>0.0</v>
      </c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>
      <c r="A628" s="9">
        <v>405.0</v>
      </c>
      <c r="B628" s="9">
        <v>736.0</v>
      </c>
      <c r="C628" s="9">
        <v>11.0</v>
      </c>
      <c r="D628" s="9">
        <v>2.0</v>
      </c>
      <c r="E628" s="9">
        <v>1.479012533E9</v>
      </c>
      <c r="F628" s="8"/>
      <c r="G628" s="9">
        <v>0.0</v>
      </c>
      <c r="H628" s="9">
        <v>0.0</v>
      </c>
      <c r="I628" s="9" t="s">
        <v>61</v>
      </c>
      <c r="J628" s="9">
        <v>0.0</v>
      </c>
      <c r="K628" s="9">
        <v>0.0</v>
      </c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>
      <c r="A629" s="9">
        <v>405.0</v>
      </c>
      <c r="B629" s="9">
        <v>737.0</v>
      </c>
      <c r="C629" s="9">
        <v>11.0</v>
      </c>
      <c r="D629" s="9">
        <v>2.0</v>
      </c>
      <c r="E629" s="9">
        <v>1.479012694E9</v>
      </c>
      <c r="F629" s="8"/>
      <c r="G629" s="9">
        <v>0.0</v>
      </c>
      <c r="H629" s="9">
        <v>0.0</v>
      </c>
      <c r="I629" s="9" t="s">
        <v>61</v>
      </c>
      <c r="J629" s="9">
        <v>0.0</v>
      </c>
      <c r="K629" s="9">
        <v>0.0</v>
      </c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>
      <c r="A630" s="9">
        <v>405.0</v>
      </c>
      <c r="B630" s="9">
        <v>738.0</v>
      </c>
      <c r="C630" s="9">
        <v>11.0</v>
      </c>
      <c r="D630" s="9">
        <v>2.0</v>
      </c>
      <c r="E630" s="9">
        <v>1.479012718E9</v>
      </c>
      <c r="F630" s="8"/>
      <c r="G630" s="9">
        <v>0.0</v>
      </c>
      <c r="H630" s="9">
        <v>0.0</v>
      </c>
      <c r="I630" s="9" t="s">
        <v>61</v>
      </c>
      <c r="J630" s="9">
        <v>0.0</v>
      </c>
      <c r="K630" s="9">
        <v>0.0</v>
      </c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>
      <c r="A631" s="9">
        <v>405.0</v>
      </c>
      <c r="B631" s="9">
        <v>741.0</v>
      </c>
      <c r="C631" s="9">
        <v>11.0</v>
      </c>
      <c r="D631" s="9">
        <v>2.0</v>
      </c>
      <c r="E631" s="9">
        <v>1.479015467E9</v>
      </c>
      <c r="F631" s="8"/>
      <c r="G631" s="9">
        <v>0.0</v>
      </c>
      <c r="H631" s="9">
        <v>0.0</v>
      </c>
      <c r="I631" s="9" t="s">
        <v>61</v>
      </c>
      <c r="J631" s="9">
        <v>0.0</v>
      </c>
      <c r="K631" s="9">
        <v>0.0</v>
      </c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>
      <c r="A632" s="9">
        <v>405.0</v>
      </c>
      <c r="B632" s="9">
        <v>743.0</v>
      </c>
      <c r="C632" s="9">
        <v>11.0</v>
      </c>
      <c r="D632" s="9">
        <v>2.0</v>
      </c>
      <c r="E632" s="9">
        <v>1.479015526E9</v>
      </c>
      <c r="F632" s="8"/>
      <c r="G632" s="9">
        <v>0.0</v>
      </c>
      <c r="H632" s="9">
        <v>0.0</v>
      </c>
      <c r="I632" s="9" t="s">
        <v>61</v>
      </c>
      <c r="J632" s="9">
        <v>0.0</v>
      </c>
      <c r="K632" s="9">
        <v>0.0</v>
      </c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>
      <c r="A633" s="9">
        <v>405.0</v>
      </c>
      <c r="B633" s="9">
        <v>744.0</v>
      </c>
      <c r="C633" s="9">
        <v>11.0</v>
      </c>
      <c r="D633" s="9">
        <v>2.0</v>
      </c>
      <c r="E633" s="9">
        <v>1.479015564E9</v>
      </c>
      <c r="F633" s="8"/>
      <c r="G633" s="9">
        <v>0.0</v>
      </c>
      <c r="H633" s="9">
        <v>0.0</v>
      </c>
      <c r="I633" s="9" t="s">
        <v>61</v>
      </c>
      <c r="J633" s="9">
        <v>0.0</v>
      </c>
      <c r="K633" s="9">
        <v>0.0</v>
      </c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>
      <c r="A634" s="9">
        <v>405.0</v>
      </c>
      <c r="B634" s="9">
        <v>745.0</v>
      </c>
      <c r="C634" s="9">
        <v>11.0</v>
      </c>
      <c r="D634" s="9">
        <v>2.0</v>
      </c>
      <c r="E634" s="9">
        <v>1.479015657E9</v>
      </c>
      <c r="F634" s="8"/>
      <c r="G634" s="9">
        <v>0.0</v>
      </c>
      <c r="H634" s="9">
        <v>0.0</v>
      </c>
      <c r="I634" s="9" t="s">
        <v>61</v>
      </c>
      <c r="J634" s="9">
        <v>0.0</v>
      </c>
      <c r="K634" s="9">
        <v>0.0</v>
      </c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>
      <c r="A635" s="9">
        <v>405.0</v>
      </c>
      <c r="B635" s="9">
        <v>747.0</v>
      </c>
      <c r="C635" s="9">
        <v>11.0</v>
      </c>
      <c r="D635" s="9">
        <v>2.0</v>
      </c>
      <c r="E635" s="9">
        <v>1.479015706E9</v>
      </c>
      <c r="F635" s="8"/>
      <c r="G635" s="9">
        <v>0.0</v>
      </c>
      <c r="H635" s="9">
        <v>0.0</v>
      </c>
      <c r="I635" s="9" t="s">
        <v>61</v>
      </c>
      <c r="J635" s="9">
        <v>0.0</v>
      </c>
      <c r="K635" s="9">
        <v>0.0</v>
      </c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>
      <c r="A636" s="9">
        <v>405.0</v>
      </c>
      <c r="B636" s="9">
        <v>748.0</v>
      </c>
      <c r="C636" s="9">
        <v>11.0</v>
      </c>
      <c r="D636" s="9">
        <v>2.0</v>
      </c>
      <c r="E636" s="9">
        <v>1.479015776E9</v>
      </c>
      <c r="F636" s="8"/>
      <c r="G636" s="9">
        <v>0.0</v>
      </c>
      <c r="H636" s="9">
        <v>0.0</v>
      </c>
      <c r="I636" s="9" t="s">
        <v>61</v>
      </c>
      <c r="J636" s="9">
        <v>0.0</v>
      </c>
      <c r="K636" s="9">
        <v>0.0</v>
      </c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>
      <c r="A637" s="9">
        <v>405.0</v>
      </c>
      <c r="B637" s="9">
        <v>749.0</v>
      </c>
      <c r="C637" s="9">
        <v>11.0</v>
      </c>
      <c r="D637" s="9">
        <v>2.0</v>
      </c>
      <c r="E637" s="9">
        <v>1.479015792E9</v>
      </c>
      <c r="F637" s="8"/>
      <c r="G637" s="9">
        <v>0.0</v>
      </c>
      <c r="H637" s="9">
        <v>1.479015803E9</v>
      </c>
      <c r="I637" s="9">
        <v>10.0</v>
      </c>
      <c r="J637" s="9">
        <v>0.0</v>
      </c>
      <c r="K637" s="9">
        <v>0.0</v>
      </c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>
      <c r="A638" s="9">
        <v>405.0</v>
      </c>
      <c r="B638" s="9">
        <v>7.0</v>
      </c>
      <c r="C638" s="9">
        <v>11.0</v>
      </c>
      <c r="D638" s="9">
        <v>10115.0</v>
      </c>
      <c r="E638" s="9">
        <v>1.478903318E9</v>
      </c>
      <c r="F638" s="8"/>
      <c r="G638" s="9">
        <v>0.0</v>
      </c>
      <c r="H638" s="9">
        <v>1.478903328E9</v>
      </c>
      <c r="I638" s="9">
        <v>0.0</v>
      </c>
      <c r="J638" s="9">
        <v>0.0</v>
      </c>
      <c r="K638" s="9">
        <v>0.0</v>
      </c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>
      <c r="A639" s="9">
        <v>405.0</v>
      </c>
      <c r="B639" s="9">
        <v>522.0</v>
      </c>
      <c r="C639" s="9">
        <v>11.0</v>
      </c>
      <c r="D639" s="9">
        <v>10120.0</v>
      </c>
      <c r="E639" s="9">
        <v>1.478915317E9</v>
      </c>
      <c r="F639" s="8"/>
      <c r="G639" s="9">
        <v>0.0</v>
      </c>
      <c r="H639" s="9">
        <v>0.0</v>
      </c>
      <c r="I639" s="9" t="s">
        <v>61</v>
      </c>
      <c r="J639" s="9">
        <v>0.0</v>
      </c>
      <c r="K639" s="9">
        <v>0.0</v>
      </c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>
      <c r="A640" s="9">
        <v>405.0</v>
      </c>
      <c r="B640" s="9">
        <v>523.0</v>
      </c>
      <c r="C640" s="9">
        <v>11.0</v>
      </c>
      <c r="D640" s="9">
        <v>10120.0</v>
      </c>
      <c r="E640" s="9">
        <v>1.478915348E9</v>
      </c>
      <c r="F640" s="8"/>
      <c r="G640" s="9">
        <v>0.0</v>
      </c>
      <c r="H640" s="9">
        <v>0.0</v>
      </c>
      <c r="I640" s="9" t="s">
        <v>61</v>
      </c>
      <c r="J640" s="9">
        <v>0.0</v>
      </c>
      <c r="K640" s="9">
        <v>0.0</v>
      </c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>
      <c r="A641" s="9">
        <v>405.0</v>
      </c>
      <c r="B641" s="9">
        <v>524.0</v>
      </c>
      <c r="C641" s="9">
        <v>11.0</v>
      </c>
      <c r="D641" s="9">
        <v>10120.0</v>
      </c>
      <c r="E641" s="9">
        <v>1.478915383E9</v>
      </c>
      <c r="F641" s="8"/>
      <c r="G641" s="9">
        <v>0.0</v>
      </c>
      <c r="H641" s="9">
        <v>0.0</v>
      </c>
      <c r="I641" s="9" t="s">
        <v>61</v>
      </c>
      <c r="J641" s="9">
        <v>0.0</v>
      </c>
      <c r="K641" s="9">
        <v>0.0</v>
      </c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>
      <c r="A642" s="9">
        <v>405.0</v>
      </c>
      <c r="B642" s="9">
        <v>525.0</v>
      </c>
      <c r="C642" s="9">
        <v>11.0</v>
      </c>
      <c r="D642" s="9">
        <v>10120.0</v>
      </c>
      <c r="E642" s="9">
        <v>1.478915473E9</v>
      </c>
      <c r="F642" s="8"/>
      <c r="G642" s="9">
        <v>0.0</v>
      </c>
      <c r="H642" s="9">
        <v>0.0</v>
      </c>
      <c r="I642" s="9" t="s">
        <v>61</v>
      </c>
      <c r="J642" s="9">
        <v>0.0</v>
      </c>
      <c r="K642" s="9">
        <v>0.0</v>
      </c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>
      <c r="A643" s="9">
        <v>405.0</v>
      </c>
      <c r="B643" s="9">
        <v>526.0</v>
      </c>
      <c r="C643" s="9">
        <v>11.0</v>
      </c>
      <c r="D643" s="9">
        <v>10120.0</v>
      </c>
      <c r="E643" s="9">
        <v>1.47891552E9</v>
      </c>
      <c r="F643" s="8"/>
      <c r="G643" s="9">
        <v>0.0</v>
      </c>
      <c r="H643" s="9">
        <v>0.0</v>
      </c>
      <c r="I643" s="9" t="s">
        <v>61</v>
      </c>
      <c r="J643" s="9">
        <v>0.0</v>
      </c>
      <c r="K643" s="9">
        <v>0.0</v>
      </c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>
      <c r="A644" s="9">
        <v>405.0</v>
      </c>
      <c r="B644" s="9">
        <v>527.0</v>
      </c>
      <c r="C644" s="9">
        <v>11.0</v>
      </c>
      <c r="D644" s="9">
        <v>10120.0</v>
      </c>
      <c r="E644" s="9">
        <v>1.478915558E9</v>
      </c>
      <c r="F644" s="8"/>
      <c r="G644" s="9">
        <v>0.0</v>
      </c>
      <c r="H644" s="9">
        <v>0.0</v>
      </c>
      <c r="I644" s="9" t="s">
        <v>61</v>
      </c>
      <c r="J644" s="9">
        <v>0.0</v>
      </c>
      <c r="K644" s="9">
        <v>0.0</v>
      </c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>
      <c r="A645" s="9">
        <v>405.0</v>
      </c>
      <c r="B645" s="9">
        <v>528.0</v>
      </c>
      <c r="C645" s="9">
        <v>11.0</v>
      </c>
      <c r="D645" s="9">
        <v>10120.0</v>
      </c>
      <c r="E645" s="9">
        <v>1.47891562E9</v>
      </c>
      <c r="F645" s="8"/>
      <c r="G645" s="9">
        <v>0.0</v>
      </c>
      <c r="H645" s="9">
        <v>0.0</v>
      </c>
      <c r="I645" s="9" t="s">
        <v>61</v>
      </c>
      <c r="J645" s="9">
        <v>0.0</v>
      </c>
      <c r="K645" s="9">
        <v>0.0</v>
      </c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>
      <c r="A646" s="9">
        <v>405.0</v>
      </c>
      <c r="B646" s="9">
        <v>529.0</v>
      </c>
      <c r="C646" s="9">
        <v>11.0</v>
      </c>
      <c r="D646" s="9">
        <v>10120.0</v>
      </c>
      <c r="E646" s="9">
        <v>1.478915692E9</v>
      </c>
      <c r="F646" s="8"/>
      <c r="G646" s="9">
        <v>0.0</v>
      </c>
      <c r="H646" s="9">
        <v>0.0</v>
      </c>
      <c r="I646" s="9" t="s">
        <v>61</v>
      </c>
      <c r="J646" s="9">
        <v>0.0</v>
      </c>
      <c r="K646" s="9">
        <v>0.0</v>
      </c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>
      <c r="A647" s="9">
        <v>405.0</v>
      </c>
      <c r="B647" s="9">
        <v>537.0</v>
      </c>
      <c r="C647" s="9">
        <v>11.0</v>
      </c>
      <c r="D647" s="9">
        <v>10120.0</v>
      </c>
      <c r="E647" s="9">
        <v>1.47891852E9</v>
      </c>
      <c r="F647" s="8"/>
      <c r="G647" s="9">
        <v>0.0</v>
      </c>
      <c r="H647" s="9">
        <v>1.478918534E9</v>
      </c>
      <c r="I647" s="9">
        <v>10.0</v>
      </c>
      <c r="J647" s="9">
        <v>0.0</v>
      </c>
      <c r="K647" s="9">
        <v>0.0</v>
      </c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>
      <c r="A648" s="9">
        <v>405.0</v>
      </c>
      <c r="B648" s="9">
        <v>460.0</v>
      </c>
      <c r="C648" s="9">
        <v>11.0</v>
      </c>
      <c r="D648" s="9">
        <v>10123.0</v>
      </c>
      <c r="E648" s="9">
        <v>1.478910653E9</v>
      </c>
      <c r="F648" s="8"/>
      <c r="G648" s="9">
        <v>0.0</v>
      </c>
      <c r="H648" s="9">
        <v>1.478910659E9</v>
      </c>
      <c r="I648" s="9">
        <v>0.0</v>
      </c>
      <c r="J648" s="9">
        <v>0.0</v>
      </c>
      <c r="K648" s="9">
        <v>0.0</v>
      </c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>
      <c r="A649" s="9">
        <v>405.0</v>
      </c>
      <c r="B649" s="9">
        <v>440.0</v>
      </c>
      <c r="C649" s="9">
        <v>11.0</v>
      </c>
      <c r="D649" s="9">
        <v>10125.0</v>
      </c>
      <c r="E649" s="9">
        <v>1.478910217E9</v>
      </c>
      <c r="F649" s="8"/>
      <c r="G649" s="9">
        <v>0.0</v>
      </c>
      <c r="H649" s="9">
        <v>0.0</v>
      </c>
      <c r="I649" s="9" t="s">
        <v>61</v>
      </c>
      <c r="J649" s="9">
        <v>0.0</v>
      </c>
      <c r="K649" s="9">
        <v>0.0</v>
      </c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>
      <c r="A650" s="9">
        <v>405.0</v>
      </c>
      <c r="B650" s="9">
        <v>480.0</v>
      </c>
      <c r="C650" s="9">
        <v>11.0</v>
      </c>
      <c r="D650" s="9">
        <v>10128.0</v>
      </c>
      <c r="E650" s="9">
        <v>1.478911034E9</v>
      </c>
      <c r="F650" s="8"/>
      <c r="G650" s="9">
        <v>0.0</v>
      </c>
      <c r="H650" s="9">
        <v>1.478911036E9</v>
      </c>
      <c r="I650" s="9">
        <v>0.0</v>
      </c>
      <c r="J650" s="9">
        <v>0.0</v>
      </c>
      <c r="K650" s="9">
        <v>0.0</v>
      </c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>
      <c r="A651" s="9">
        <v>405.0</v>
      </c>
      <c r="B651" s="9">
        <v>481.0</v>
      </c>
      <c r="C651" s="9">
        <v>11.0</v>
      </c>
      <c r="D651" s="9">
        <v>10128.0</v>
      </c>
      <c r="E651" s="9">
        <v>1.478911082E9</v>
      </c>
      <c r="F651" s="8"/>
      <c r="G651" s="9">
        <v>0.0</v>
      </c>
      <c r="H651" s="9">
        <v>0.0</v>
      </c>
      <c r="I651" s="9" t="s">
        <v>61</v>
      </c>
      <c r="J651" s="9">
        <v>0.0</v>
      </c>
      <c r="K651" s="9">
        <v>0.0</v>
      </c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>
      <c r="A652" s="9">
        <v>405.0</v>
      </c>
      <c r="B652" s="9">
        <v>449.0</v>
      </c>
      <c r="C652" s="9">
        <v>11.0</v>
      </c>
      <c r="D652" s="9">
        <v>10134.0</v>
      </c>
      <c r="E652" s="9">
        <v>1.478910412E9</v>
      </c>
      <c r="F652" s="8"/>
      <c r="G652" s="9">
        <v>0.0</v>
      </c>
      <c r="H652" s="9">
        <v>1.478910479E9</v>
      </c>
      <c r="I652" s="9">
        <v>0.0</v>
      </c>
      <c r="J652" s="9">
        <v>0.0</v>
      </c>
      <c r="K652" s="9">
        <v>0.0</v>
      </c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>
      <c r="A653" s="9">
        <v>405.0</v>
      </c>
      <c r="B653" s="9">
        <v>603.0</v>
      </c>
      <c r="C653" s="9">
        <v>11.0</v>
      </c>
      <c r="D653" s="9">
        <v>10144.0</v>
      </c>
      <c r="E653" s="9">
        <v>1.478970234E9</v>
      </c>
      <c r="F653" s="8"/>
      <c r="G653" s="9">
        <v>0.0</v>
      </c>
      <c r="H653" s="9">
        <v>0.0</v>
      </c>
      <c r="I653" s="9" t="s">
        <v>61</v>
      </c>
      <c r="J653" s="9">
        <v>0.0</v>
      </c>
      <c r="K653" s="9">
        <v>0.0</v>
      </c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>
      <c r="A654" s="9">
        <v>405.0</v>
      </c>
      <c r="B654" s="9">
        <v>611.0</v>
      </c>
      <c r="C654" s="9">
        <v>11.0</v>
      </c>
      <c r="D654" s="9">
        <v>10144.0</v>
      </c>
      <c r="E654" s="9">
        <v>1.478971263E9</v>
      </c>
      <c r="F654" s="8"/>
      <c r="G654" s="9">
        <v>0.0</v>
      </c>
      <c r="H654" s="9">
        <v>0.0</v>
      </c>
      <c r="I654" s="9" t="s">
        <v>61</v>
      </c>
      <c r="J654" s="9">
        <v>0.0</v>
      </c>
      <c r="K654" s="9">
        <v>0.0</v>
      </c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>
      <c r="A655" s="9">
        <v>405.0</v>
      </c>
      <c r="B655" s="9">
        <v>617.0</v>
      </c>
      <c r="C655" s="9">
        <v>11.0</v>
      </c>
      <c r="D655" s="9">
        <v>10144.0</v>
      </c>
      <c r="E655" s="9">
        <v>1.478972133E9</v>
      </c>
      <c r="F655" s="8"/>
      <c r="G655" s="9">
        <v>0.0</v>
      </c>
      <c r="H655" s="9">
        <v>1.478972137E9</v>
      </c>
      <c r="I655" s="9">
        <v>0.0</v>
      </c>
      <c r="J655" s="9">
        <v>0.0</v>
      </c>
      <c r="K655" s="9">
        <v>0.0</v>
      </c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>
      <c r="A656" s="9">
        <v>405.0</v>
      </c>
      <c r="B656" s="9">
        <v>618.0</v>
      </c>
      <c r="C656" s="9">
        <v>11.0</v>
      </c>
      <c r="D656" s="9">
        <v>10144.0</v>
      </c>
      <c r="E656" s="9">
        <v>1.478972182E9</v>
      </c>
      <c r="F656" s="8"/>
      <c r="G656" s="9">
        <v>0.0</v>
      </c>
      <c r="H656" s="9">
        <v>1.478972358E9</v>
      </c>
      <c r="I656" s="9">
        <v>10.0</v>
      </c>
      <c r="J656" s="9">
        <v>0.0</v>
      </c>
      <c r="K656" s="9">
        <v>0.0</v>
      </c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>
      <c r="A657" s="9">
        <v>405.0</v>
      </c>
      <c r="B657" s="9">
        <v>540.0</v>
      </c>
      <c r="C657" s="9">
        <v>11.0</v>
      </c>
      <c r="D657" s="9">
        <v>10145.0</v>
      </c>
      <c r="E657" s="9">
        <v>1.478920811E9</v>
      </c>
      <c r="F657" s="8"/>
      <c r="G657" s="9">
        <v>0.0</v>
      </c>
      <c r="H657" s="9">
        <v>1.478920821E9</v>
      </c>
      <c r="I657" s="9">
        <v>10.0</v>
      </c>
      <c r="J657" s="9">
        <v>0.0</v>
      </c>
      <c r="K657" s="9">
        <v>0.0</v>
      </c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>
      <c r="A658" s="9">
        <v>405.0</v>
      </c>
      <c r="B658" s="9">
        <v>785.0</v>
      </c>
      <c r="C658" s="9">
        <v>11.0</v>
      </c>
      <c r="D658" s="9">
        <v>10146.0</v>
      </c>
      <c r="E658" s="9">
        <v>1.479257739E9</v>
      </c>
      <c r="F658" s="8"/>
      <c r="G658" s="9">
        <v>0.0</v>
      </c>
      <c r="H658" s="9">
        <v>1.479258545E9</v>
      </c>
      <c r="I658" s="9">
        <v>0.0</v>
      </c>
      <c r="J658" s="9">
        <v>0.0</v>
      </c>
      <c r="K658" s="9">
        <v>0.0</v>
      </c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>
      <c r="A659" s="9">
        <v>405.0</v>
      </c>
      <c r="B659" s="9">
        <v>780.0</v>
      </c>
      <c r="C659" s="9">
        <v>11.0</v>
      </c>
      <c r="D659" s="9">
        <v>10149.0</v>
      </c>
      <c r="E659" s="9">
        <v>1.479247399E9</v>
      </c>
      <c r="F659" s="8"/>
      <c r="G659" s="9">
        <v>0.0</v>
      </c>
      <c r="H659" s="9">
        <v>1.479252405E9</v>
      </c>
      <c r="I659" s="9">
        <v>0.0</v>
      </c>
      <c r="J659" s="9">
        <v>0.0</v>
      </c>
      <c r="K659" s="9">
        <v>0.0</v>
      </c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9.43"/>
    <col customWidth="1" min="3" max="3" width="7.43"/>
    <col customWidth="1" min="4" max="4" width="12.29"/>
  </cols>
  <sheetData>
    <row r="1">
      <c r="A1" s="10" t="s">
        <v>54</v>
      </c>
      <c r="B1" s="10" t="s">
        <v>49</v>
      </c>
      <c r="C1" s="10" t="s">
        <v>52</v>
      </c>
      <c r="D1" s="10" t="s">
        <v>62</v>
      </c>
    </row>
    <row r="2">
      <c r="A2" s="1">
        <v>6580.0</v>
      </c>
      <c r="B2" s="1">
        <v>401.0</v>
      </c>
      <c r="C2" s="1">
        <v>2.0</v>
      </c>
      <c r="D2" s="1">
        <v>1.478510698E9</v>
      </c>
    </row>
    <row r="3">
      <c r="A3" s="1">
        <v>6592.0</v>
      </c>
      <c r="B3" s="1">
        <v>401.0</v>
      </c>
      <c r="C3" s="1">
        <v>2.0</v>
      </c>
      <c r="D3" s="1">
        <v>1.478534942E9</v>
      </c>
    </row>
    <row r="4">
      <c r="A4" s="1">
        <v>6601.0</v>
      </c>
      <c r="B4" s="1">
        <v>401.0</v>
      </c>
      <c r="C4" s="1">
        <v>2.0</v>
      </c>
      <c r="D4" s="1">
        <v>1.478535618E9</v>
      </c>
    </row>
    <row r="5">
      <c r="A5" s="1">
        <v>6602.0</v>
      </c>
      <c r="B5" s="1">
        <v>401.0</v>
      </c>
      <c r="C5" s="1">
        <v>2.0</v>
      </c>
      <c r="D5" s="1">
        <v>1.478535635E9</v>
      </c>
    </row>
    <row r="6">
      <c r="A6" s="1">
        <v>6603.0</v>
      </c>
      <c r="B6" s="1">
        <v>401.0</v>
      </c>
      <c r="C6" s="1">
        <v>2.0</v>
      </c>
      <c r="D6" s="1">
        <v>1.478535644E9</v>
      </c>
    </row>
    <row r="7">
      <c r="A7" s="1">
        <v>6604.0</v>
      </c>
      <c r="B7" s="1">
        <v>401.0</v>
      </c>
      <c r="C7" s="1">
        <v>10014.0</v>
      </c>
      <c r="D7" s="1">
        <v>1.478535718E9</v>
      </c>
    </row>
    <row r="8">
      <c r="A8" s="1">
        <v>6610.0</v>
      </c>
      <c r="B8" s="1">
        <v>401.0</v>
      </c>
      <c r="C8" s="1">
        <v>10014.0</v>
      </c>
      <c r="D8" s="1">
        <v>1.478536298E9</v>
      </c>
    </row>
    <row r="9">
      <c r="A9" s="1">
        <v>6614.0</v>
      </c>
      <c r="B9" s="1">
        <v>401.0</v>
      </c>
      <c r="C9" s="1">
        <v>10014.0</v>
      </c>
      <c r="D9" s="1">
        <v>1.478536653E9</v>
      </c>
    </row>
    <row r="10">
      <c r="A10" s="1">
        <v>6617.0</v>
      </c>
      <c r="B10" s="1">
        <v>401.0</v>
      </c>
      <c r="C10" s="1">
        <v>10014.0</v>
      </c>
      <c r="D10" s="1">
        <v>1.478536745E9</v>
      </c>
    </row>
    <row r="11">
      <c r="A11" s="1">
        <v>6622.0</v>
      </c>
      <c r="B11" s="1">
        <v>401.0</v>
      </c>
      <c r="C11" s="1">
        <v>2.0</v>
      </c>
      <c r="D11" s="1">
        <v>1.478537282E9</v>
      </c>
    </row>
    <row r="12">
      <c r="A12" s="1">
        <v>6627.0</v>
      </c>
      <c r="B12" s="1">
        <v>401.0</v>
      </c>
      <c r="C12" s="1">
        <v>2.0</v>
      </c>
      <c r="D12" s="1">
        <v>1.478538927E9</v>
      </c>
    </row>
    <row r="13">
      <c r="A13" s="1">
        <v>6630.0</v>
      </c>
      <c r="B13" s="1">
        <v>401.0</v>
      </c>
      <c r="C13" s="1">
        <v>2.0</v>
      </c>
      <c r="D13" s="1">
        <v>1.478539097E9</v>
      </c>
    </row>
    <row r="14">
      <c r="A14" s="1">
        <v>6634.0</v>
      </c>
      <c r="B14" s="1">
        <v>401.0</v>
      </c>
      <c r="C14" s="1">
        <v>2.0</v>
      </c>
      <c r="D14" s="1">
        <v>1.478539388E9</v>
      </c>
    </row>
    <row r="15">
      <c r="A15" s="1">
        <v>6639.0</v>
      </c>
      <c r="B15" s="1">
        <v>401.0</v>
      </c>
      <c r="C15" s="1">
        <v>2.0</v>
      </c>
      <c r="D15" s="1">
        <v>1.478539799E9</v>
      </c>
    </row>
    <row r="16">
      <c r="A16" s="1">
        <v>6643.0</v>
      </c>
      <c r="B16" s="1">
        <v>401.0</v>
      </c>
      <c r="C16" s="1">
        <v>2.0</v>
      </c>
      <c r="D16" s="1">
        <v>1.478539909E9</v>
      </c>
    </row>
    <row r="17">
      <c r="A17" s="1">
        <v>6645.0</v>
      </c>
      <c r="B17" s="1">
        <v>401.0</v>
      </c>
      <c r="C17" s="1">
        <v>2.0</v>
      </c>
      <c r="D17" s="1">
        <v>1.478541442E9</v>
      </c>
    </row>
    <row r="18">
      <c r="A18" s="1">
        <v>6650.0</v>
      </c>
      <c r="B18" s="1">
        <v>401.0</v>
      </c>
      <c r="C18" s="1">
        <v>2.0</v>
      </c>
      <c r="D18" s="1">
        <v>1.4785418E9</v>
      </c>
    </row>
    <row r="19">
      <c r="A19" s="1">
        <v>6654.0</v>
      </c>
      <c r="B19" s="1">
        <v>401.0</v>
      </c>
      <c r="C19" s="1">
        <v>10005.0</v>
      </c>
      <c r="D19" s="1">
        <v>1.478541834E9</v>
      </c>
    </row>
    <row r="20">
      <c r="A20" s="1">
        <v>6657.0</v>
      </c>
      <c r="B20" s="1">
        <v>401.0</v>
      </c>
      <c r="C20" s="1">
        <v>2.0</v>
      </c>
      <c r="D20" s="1">
        <v>1.478541893E9</v>
      </c>
    </row>
    <row r="21">
      <c r="A21" s="1">
        <v>6658.0</v>
      </c>
      <c r="B21" s="1">
        <v>401.0</v>
      </c>
      <c r="C21" s="1">
        <v>2.0</v>
      </c>
      <c r="D21" s="1">
        <v>1.478541898E9</v>
      </c>
    </row>
    <row r="22">
      <c r="A22" s="1">
        <v>6661.0</v>
      </c>
      <c r="B22" s="1">
        <v>401.0</v>
      </c>
      <c r="C22" s="1">
        <v>2.0</v>
      </c>
      <c r="D22" s="1">
        <v>1.478541947E9</v>
      </c>
    </row>
    <row r="23">
      <c r="A23" s="1">
        <v>6663.0</v>
      </c>
      <c r="B23" s="1">
        <v>401.0</v>
      </c>
      <c r="C23" s="1">
        <v>2.0</v>
      </c>
      <c r="D23" s="1">
        <v>1.478542253E9</v>
      </c>
    </row>
    <row r="24">
      <c r="A24" s="1">
        <v>6665.0</v>
      </c>
      <c r="B24" s="1">
        <v>401.0</v>
      </c>
      <c r="C24" s="1">
        <v>2.0</v>
      </c>
      <c r="D24" s="1">
        <v>1.478542275E9</v>
      </c>
    </row>
    <row r="25">
      <c r="A25" s="1">
        <v>6680.0</v>
      </c>
      <c r="B25" s="1">
        <v>401.0</v>
      </c>
      <c r="C25" s="1">
        <v>10005.0</v>
      </c>
      <c r="D25" s="1">
        <v>1.478550105E9</v>
      </c>
    </row>
    <row r="26">
      <c r="A26" s="1">
        <v>6687.0</v>
      </c>
      <c r="B26" s="1">
        <v>401.0</v>
      </c>
      <c r="C26" s="1">
        <v>2.0</v>
      </c>
      <c r="D26" s="1">
        <v>1.478550254E9</v>
      </c>
    </row>
    <row r="27">
      <c r="A27" s="1">
        <v>6692.0</v>
      </c>
      <c r="B27" s="1">
        <v>401.0</v>
      </c>
      <c r="C27" s="1">
        <v>10005.0</v>
      </c>
      <c r="D27" s="1">
        <v>1.47855121E9</v>
      </c>
    </row>
    <row r="28">
      <c r="A28" s="1">
        <v>6698.0</v>
      </c>
      <c r="B28" s="1">
        <v>401.0</v>
      </c>
      <c r="C28" s="1">
        <v>10005.0</v>
      </c>
      <c r="D28" s="1">
        <v>1.478551379E9</v>
      </c>
    </row>
    <row r="29">
      <c r="A29" s="1">
        <v>6700.0</v>
      </c>
      <c r="B29" s="1">
        <v>401.0</v>
      </c>
      <c r="C29" s="1">
        <v>10005.0</v>
      </c>
      <c r="D29" s="1">
        <v>1.47855163E9</v>
      </c>
    </row>
    <row r="30">
      <c r="A30" s="1">
        <v>6721.0</v>
      </c>
      <c r="B30" s="1">
        <v>401.0</v>
      </c>
      <c r="C30" s="1">
        <v>2.0</v>
      </c>
      <c r="D30" s="1">
        <v>1.478558744E9</v>
      </c>
    </row>
    <row r="31">
      <c r="A31" s="1">
        <v>6722.0</v>
      </c>
      <c r="B31" s="1">
        <v>401.0</v>
      </c>
      <c r="C31" s="1">
        <v>2.0</v>
      </c>
      <c r="D31" s="1">
        <v>1.478558747E9</v>
      </c>
    </row>
    <row r="32">
      <c r="A32" s="1">
        <v>6723.0</v>
      </c>
      <c r="B32" s="1">
        <v>401.0</v>
      </c>
      <c r="C32" s="1">
        <v>2.0</v>
      </c>
      <c r="D32" s="1">
        <v>1.478558749E9</v>
      </c>
    </row>
    <row r="33">
      <c r="A33" s="1">
        <v>6742.0</v>
      </c>
      <c r="B33" s="1">
        <v>401.0</v>
      </c>
      <c r="C33" s="1">
        <v>10011.0</v>
      </c>
      <c r="D33" s="1">
        <v>1.478560101E9</v>
      </c>
    </row>
    <row r="34">
      <c r="A34" s="1">
        <v>6760.0</v>
      </c>
      <c r="B34" s="1">
        <v>401.0</v>
      </c>
      <c r="C34" s="1">
        <v>2.0</v>
      </c>
      <c r="D34" s="1">
        <v>1.478566877E9</v>
      </c>
    </row>
    <row r="35">
      <c r="A35" s="1">
        <v>6763.0</v>
      </c>
      <c r="B35" s="1">
        <v>403.0</v>
      </c>
      <c r="C35" s="1">
        <v>2.0</v>
      </c>
      <c r="D35" s="1">
        <v>1.478567111E9</v>
      </c>
    </row>
    <row r="36">
      <c r="A36" s="1">
        <v>6764.0</v>
      </c>
      <c r="B36" s="1">
        <v>401.0</v>
      </c>
      <c r="C36" s="1">
        <v>2.0</v>
      </c>
      <c r="D36" s="1">
        <v>1.478567127E9</v>
      </c>
    </row>
    <row r="37">
      <c r="A37" s="1">
        <v>6765.0</v>
      </c>
      <c r="B37" s="1">
        <v>401.0</v>
      </c>
      <c r="C37" s="1">
        <v>2.0</v>
      </c>
      <c r="D37" s="1">
        <v>1.478567133E9</v>
      </c>
    </row>
    <row r="38">
      <c r="A38" s="1">
        <v>6766.0</v>
      </c>
      <c r="B38" s="1">
        <v>401.0</v>
      </c>
      <c r="C38" s="1">
        <v>2.0</v>
      </c>
      <c r="D38" s="1">
        <v>1.478567156E9</v>
      </c>
    </row>
    <row r="39">
      <c r="A39" s="1">
        <v>6774.0</v>
      </c>
      <c r="B39" s="1">
        <v>403.0</v>
      </c>
      <c r="C39" s="1">
        <v>2.0</v>
      </c>
      <c r="D39" s="1">
        <v>1.478567509E9</v>
      </c>
    </row>
    <row r="40">
      <c r="A40" s="1">
        <v>6779.0</v>
      </c>
      <c r="B40" s="1">
        <v>404.0</v>
      </c>
      <c r="C40" s="1">
        <v>2.0</v>
      </c>
      <c r="D40" s="1">
        <v>1.478569123E9</v>
      </c>
    </row>
    <row r="41">
      <c r="A41" s="1">
        <v>6780.0</v>
      </c>
      <c r="B41" s="1">
        <v>403.0</v>
      </c>
      <c r="C41" s="1">
        <v>2.0</v>
      </c>
      <c r="D41" s="1">
        <v>1.478569152E9</v>
      </c>
    </row>
    <row r="42">
      <c r="A42" s="1">
        <v>6781.0</v>
      </c>
      <c r="B42" s="1">
        <v>404.0</v>
      </c>
      <c r="C42" s="1">
        <v>2.0</v>
      </c>
      <c r="D42" s="1">
        <v>1.478569163E9</v>
      </c>
    </row>
    <row r="43">
      <c r="A43" s="1">
        <v>6784.0</v>
      </c>
      <c r="B43" s="1">
        <v>404.0</v>
      </c>
      <c r="C43" s="1">
        <v>2.0</v>
      </c>
      <c r="D43" s="1">
        <v>1.478569199E9</v>
      </c>
    </row>
    <row r="44">
      <c r="A44" s="1">
        <v>6788.0</v>
      </c>
      <c r="B44" s="1">
        <v>404.0</v>
      </c>
      <c r="C44" s="1">
        <v>2.0</v>
      </c>
      <c r="D44" s="1">
        <v>1.47856932E9</v>
      </c>
    </row>
    <row r="45">
      <c r="A45" s="1">
        <v>6789.0</v>
      </c>
      <c r="B45" s="1">
        <v>403.0</v>
      </c>
      <c r="C45" s="1">
        <v>2.0</v>
      </c>
      <c r="D45" s="1">
        <v>1.478569336E9</v>
      </c>
    </row>
    <row r="46">
      <c r="A46" s="1">
        <v>6792.0</v>
      </c>
      <c r="B46" s="1">
        <v>403.0</v>
      </c>
      <c r="C46" s="1">
        <v>2.0</v>
      </c>
      <c r="D46" s="1">
        <v>1.478569409E9</v>
      </c>
    </row>
    <row r="47">
      <c r="A47" s="1">
        <v>6795.0</v>
      </c>
      <c r="B47" s="1">
        <v>403.0</v>
      </c>
      <c r="C47" s="1">
        <v>2.0</v>
      </c>
      <c r="D47" s="1">
        <v>1.478569452E9</v>
      </c>
    </row>
    <row r="48">
      <c r="A48" s="1">
        <v>6796.0</v>
      </c>
      <c r="B48" s="1">
        <v>401.0</v>
      </c>
      <c r="C48" s="1">
        <v>2.0</v>
      </c>
      <c r="D48" s="1">
        <v>1.478569468E9</v>
      </c>
    </row>
    <row r="49">
      <c r="A49" s="1">
        <v>6799.0</v>
      </c>
      <c r="B49" s="1">
        <v>401.0</v>
      </c>
      <c r="C49" s="1">
        <v>2.0</v>
      </c>
      <c r="D49" s="1">
        <v>1.478569488E9</v>
      </c>
    </row>
    <row r="50">
      <c r="A50" s="1">
        <v>6800.0</v>
      </c>
      <c r="B50" s="1">
        <v>403.0</v>
      </c>
      <c r="C50" s="1">
        <v>2.0</v>
      </c>
      <c r="D50" s="1">
        <v>1.478569499E9</v>
      </c>
    </row>
    <row r="51">
      <c r="A51" s="1">
        <v>6801.0</v>
      </c>
      <c r="B51" s="1">
        <v>404.0</v>
      </c>
      <c r="C51" s="1">
        <v>2.0</v>
      </c>
      <c r="D51" s="1">
        <v>1.478569505E9</v>
      </c>
    </row>
    <row r="52">
      <c r="A52" s="1">
        <v>6802.0</v>
      </c>
      <c r="B52" s="1">
        <v>403.0</v>
      </c>
      <c r="C52" s="1">
        <v>2.0</v>
      </c>
      <c r="D52" s="1">
        <v>1.478569511E9</v>
      </c>
    </row>
    <row r="53">
      <c r="A53" s="1">
        <v>6803.0</v>
      </c>
      <c r="B53" s="1">
        <v>401.0</v>
      </c>
      <c r="C53" s="1">
        <v>2.0</v>
      </c>
      <c r="D53" s="1">
        <v>1.478569515E9</v>
      </c>
    </row>
    <row r="54">
      <c r="A54" s="1">
        <v>6806.0</v>
      </c>
      <c r="B54" s="1">
        <v>401.0</v>
      </c>
      <c r="C54" s="1">
        <v>2.0</v>
      </c>
      <c r="D54" s="1">
        <v>1.478569586E9</v>
      </c>
    </row>
    <row r="55">
      <c r="A55" s="1">
        <v>6811.0</v>
      </c>
      <c r="B55" s="1">
        <v>401.0</v>
      </c>
      <c r="C55" s="1">
        <v>2.0</v>
      </c>
      <c r="D55" s="1">
        <v>1.47856965E9</v>
      </c>
    </row>
    <row r="56">
      <c r="A56" s="1">
        <v>6816.0</v>
      </c>
      <c r="B56" s="1">
        <v>405.0</v>
      </c>
      <c r="C56" s="1">
        <v>2.0</v>
      </c>
      <c r="D56" s="1">
        <v>1.478570554E9</v>
      </c>
    </row>
    <row r="57">
      <c r="A57" s="1">
        <v>6819.0</v>
      </c>
      <c r="B57" s="1">
        <v>401.0</v>
      </c>
      <c r="C57" s="1">
        <v>2.0</v>
      </c>
      <c r="D57" s="1">
        <v>1.478571429E9</v>
      </c>
    </row>
    <row r="58">
      <c r="A58" s="1">
        <v>6822.0</v>
      </c>
      <c r="B58" s="1">
        <v>401.0</v>
      </c>
      <c r="C58" s="1">
        <v>2.0</v>
      </c>
      <c r="D58" s="1">
        <v>1.4785715E9</v>
      </c>
    </row>
    <row r="59">
      <c r="A59" s="1">
        <v>6823.0</v>
      </c>
      <c r="B59" s="1">
        <v>401.0</v>
      </c>
      <c r="C59" s="1">
        <v>2.0</v>
      </c>
      <c r="D59" s="1">
        <v>1.478571571E9</v>
      </c>
    </row>
    <row r="60">
      <c r="A60" s="1">
        <v>6825.0</v>
      </c>
      <c r="B60" s="1">
        <v>401.0</v>
      </c>
      <c r="C60" s="1">
        <v>2.0</v>
      </c>
      <c r="D60" s="1">
        <v>1.478571597E9</v>
      </c>
    </row>
    <row r="61">
      <c r="A61" s="1">
        <v>6827.0</v>
      </c>
      <c r="B61" s="1">
        <v>401.0</v>
      </c>
      <c r="C61" s="1">
        <v>2.0</v>
      </c>
      <c r="D61" s="1">
        <v>1.478572539E9</v>
      </c>
    </row>
    <row r="62">
      <c r="A62" s="1">
        <v>6829.0</v>
      </c>
      <c r="B62" s="1">
        <v>401.0</v>
      </c>
      <c r="C62" s="1">
        <v>2.0</v>
      </c>
      <c r="D62" s="1">
        <v>1.478572929E9</v>
      </c>
    </row>
    <row r="63">
      <c r="A63" s="1">
        <v>6836.0</v>
      </c>
      <c r="B63" s="1">
        <v>401.0</v>
      </c>
      <c r="C63" s="1">
        <v>10020.0</v>
      </c>
      <c r="D63" s="1">
        <v>1.478573076E9</v>
      </c>
    </row>
    <row r="64">
      <c r="A64" s="1">
        <v>6840.0</v>
      </c>
      <c r="B64" s="1">
        <v>401.0</v>
      </c>
      <c r="C64" s="1">
        <v>2.0</v>
      </c>
      <c r="D64" s="1">
        <v>1.478573327E9</v>
      </c>
    </row>
    <row r="65">
      <c r="A65" s="1">
        <v>6870.0</v>
      </c>
      <c r="B65" s="1">
        <v>401.0</v>
      </c>
      <c r="C65" s="1">
        <v>2.0</v>
      </c>
      <c r="D65" s="1">
        <v>1.478574219E9</v>
      </c>
    </row>
    <row r="66">
      <c r="A66" s="1">
        <v>6874.0</v>
      </c>
      <c r="B66" s="1">
        <v>401.0</v>
      </c>
      <c r="C66" s="1">
        <v>10011.0</v>
      </c>
      <c r="D66" s="1">
        <v>1.478574281E9</v>
      </c>
    </row>
    <row r="67">
      <c r="A67" s="1">
        <v>6885.0</v>
      </c>
      <c r="B67" s="1">
        <v>401.0</v>
      </c>
      <c r="C67" s="1">
        <v>2.0</v>
      </c>
      <c r="D67" s="1">
        <v>1.478574529E9</v>
      </c>
    </row>
    <row r="68">
      <c r="A68" s="1">
        <v>6890.0</v>
      </c>
      <c r="B68" s="1">
        <v>401.0</v>
      </c>
      <c r="C68" s="1">
        <v>10011.0</v>
      </c>
      <c r="D68" s="1">
        <v>1.478574795E9</v>
      </c>
    </row>
    <row r="69">
      <c r="A69" s="1">
        <v>6892.0</v>
      </c>
      <c r="B69" s="1">
        <v>401.0</v>
      </c>
      <c r="C69" s="1">
        <v>10011.0</v>
      </c>
      <c r="D69" s="1">
        <v>1.478574809E9</v>
      </c>
    </row>
    <row r="70">
      <c r="A70" s="1">
        <v>6894.0</v>
      </c>
      <c r="B70" s="1">
        <v>401.0</v>
      </c>
      <c r="C70" s="1">
        <v>10011.0</v>
      </c>
      <c r="D70" s="1">
        <v>1.478574883E9</v>
      </c>
    </row>
    <row r="71">
      <c r="A71" s="1">
        <v>6896.0</v>
      </c>
      <c r="B71" s="1">
        <v>401.0</v>
      </c>
      <c r="C71" s="1">
        <v>10011.0</v>
      </c>
      <c r="D71" s="1">
        <v>1.478574893E9</v>
      </c>
    </row>
    <row r="72">
      <c r="A72" s="1">
        <v>6898.0</v>
      </c>
      <c r="B72" s="1">
        <v>401.0</v>
      </c>
      <c r="C72" s="1">
        <v>10011.0</v>
      </c>
      <c r="D72" s="1">
        <v>1.478574956E9</v>
      </c>
    </row>
    <row r="73">
      <c r="A73" s="1">
        <v>6901.0</v>
      </c>
      <c r="B73" s="1">
        <v>401.0</v>
      </c>
      <c r="C73" s="1">
        <v>10011.0</v>
      </c>
      <c r="D73" s="1">
        <v>1.478574981E9</v>
      </c>
    </row>
    <row r="74">
      <c r="A74" s="1">
        <v>6907.0</v>
      </c>
      <c r="B74" s="1">
        <v>401.0</v>
      </c>
      <c r="C74" s="1">
        <v>10011.0</v>
      </c>
      <c r="D74" s="1">
        <v>1.47857505E9</v>
      </c>
    </row>
    <row r="75">
      <c r="A75" s="1">
        <v>6911.0</v>
      </c>
      <c r="B75" s="1">
        <v>401.0</v>
      </c>
      <c r="C75" s="1">
        <v>10011.0</v>
      </c>
      <c r="D75" s="1">
        <v>1.478575072E9</v>
      </c>
    </row>
    <row r="76">
      <c r="A76" s="1">
        <v>6912.0</v>
      </c>
      <c r="B76" s="1">
        <v>401.0</v>
      </c>
      <c r="C76" s="1">
        <v>2.0</v>
      </c>
      <c r="D76" s="1">
        <v>1.478575284E9</v>
      </c>
    </row>
    <row r="77">
      <c r="A77" s="1">
        <v>6913.0</v>
      </c>
      <c r="B77" s="1">
        <v>401.0</v>
      </c>
      <c r="C77" s="1">
        <v>2.0</v>
      </c>
      <c r="D77" s="1">
        <v>1.478575351E9</v>
      </c>
    </row>
    <row r="78">
      <c r="A78" s="1">
        <v>6914.0</v>
      </c>
      <c r="B78" s="1">
        <v>401.0</v>
      </c>
      <c r="C78" s="1">
        <v>2.0</v>
      </c>
      <c r="D78" s="1">
        <v>1.478575356E9</v>
      </c>
    </row>
    <row r="79">
      <c r="A79" s="1">
        <v>6915.0</v>
      </c>
      <c r="B79" s="1">
        <v>401.0</v>
      </c>
      <c r="C79" s="1">
        <v>2.0</v>
      </c>
      <c r="D79" s="1">
        <v>1.478575369E9</v>
      </c>
    </row>
    <row r="80">
      <c r="A80" s="1">
        <v>6916.0</v>
      </c>
      <c r="B80" s="1">
        <v>401.0</v>
      </c>
      <c r="C80" s="1">
        <v>2.0</v>
      </c>
      <c r="D80" s="1">
        <v>1.478575379E9</v>
      </c>
    </row>
    <row r="81">
      <c r="A81" s="1">
        <v>6917.0</v>
      </c>
      <c r="B81" s="1">
        <v>401.0</v>
      </c>
      <c r="C81" s="1">
        <v>2.0</v>
      </c>
      <c r="D81" s="1">
        <v>1.478575414E9</v>
      </c>
    </row>
    <row r="82">
      <c r="A82" s="1">
        <v>6918.0</v>
      </c>
      <c r="B82" s="1">
        <v>401.0</v>
      </c>
      <c r="C82" s="1">
        <v>2.0</v>
      </c>
      <c r="D82" s="1">
        <v>1.478575428E9</v>
      </c>
    </row>
    <row r="83">
      <c r="A83" s="1">
        <v>6920.0</v>
      </c>
      <c r="B83" s="1">
        <v>401.0</v>
      </c>
      <c r="C83" s="1">
        <v>2.0</v>
      </c>
      <c r="D83" s="1">
        <v>1.478575436E9</v>
      </c>
    </row>
    <row r="84">
      <c r="A84" s="1">
        <v>6921.0</v>
      </c>
      <c r="B84" s="1">
        <v>401.0</v>
      </c>
      <c r="C84" s="1">
        <v>2.0</v>
      </c>
      <c r="D84" s="1">
        <v>1.47857546E9</v>
      </c>
    </row>
    <row r="85">
      <c r="A85" s="1">
        <v>6922.0</v>
      </c>
      <c r="B85" s="1">
        <v>401.0</v>
      </c>
      <c r="C85" s="1">
        <v>2.0</v>
      </c>
      <c r="D85" s="1">
        <v>1.478575484E9</v>
      </c>
    </row>
    <row r="86">
      <c r="A86" s="1">
        <v>6925.0</v>
      </c>
      <c r="B86" s="1">
        <v>401.0</v>
      </c>
      <c r="C86" s="1">
        <v>10011.0</v>
      </c>
      <c r="D86" s="1">
        <v>1.478575581E9</v>
      </c>
    </row>
    <row r="87">
      <c r="A87" s="1">
        <v>6930.0</v>
      </c>
      <c r="B87" s="1">
        <v>401.0</v>
      </c>
      <c r="C87" s="1">
        <v>10011.0</v>
      </c>
      <c r="D87" s="1">
        <v>1.478575731E9</v>
      </c>
    </row>
    <row r="88">
      <c r="A88" s="1">
        <v>6932.0</v>
      </c>
      <c r="B88" s="1">
        <v>401.0</v>
      </c>
      <c r="C88" s="1">
        <v>10011.0</v>
      </c>
      <c r="D88" s="1">
        <v>1.478575744E9</v>
      </c>
    </row>
    <row r="89">
      <c r="A89" s="1">
        <v>6933.0</v>
      </c>
      <c r="B89" s="1">
        <v>401.0</v>
      </c>
      <c r="C89" s="1">
        <v>2.0</v>
      </c>
      <c r="D89" s="1">
        <v>1.478575849E9</v>
      </c>
    </row>
    <row r="90">
      <c r="A90" s="1">
        <v>6935.0</v>
      </c>
      <c r="B90" s="1">
        <v>401.0</v>
      </c>
      <c r="C90" s="1">
        <v>2.0</v>
      </c>
      <c r="D90" s="1">
        <v>1.47857587E9</v>
      </c>
    </row>
    <row r="91">
      <c r="A91" s="1">
        <v>6936.0</v>
      </c>
      <c r="B91" s="1">
        <v>401.0</v>
      </c>
      <c r="C91" s="1">
        <v>2.0</v>
      </c>
      <c r="D91" s="1">
        <v>1.478576297E9</v>
      </c>
    </row>
    <row r="92">
      <c r="A92" s="1">
        <v>6938.0</v>
      </c>
      <c r="B92" s="1">
        <v>401.0</v>
      </c>
      <c r="C92" s="1">
        <v>2.0</v>
      </c>
      <c r="D92" s="1">
        <v>1.478576388E9</v>
      </c>
    </row>
    <row r="93">
      <c r="A93" s="1">
        <v>6939.0</v>
      </c>
      <c r="B93" s="1">
        <v>401.0</v>
      </c>
      <c r="C93" s="1">
        <v>2.0</v>
      </c>
      <c r="D93" s="1">
        <v>1.478576406E9</v>
      </c>
    </row>
    <row r="94">
      <c r="A94" s="1">
        <v>6941.0</v>
      </c>
      <c r="B94" s="1">
        <v>401.0</v>
      </c>
      <c r="C94" s="1">
        <v>2.0</v>
      </c>
      <c r="D94" s="1">
        <v>1.47858696E9</v>
      </c>
    </row>
    <row r="95">
      <c r="A95" s="1">
        <v>6945.0</v>
      </c>
      <c r="B95" s="1">
        <v>401.0</v>
      </c>
      <c r="C95" s="1">
        <v>10013.0</v>
      </c>
      <c r="D95" s="1">
        <v>1.478587024E9</v>
      </c>
    </row>
    <row r="96">
      <c r="A96" s="1">
        <v>6949.0</v>
      </c>
      <c r="B96" s="1">
        <v>401.0</v>
      </c>
      <c r="C96" s="1">
        <v>2.0</v>
      </c>
      <c r="D96" s="1">
        <v>1.478587161E9</v>
      </c>
    </row>
    <row r="97">
      <c r="A97" s="1">
        <v>6950.0</v>
      </c>
      <c r="B97" s="1">
        <v>401.0</v>
      </c>
      <c r="C97" s="1">
        <v>2.0</v>
      </c>
      <c r="D97" s="1">
        <v>1.478587615E9</v>
      </c>
    </row>
    <row r="98">
      <c r="A98" s="1">
        <v>6952.0</v>
      </c>
      <c r="B98" s="1">
        <v>401.0</v>
      </c>
      <c r="C98" s="1">
        <v>2.0</v>
      </c>
      <c r="D98" s="1">
        <v>1.478587646E9</v>
      </c>
    </row>
    <row r="99">
      <c r="A99" s="1">
        <v>6953.0</v>
      </c>
      <c r="B99" s="1">
        <v>401.0</v>
      </c>
      <c r="C99" s="1">
        <v>10013.0</v>
      </c>
      <c r="D99" s="1">
        <v>1.478587729E9</v>
      </c>
    </row>
    <row r="100">
      <c r="A100" s="1">
        <v>6954.0</v>
      </c>
      <c r="B100" s="1">
        <v>401.0</v>
      </c>
      <c r="C100" s="1">
        <v>2.0</v>
      </c>
      <c r="D100" s="1">
        <v>1.478587747E9</v>
      </c>
    </row>
    <row r="101">
      <c r="A101" s="1">
        <v>6956.0</v>
      </c>
      <c r="B101" s="1">
        <v>401.0</v>
      </c>
      <c r="C101" s="1">
        <v>2.0</v>
      </c>
      <c r="D101" s="1">
        <v>1.478587751E9</v>
      </c>
    </row>
    <row r="102">
      <c r="A102" s="1">
        <v>6957.0</v>
      </c>
      <c r="B102" s="1">
        <v>401.0</v>
      </c>
      <c r="C102" s="1">
        <v>2.0</v>
      </c>
      <c r="D102" s="1">
        <v>1.478587757E9</v>
      </c>
    </row>
    <row r="103">
      <c r="A103" s="1">
        <v>6958.0</v>
      </c>
      <c r="B103" s="1">
        <v>401.0</v>
      </c>
      <c r="C103" s="1">
        <v>10013.0</v>
      </c>
      <c r="D103" s="1">
        <v>1.478588724E9</v>
      </c>
    </row>
    <row r="104">
      <c r="A104" s="1">
        <v>6969.0</v>
      </c>
      <c r="B104" s="1">
        <v>401.0</v>
      </c>
      <c r="C104" s="1">
        <v>10013.0</v>
      </c>
      <c r="D104" s="1">
        <v>1.478590019E9</v>
      </c>
    </row>
    <row r="105">
      <c r="A105" s="1">
        <v>6996.0</v>
      </c>
      <c r="B105" s="1">
        <v>401.0</v>
      </c>
      <c r="C105" s="1">
        <v>2.0</v>
      </c>
      <c r="D105" s="1">
        <v>1.478591157E9</v>
      </c>
    </row>
    <row r="106">
      <c r="A106" s="1">
        <v>6998.0</v>
      </c>
      <c r="B106" s="1">
        <v>403.0</v>
      </c>
      <c r="C106" s="1">
        <v>2.0</v>
      </c>
      <c r="D106" s="1">
        <v>1.478592796E9</v>
      </c>
    </row>
    <row r="107">
      <c r="A107" s="1">
        <v>6999.0</v>
      </c>
      <c r="B107" s="1">
        <v>404.0</v>
      </c>
      <c r="C107" s="1">
        <v>2.0</v>
      </c>
      <c r="D107" s="1">
        <v>1.478592802E9</v>
      </c>
    </row>
    <row r="108">
      <c r="A108" s="1">
        <v>7000.0</v>
      </c>
      <c r="B108" s="1">
        <v>405.0</v>
      </c>
      <c r="C108" s="1">
        <v>2.0</v>
      </c>
      <c r="D108" s="1">
        <v>1.478592809E9</v>
      </c>
    </row>
    <row r="109">
      <c r="A109" s="1">
        <v>7001.0</v>
      </c>
      <c r="B109" s="1">
        <v>401.0</v>
      </c>
      <c r="C109" s="1">
        <v>2.0</v>
      </c>
      <c r="D109" s="1">
        <v>1.478592896E9</v>
      </c>
    </row>
    <row r="110">
      <c r="A110" s="1">
        <v>7004.0</v>
      </c>
      <c r="B110" s="1">
        <v>401.0</v>
      </c>
      <c r="C110" s="1">
        <v>2.0</v>
      </c>
      <c r="D110" s="1">
        <v>1.478593634E9</v>
      </c>
    </row>
    <row r="111">
      <c r="A111" s="1">
        <v>7008.0</v>
      </c>
      <c r="B111" s="1">
        <v>401.0</v>
      </c>
      <c r="C111" s="1">
        <v>2.0</v>
      </c>
      <c r="D111" s="1">
        <v>1.478594023E9</v>
      </c>
    </row>
    <row r="112">
      <c r="A112" s="1">
        <v>7013.0</v>
      </c>
      <c r="B112" s="1">
        <v>401.0</v>
      </c>
      <c r="C112" s="1">
        <v>2.0</v>
      </c>
      <c r="D112" s="1">
        <v>1.478594099E9</v>
      </c>
    </row>
    <row r="113">
      <c r="A113" s="1">
        <v>7014.0</v>
      </c>
      <c r="B113" s="1">
        <v>401.0</v>
      </c>
      <c r="C113" s="1">
        <v>10013.0</v>
      </c>
      <c r="D113" s="1">
        <v>1.478594219E9</v>
      </c>
    </row>
    <row r="114">
      <c r="A114" s="1">
        <v>7015.0</v>
      </c>
      <c r="B114" s="1">
        <v>401.0</v>
      </c>
      <c r="C114" s="1">
        <v>10013.0</v>
      </c>
      <c r="D114" s="1">
        <v>1.478594223E9</v>
      </c>
    </row>
    <row r="115">
      <c r="A115" s="1">
        <v>7030.0</v>
      </c>
      <c r="B115" s="1">
        <v>401.0</v>
      </c>
      <c r="C115" s="1">
        <v>2.0</v>
      </c>
      <c r="D115" s="1">
        <v>1.478594434E9</v>
      </c>
    </row>
    <row r="116">
      <c r="A116" s="1">
        <v>7031.0</v>
      </c>
      <c r="B116" s="1">
        <v>401.0</v>
      </c>
      <c r="C116" s="1">
        <v>2.0</v>
      </c>
      <c r="D116" s="1">
        <v>1.478594438E9</v>
      </c>
    </row>
    <row r="117">
      <c r="A117" s="1">
        <v>7032.0</v>
      </c>
      <c r="B117" s="1">
        <v>401.0</v>
      </c>
      <c r="C117" s="1">
        <v>2.0</v>
      </c>
      <c r="D117" s="1">
        <v>1.478594471E9</v>
      </c>
    </row>
    <row r="118">
      <c r="A118" s="1">
        <v>7034.0</v>
      </c>
      <c r="B118" s="1">
        <v>401.0</v>
      </c>
      <c r="C118" s="1">
        <v>2.0</v>
      </c>
      <c r="D118" s="1">
        <v>1.478594474E9</v>
      </c>
    </row>
    <row r="119">
      <c r="A119" s="1">
        <v>7042.0</v>
      </c>
      <c r="B119" s="1">
        <v>401.0</v>
      </c>
      <c r="C119" s="1">
        <v>2.0</v>
      </c>
      <c r="D119" s="1">
        <v>1.478594961E9</v>
      </c>
    </row>
    <row r="120">
      <c r="A120" s="1">
        <v>7049.0</v>
      </c>
      <c r="B120" s="1">
        <v>401.0</v>
      </c>
      <c r="C120" s="1">
        <v>2.0</v>
      </c>
      <c r="D120" s="1">
        <v>1.478595228E9</v>
      </c>
    </row>
    <row r="121">
      <c r="A121" s="1">
        <v>7050.0</v>
      </c>
      <c r="B121" s="1">
        <v>401.0</v>
      </c>
      <c r="C121" s="1">
        <v>2.0</v>
      </c>
      <c r="D121" s="1">
        <v>1.478595238E9</v>
      </c>
    </row>
    <row r="122">
      <c r="A122" s="1">
        <v>7052.0</v>
      </c>
      <c r="B122" s="1">
        <v>401.0</v>
      </c>
      <c r="C122" s="1">
        <v>2.0</v>
      </c>
      <c r="D122" s="1">
        <v>1.478595249E9</v>
      </c>
    </row>
    <row r="123">
      <c r="A123" s="1">
        <v>7058.0</v>
      </c>
      <c r="B123" s="1">
        <v>401.0</v>
      </c>
      <c r="C123" s="1">
        <v>2.0</v>
      </c>
      <c r="D123" s="1">
        <v>1.478595344E9</v>
      </c>
    </row>
    <row r="124">
      <c r="A124" s="1">
        <v>7059.0</v>
      </c>
      <c r="B124" s="1">
        <v>401.0</v>
      </c>
      <c r="C124" s="1">
        <v>2.0</v>
      </c>
      <c r="D124" s="1">
        <v>1.478595348E9</v>
      </c>
    </row>
    <row r="125">
      <c r="A125" s="1">
        <v>7070.0</v>
      </c>
      <c r="B125" s="1">
        <v>401.0</v>
      </c>
      <c r="C125" s="1">
        <v>2.0</v>
      </c>
      <c r="D125" s="1">
        <v>1.478595677E9</v>
      </c>
    </row>
    <row r="126">
      <c r="A126" s="1">
        <v>7077.0</v>
      </c>
      <c r="B126" s="1">
        <v>401.0</v>
      </c>
      <c r="C126" s="1">
        <v>10041.0</v>
      </c>
      <c r="D126" s="1">
        <v>1.478595956E9</v>
      </c>
    </row>
    <row r="127">
      <c r="A127" s="1">
        <v>7102.0</v>
      </c>
      <c r="B127" s="1">
        <v>401.0</v>
      </c>
      <c r="C127" s="1">
        <v>2.0</v>
      </c>
      <c r="D127" s="1">
        <v>1.478597434E9</v>
      </c>
    </row>
    <row r="128">
      <c r="A128" s="1">
        <v>7114.0</v>
      </c>
      <c r="B128" s="1">
        <v>401.0</v>
      </c>
      <c r="C128" s="1">
        <v>10041.0</v>
      </c>
      <c r="D128" s="1">
        <v>1.47859849E9</v>
      </c>
    </row>
    <row r="129">
      <c r="A129" s="1">
        <v>7115.0</v>
      </c>
      <c r="B129" s="1">
        <v>403.0</v>
      </c>
      <c r="C129" s="1">
        <v>2.0</v>
      </c>
      <c r="D129" s="1">
        <v>1.478598617E9</v>
      </c>
    </row>
    <row r="130">
      <c r="A130" s="1">
        <v>7116.0</v>
      </c>
      <c r="B130" s="1">
        <v>403.0</v>
      </c>
      <c r="C130" s="1">
        <v>2.0</v>
      </c>
      <c r="D130" s="1">
        <v>1.478598629E9</v>
      </c>
    </row>
    <row r="131">
      <c r="A131" s="1">
        <v>7117.0</v>
      </c>
      <c r="B131" s="1">
        <v>401.0</v>
      </c>
      <c r="C131" s="1">
        <v>2.0</v>
      </c>
      <c r="D131" s="1">
        <v>1.478598644E9</v>
      </c>
    </row>
    <row r="132">
      <c r="A132" s="1">
        <v>7120.0</v>
      </c>
      <c r="B132" s="1">
        <v>401.0</v>
      </c>
      <c r="C132" s="1">
        <v>2.0</v>
      </c>
      <c r="D132" s="1">
        <v>1.478598813E9</v>
      </c>
    </row>
    <row r="133">
      <c r="A133" s="1">
        <v>7121.0</v>
      </c>
      <c r="B133" s="1">
        <v>401.0</v>
      </c>
      <c r="C133" s="1">
        <v>10041.0</v>
      </c>
      <c r="D133" s="1">
        <v>1.478599083E9</v>
      </c>
    </row>
    <row r="134">
      <c r="A134" s="1">
        <v>7122.0</v>
      </c>
      <c r="B134" s="1">
        <v>401.0</v>
      </c>
      <c r="C134" s="1">
        <v>10041.0</v>
      </c>
      <c r="D134" s="1">
        <v>1.478599119E9</v>
      </c>
    </row>
    <row r="135">
      <c r="A135" s="1">
        <v>7150.0</v>
      </c>
      <c r="B135" s="1">
        <v>401.0</v>
      </c>
      <c r="C135" s="1">
        <v>2.0</v>
      </c>
      <c r="D135" s="1">
        <v>1.47860079E9</v>
      </c>
    </row>
    <row r="136">
      <c r="A136" s="1">
        <v>7152.0</v>
      </c>
      <c r="B136" s="1">
        <v>401.0</v>
      </c>
      <c r="C136" s="1">
        <v>2.0</v>
      </c>
      <c r="D136" s="1">
        <v>1.478600795E9</v>
      </c>
    </row>
    <row r="137">
      <c r="A137" s="1">
        <v>7245.0</v>
      </c>
      <c r="B137" s="1">
        <v>401.0</v>
      </c>
      <c r="C137" s="1">
        <v>10041.0</v>
      </c>
      <c r="D137" s="1">
        <v>1.478602704E9</v>
      </c>
    </row>
    <row r="138">
      <c r="A138" s="1">
        <v>7247.0</v>
      </c>
      <c r="B138" s="1">
        <v>401.0</v>
      </c>
      <c r="C138" s="1">
        <v>2.0</v>
      </c>
      <c r="D138" s="1">
        <v>1.478602758E9</v>
      </c>
    </row>
    <row r="139">
      <c r="A139" s="1">
        <v>7248.0</v>
      </c>
      <c r="B139" s="1">
        <v>401.0</v>
      </c>
      <c r="C139" s="1">
        <v>2.0</v>
      </c>
      <c r="D139" s="1">
        <v>1.478602779E9</v>
      </c>
    </row>
    <row r="140">
      <c r="A140" s="1">
        <v>7249.0</v>
      </c>
      <c r="B140" s="1">
        <v>401.0</v>
      </c>
      <c r="C140" s="1">
        <v>2.0</v>
      </c>
      <c r="D140" s="1">
        <v>1.478602794E9</v>
      </c>
    </row>
    <row r="141">
      <c r="A141" s="1">
        <v>7250.0</v>
      </c>
      <c r="B141" s="1">
        <v>401.0</v>
      </c>
      <c r="C141" s="1">
        <v>2.0</v>
      </c>
      <c r="D141" s="1">
        <v>1.478602817E9</v>
      </c>
    </row>
    <row r="142">
      <c r="A142" s="1">
        <v>7251.0</v>
      </c>
      <c r="B142" s="1">
        <v>401.0</v>
      </c>
      <c r="C142" s="1">
        <v>2.0</v>
      </c>
      <c r="D142" s="1">
        <v>1.47860283E9</v>
      </c>
    </row>
    <row r="143">
      <c r="A143" s="1">
        <v>7252.0</v>
      </c>
      <c r="B143" s="1">
        <v>401.0</v>
      </c>
      <c r="C143" s="1">
        <v>2.0</v>
      </c>
      <c r="D143" s="1">
        <v>1.478602836E9</v>
      </c>
    </row>
    <row r="144">
      <c r="A144" s="1">
        <v>7254.0</v>
      </c>
      <c r="B144" s="1">
        <v>401.0</v>
      </c>
      <c r="C144" s="1">
        <v>2.0</v>
      </c>
      <c r="D144" s="1">
        <v>1.478602869E9</v>
      </c>
    </row>
    <row r="145">
      <c r="A145" s="1">
        <v>7256.0</v>
      </c>
      <c r="B145" s="1">
        <v>401.0</v>
      </c>
      <c r="C145" s="1">
        <v>2.0</v>
      </c>
      <c r="D145" s="1">
        <v>1.478602939E9</v>
      </c>
    </row>
    <row r="146">
      <c r="A146" s="1">
        <v>7257.0</v>
      </c>
      <c r="B146" s="1">
        <v>401.0</v>
      </c>
      <c r="C146" s="1">
        <v>2.0</v>
      </c>
      <c r="D146" s="1">
        <v>1.478602951E9</v>
      </c>
    </row>
    <row r="147">
      <c r="A147" s="1">
        <v>7258.0</v>
      </c>
      <c r="B147" s="1">
        <v>401.0</v>
      </c>
      <c r="C147" s="1">
        <v>2.0</v>
      </c>
      <c r="D147" s="1">
        <v>1.478602955E9</v>
      </c>
    </row>
    <row r="148">
      <c r="A148" s="1">
        <v>7259.0</v>
      </c>
      <c r="B148" s="1">
        <v>401.0</v>
      </c>
      <c r="C148" s="1">
        <v>2.0</v>
      </c>
      <c r="D148" s="1">
        <v>1.478602957E9</v>
      </c>
    </row>
    <row r="149">
      <c r="A149" s="1">
        <v>7260.0</v>
      </c>
      <c r="B149" s="1">
        <v>401.0</v>
      </c>
      <c r="C149" s="1">
        <v>2.0</v>
      </c>
      <c r="D149" s="1">
        <v>1.478602989E9</v>
      </c>
    </row>
    <row r="150">
      <c r="A150" s="1">
        <v>7261.0</v>
      </c>
      <c r="B150" s="1">
        <v>403.0</v>
      </c>
      <c r="C150" s="1">
        <v>10041.0</v>
      </c>
      <c r="D150" s="1">
        <v>1.478603434E9</v>
      </c>
    </row>
    <row r="151">
      <c r="A151" s="1">
        <v>7263.0</v>
      </c>
      <c r="B151" s="1">
        <v>404.0</v>
      </c>
      <c r="C151" s="1">
        <v>10041.0</v>
      </c>
      <c r="D151" s="1">
        <v>1.478603444E9</v>
      </c>
    </row>
    <row r="152">
      <c r="A152" s="1">
        <v>7265.0</v>
      </c>
      <c r="B152" s="1">
        <v>405.0</v>
      </c>
      <c r="C152" s="1">
        <v>10041.0</v>
      </c>
      <c r="D152" s="1">
        <v>1.478603453E9</v>
      </c>
    </row>
    <row r="153">
      <c r="A153" s="1">
        <v>7267.0</v>
      </c>
      <c r="B153" s="1">
        <v>403.0</v>
      </c>
      <c r="C153" s="1">
        <v>2.0</v>
      </c>
      <c r="D153" s="1">
        <v>1.478603696E9</v>
      </c>
    </row>
    <row r="154">
      <c r="A154" s="1">
        <v>7268.0</v>
      </c>
      <c r="B154" s="1">
        <v>401.0</v>
      </c>
      <c r="C154" s="1">
        <v>10041.0</v>
      </c>
      <c r="D154" s="1">
        <v>1.478603753E9</v>
      </c>
    </row>
    <row r="155">
      <c r="A155" s="1">
        <v>7271.0</v>
      </c>
      <c r="B155" s="1">
        <v>403.0</v>
      </c>
      <c r="C155" s="1">
        <v>2.0</v>
      </c>
      <c r="D155" s="1">
        <v>1.478603838E9</v>
      </c>
    </row>
    <row r="156">
      <c r="A156" s="1">
        <v>7272.0</v>
      </c>
      <c r="B156" s="1">
        <v>401.0</v>
      </c>
      <c r="C156" s="1">
        <v>2.0</v>
      </c>
      <c r="D156" s="1">
        <v>1.478603843E9</v>
      </c>
    </row>
    <row r="157">
      <c r="A157" s="1">
        <v>7275.0</v>
      </c>
      <c r="B157" s="1">
        <v>401.0</v>
      </c>
      <c r="C157" s="1">
        <v>2.0</v>
      </c>
      <c r="D157" s="1">
        <v>1.478604081E9</v>
      </c>
    </row>
    <row r="158">
      <c r="A158" s="1">
        <v>7276.0</v>
      </c>
      <c r="B158" s="1">
        <v>401.0</v>
      </c>
      <c r="C158" s="1">
        <v>2.0</v>
      </c>
      <c r="D158" s="1">
        <v>1.478604091E9</v>
      </c>
    </row>
    <row r="159">
      <c r="A159" s="1">
        <v>7277.0</v>
      </c>
      <c r="B159" s="1">
        <v>401.0</v>
      </c>
      <c r="C159" s="1">
        <v>2.0</v>
      </c>
      <c r="D159" s="1">
        <v>1.4786041E9</v>
      </c>
    </row>
    <row r="160">
      <c r="A160" s="1">
        <v>7278.0</v>
      </c>
      <c r="B160" s="1">
        <v>401.0</v>
      </c>
      <c r="C160" s="1">
        <v>2.0</v>
      </c>
      <c r="D160" s="1">
        <v>1.478604107E9</v>
      </c>
    </row>
    <row r="161">
      <c r="A161" s="1">
        <v>7281.0</v>
      </c>
      <c r="B161" s="1">
        <v>401.0</v>
      </c>
      <c r="C161" s="1">
        <v>2.0</v>
      </c>
      <c r="D161" s="1">
        <v>1.478604135E9</v>
      </c>
    </row>
    <row r="162">
      <c r="A162" s="1">
        <v>7282.0</v>
      </c>
      <c r="B162" s="1">
        <v>401.0</v>
      </c>
      <c r="C162" s="1">
        <v>2.0</v>
      </c>
      <c r="D162" s="1">
        <v>1.478604157E9</v>
      </c>
    </row>
    <row r="163">
      <c r="A163" s="1">
        <v>7283.0</v>
      </c>
      <c r="B163" s="1">
        <v>401.0</v>
      </c>
      <c r="C163" s="1">
        <v>2.0</v>
      </c>
      <c r="D163" s="1">
        <v>1.478604171E9</v>
      </c>
    </row>
    <row r="164">
      <c r="A164" s="1">
        <v>7284.0</v>
      </c>
      <c r="B164" s="1">
        <v>403.0</v>
      </c>
      <c r="C164" s="1">
        <v>2.0</v>
      </c>
      <c r="D164" s="1">
        <v>1.478604207E9</v>
      </c>
    </row>
    <row r="165">
      <c r="A165" s="1">
        <v>7287.0</v>
      </c>
      <c r="B165" s="1">
        <v>403.0</v>
      </c>
      <c r="C165" s="1">
        <v>2.0</v>
      </c>
      <c r="D165" s="1">
        <v>1.478604383E9</v>
      </c>
    </row>
    <row r="166">
      <c r="A166" s="1">
        <v>7288.0</v>
      </c>
      <c r="B166" s="1">
        <v>403.0</v>
      </c>
      <c r="C166" s="1">
        <v>2.0</v>
      </c>
      <c r="D166" s="1">
        <v>1.478604402E9</v>
      </c>
    </row>
    <row r="167">
      <c r="A167" s="1">
        <v>7290.0</v>
      </c>
      <c r="B167" s="1">
        <v>403.0</v>
      </c>
      <c r="C167" s="1">
        <v>2.0</v>
      </c>
      <c r="D167" s="1">
        <v>1.478604421E9</v>
      </c>
    </row>
    <row r="168">
      <c r="A168" s="1">
        <v>7292.0</v>
      </c>
      <c r="B168" s="1">
        <v>403.0</v>
      </c>
      <c r="C168" s="1">
        <v>2.0</v>
      </c>
      <c r="D168" s="1">
        <v>1.478604426E9</v>
      </c>
    </row>
    <row r="169">
      <c r="A169" s="1">
        <v>7293.0</v>
      </c>
      <c r="B169" s="1">
        <v>401.0</v>
      </c>
      <c r="C169" s="1">
        <v>2.0</v>
      </c>
      <c r="D169" s="1">
        <v>1.478604433E9</v>
      </c>
    </row>
    <row r="170">
      <c r="A170" s="1">
        <v>7294.0</v>
      </c>
      <c r="B170" s="1">
        <v>403.0</v>
      </c>
      <c r="C170" s="1">
        <v>2.0</v>
      </c>
      <c r="D170" s="1">
        <v>1.478604449E9</v>
      </c>
    </row>
    <row r="171">
      <c r="A171" s="1">
        <v>7295.0</v>
      </c>
      <c r="B171" s="1">
        <v>403.0</v>
      </c>
      <c r="C171" s="1">
        <v>2.0</v>
      </c>
      <c r="D171" s="1">
        <v>1.47860457E9</v>
      </c>
    </row>
    <row r="172">
      <c r="A172" s="1">
        <v>7296.0</v>
      </c>
      <c r="B172" s="1">
        <v>401.0</v>
      </c>
      <c r="C172" s="1">
        <v>2.0</v>
      </c>
      <c r="D172" s="1">
        <v>1.478604577E9</v>
      </c>
    </row>
    <row r="173">
      <c r="A173" s="1">
        <v>7297.0</v>
      </c>
      <c r="B173" s="1">
        <v>401.0</v>
      </c>
      <c r="C173" s="1">
        <v>2.0</v>
      </c>
      <c r="D173" s="1">
        <v>1.478605387E9</v>
      </c>
    </row>
    <row r="174">
      <c r="A174" s="1">
        <v>7298.0</v>
      </c>
      <c r="B174" s="1">
        <v>403.0</v>
      </c>
      <c r="C174" s="1">
        <v>2.0</v>
      </c>
      <c r="D174" s="1">
        <v>1.478605401E9</v>
      </c>
    </row>
    <row r="175">
      <c r="A175" s="1">
        <v>7306.0</v>
      </c>
      <c r="B175" s="1">
        <v>403.0</v>
      </c>
      <c r="C175" s="1">
        <v>2.0</v>
      </c>
      <c r="D175" s="1">
        <v>1.478611399E9</v>
      </c>
    </row>
    <row r="176">
      <c r="A176" s="1">
        <v>7308.0</v>
      </c>
      <c r="B176" s="1">
        <v>403.0</v>
      </c>
      <c r="C176" s="1">
        <v>2.0</v>
      </c>
      <c r="D176" s="1">
        <v>1.478611407E9</v>
      </c>
    </row>
    <row r="177">
      <c r="A177" s="1">
        <v>7310.0</v>
      </c>
      <c r="B177" s="1">
        <v>403.0</v>
      </c>
      <c r="C177" s="1">
        <v>2.0</v>
      </c>
      <c r="D177" s="1">
        <v>1.478611413E9</v>
      </c>
    </row>
    <row r="178">
      <c r="A178" s="1">
        <v>7313.0</v>
      </c>
      <c r="B178" s="1">
        <v>403.0</v>
      </c>
      <c r="C178" s="1">
        <v>2.0</v>
      </c>
      <c r="D178" s="1">
        <v>1.478611513E9</v>
      </c>
    </row>
    <row r="179">
      <c r="A179" s="1">
        <v>7314.0</v>
      </c>
      <c r="B179" s="1">
        <v>403.0</v>
      </c>
      <c r="C179" s="1">
        <v>2.0</v>
      </c>
      <c r="D179" s="1">
        <v>1.478611516E9</v>
      </c>
    </row>
    <row r="180">
      <c r="A180" s="1">
        <v>7324.0</v>
      </c>
      <c r="B180" s="1">
        <v>403.0</v>
      </c>
      <c r="C180" s="1">
        <v>2.0</v>
      </c>
      <c r="D180" s="1">
        <v>1.478611716E9</v>
      </c>
    </row>
    <row r="181">
      <c r="A181" s="1">
        <v>7327.0</v>
      </c>
      <c r="B181" s="1">
        <v>403.0</v>
      </c>
      <c r="C181" s="1">
        <v>2.0</v>
      </c>
      <c r="D181" s="1">
        <v>1.478612002E9</v>
      </c>
    </row>
    <row r="182">
      <c r="A182" s="1">
        <v>7328.0</v>
      </c>
      <c r="B182" s="1">
        <v>403.0</v>
      </c>
      <c r="C182" s="1">
        <v>2.0</v>
      </c>
      <c r="D182" s="1">
        <v>1.478612006E9</v>
      </c>
    </row>
    <row r="183">
      <c r="A183" s="1">
        <v>7333.0</v>
      </c>
      <c r="B183" s="1">
        <v>403.0</v>
      </c>
      <c r="C183" s="1">
        <v>2.0</v>
      </c>
      <c r="D183" s="1">
        <v>1.478612076E9</v>
      </c>
    </row>
    <row r="184">
      <c r="A184" s="1">
        <v>7337.0</v>
      </c>
      <c r="B184" s="1">
        <v>403.0</v>
      </c>
      <c r="C184" s="1">
        <v>10045.0</v>
      </c>
      <c r="D184" s="1">
        <v>1.478612116E9</v>
      </c>
    </row>
    <row r="185">
      <c r="A185" s="1">
        <v>7343.0</v>
      </c>
      <c r="B185" s="1">
        <v>403.0</v>
      </c>
      <c r="C185" s="1">
        <v>2.0</v>
      </c>
      <c r="D185" s="1">
        <v>1.478612588E9</v>
      </c>
    </row>
    <row r="186">
      <c r="A186" s="1">
        <v>7350.0</v>
      </c>
      <c r="B186" s="1">
        <v>403.0</v>
      </c>
      <c r="C186" s="1">
        <v>2.0</v>
      </c>
      <c r="D186" s="1">
        <v>1.478612744E9</v>
      </c>
    </row>
    <row r="187">
      <c r="A187" s="1">
        <v>7352.0</v>
      </c>
      <c r="B187" s="1">
        <v>403.0</v>
      </c>
      <c r="C187" s="1">
        <v>2.0</v>
      </c>
      <c r="D187" s="1">
        <v>1.478612747E9</v>
      </c>
    </row>
    <row r="188">
      <c r="A188" s="1">
        <v>7360.0</v>
      </c>
      <c r="B188" s="1">
        <v>403.0</v>
      </c>
      <c r="C188" s="1">
        <v>2.0</v>
      </c>
      <c r="D188" s="1">
        <v>1.478612811E9</v>
      </c>
    </row>
    <row r="189">
      <c r="A189" s="1">
        <v>7367.0</v>
      </c>
      <c r="B189" s="1">
        <v>403.0</v>
      </c>
      <c r="C189" s="1">
        <v>2.0</v>
      </c>
      <c r="D189" s="1">
        <v>1.478612876E9</v>
      </c>
    </row>
    <row r="190">
      <c r="A190" s="1">
        <v>7371.0</v>
      </c>
      <c r="B190" s="1">
        <v>403.0</v>
      </c>
      <c r="C190" s="1">
        <v>10039.0</v>
      </c>
      <c r="D190" s="1">
        <v>1.478612942E9</v>
      </c>
    </row>
    <row r="191">
      <c r="A191" s="1">
        <v>7375.0</v>
      </c>
      <c r="B191" s="1">
        <v>403.0</v>
      </c>
      <c r="C191" s="1">
        <v>2.0</v>
      </c>
      <c r="D191" s="1">
        <v>1.478612981E9</v>
      </c>
    </row>
    <row r="192">
      <c r="A192" s="1">
        <v>7387.0</v>
      </c>
      <c r="B192" s="1">
        <v>403.0</v>
      </c>
      <c r="C192" s="1">
        <v>10017.0</v>
      </c>
      <c r="D192" s="1">
        <v>1.478613133E9</v>
      </c>
    </row>
    <row r="193">
      <c r="A193" s="1">
        <v>7396.0</v>
      </c>
      <c r="B193" s="1">
        <v>404.0</v>
      </c>
      <c r="C193" s="1">
        <v>10017.0</v>
      </c>
      <c r="D193" s="1">
        <v>1.47861331E9</v>
      </c>
    </row>
    <row r="194">
      <c r="A194" s="1">
        <v>7398.0</v>
      </c>
      <c r="B194" s="1">
        <v>404.0</v>
      </c>
      <c r="C194" s="1">
        <v>2.0</v>
      </c>
      <c r="D194" s="1">
        <v>1.478614941E9</v>
      </c>
    </row>
    <row r="195">
      <c r="A195" s="1">
        <v>7399.0</v>
      </c>
      <c r="B195" s="1">
        <v>404.0</v>
      </c>
      <c r="C195" s="1">
        <v>2.0</v>
      </c>
      <c r="D195" s="1">
        <v>1.478615315E9</v>
      </c>
    </row>
    <row r="196">
      <c r="A196" s="1">
        <v>7400.0</v>
      </c>
      <c r="B196" s="1">
        <v>403.0</v>
      </c>
      <c r="C196" s="1">
        <v>2.0</v>
      </c>
      <c r="D196" s="1">
        <v>1.47861541E9</v>
      </c>
    </row>
    <row r="197">
      <c r="A197" s="1">
        <v>7403.0</v>
      </c>
      <c r="B197" s="1">
        <v>404.0</v>
      </c>
      <c r="C197" s="1">
        <v>2.0</v>
      </c>
      <c r="D197" s="1">
        <v>1.478616098E9</v>
      </c>
    </row>
    <row r="198">
      <c r="A198" s="1">
        <v>7404.0</v>
      </c>
      <c r="B198" s="1">
        <v>404.0</v>
      </c>
      <c r="C198" s="1">
        <v>2.0</v>
      </c>
      <c r="D198" s="1">
        <v>1.478616162E9</v>
      </c>
    </row>
    <row r="199">
      <c r="A199" s="1">
        <v>7406.0</v>
      </c>
      <c r="B199" s="1">
        <v>404.0</v>
      </c>
      <c r="C199" s="1">
        <v>2.0</v>
      </c>
      <c r="D199" s="1">
        <v>1.478616174E9</v>
      </c>
    </row>
    <row r="200">
      <c r="A200" s="1">
        <v>7407.0</v>
      </c>
      <c r="B200" s="1">
        <v>405.0</v>
      </c>
      <c r="C200" s="1">
        <v>2.0</v>
      </c>
      <c r="D200" s="1">
        <v>1.478616194E9</v>
      </c>
    </row>
    <row r="201">
      <c r="A201" s="1">
        <v>7409.0</v>
      </c>
      <c r="B201" s="1">
        <v>405.0</v>
      </c>
      <c r="C201" s="1">
        <v>2.0</v>
      </c>
      <c r="D201" s="1">
        <v>1.478616216E9</v>
      </c>
    </row>
    <row r="202">
      <c r="A202" s="1">
        <v>7412.0</v>
      </c>
      <c r="B202" s="1">
        <v>405.0</v>
      </c>
      <c r="C202" s="1">
        <v>2.0</v>
      </c>
      <c r="D202" s="1">
        <v>1.47861628E9</v>
      </c>
    </row>
    <row r="203">
      <c r="A203" s="1">
        <v>7415.0</v>
      </c>
      <c r="B203" s="1">
        <v>405.0</v>
      </c>
      <c r="C203" s="1">
        <v>2.0</v>
      </c>
      <c r="D203" s="1">
        <v>1.478616314E9</v>
      </c>
    </row>
    <row r="204">
      <c r="A204" s="1">
        <v>7416.0</v>
      </c>
      <c r="B204" s="1">
        <v>405.0</v>
      </c>
      <c r="C204" s="1">
        <v>2.0</v>
      </c>
      <c r="D204" s="1">
        <v>1.478616321E9</v>
      </c>
    </row>
    <row r="205">
      <c r="A205" s="1">
        <v>7418.0</v>
      </c>
      <c r="B205" s="1">
        <v>405.0</v>
      </c>
      <c r="C205" s="1">
        <v>2.0</v>
      </c>
      <c r="D205" s="1">
        <v>1.47861633E9</v>
      </c>
    </row>
    <row r="206">
      <c r="A206" s="1">
        <v>7419.0</v>
      </c>
      <c r="B206" s="1">
        <v>405.0</v>
      </c>
      <c r="C206" s="1">
        <v>2.0</v>
      </c>
      <c r="D206" s="1">
        <v>1.478616413E9</v>
      </c>
    </row>
    <row r="207">
      <c r="A207" s="1">
        <v>7420.0</v>
      </c>
      <c r="B207" s="1">
        <v>404.0</v>
      </c>
      <c r="C207" s="1">
        <v>2.0</v>
      </c>
      <c r="D207" s="1">
        <v>1.478616484E9</v>
      </c>
    </row>
    <row r="208">
      <c r="A208" s="1">
        <v>7423.0</v>
      </c>
      <c r="B208" s="1">
        <v>404.0</v>
      </c>
      <c r="C208" s="1">
        <v>2.0</v>
      </c>
      <c r="D208" s="1">
        <v>1.478616515E9</v>
      </c>
    </row>
    <row r="209">
      <c r="A209" s="1">
        <v>7424.0</v>
      </c>
      <c r="B209" s="1">
        <v>403.0</v>
      </c>
      <c r="C209" s="1">
        <v>2.0</v>
      </c>
      <c r="D209" s="1">
        <v>1.478616522E9</v>
      </c>
    </row>
    <row r="210">
      <c r="A210" s="1">
        <v>7425.0</v>
      </c>
      <c r="B210" s="1">
        <v>401.0</v>
      </c>
      <c r="C210" s="1">
        <v>2.0</v>
      </c>
      <c r="D210" s="1">
        <v>1.478616529E9</v>
      </c>
    </row>
    <row r="211">
      <c r="A211" s="1">
        <v>7426.0</v>
      </c>
      <c r="B211" s="1">
        <v>404.0</v>
      </c>
      <c r="C211" s="1">
        <v>2.0</v>
      </c>
      <c r="D211" s="1">
        <v>1.478616539E9</v>
      </c>
    </row>
    <row r="212">
      <c r="A212" s="1">
        <v>7427.0</v>
      </c>
      <c r="B212" s="1">
        <v>405.0</v>
      </c>
      <c r="C212" s="1">
        <v>2.0</v>
      </c>
      <c r="D212" s="1">
        <v>1.478616542E9</v>
      </c>
    </row>
    <row r="213">
      <c r="A213" s="1">
        <v>7430.0</v>
      </c>
      <c r="B213" s="1">
        <v>405.0</v>
      </c>
      <c r="C213" s="1">
        <v>2.0</v>
      </c>
      <c r="D213" s="1">
        <v>1.47861661E9</v>
      </c>
    </row>
    <row r="214">
      <c r="A214" s="1">
        <v>7431.0</v>
      </c>
      <c r="B214" s="1">
        <v>404.0</v>
      </c>
      <c r="C214" s="1">
        <v>2.0</v>
      </c>
      <c r="D214" s="1">
        <v>1.478616634E9</v>
      </c>
    </row>
    <row r="215">
      <c r="A215" s="1">
        <v>7432.0</v>
      </c>
      <c r="B215" s="1">
        <v>403.0</v>
      </c>
      <c r="C215" s="1">
        <v>2.0</v>
      </c>
      <c r="D215" s="1">
        <v>1.478616638E9</v>
      </c>
    </row>
    <row r="216">
      <c r="A216" s="1">
        <v>7434.0</v>
      </c>
      <c r="B216" s="1">
        <v>401.0</v>
      </c>
      <c r="C216" s="1">
        <v>2.0</v>
      </c>
      <c r="D216" s="1">
        <v>1.478616643E9</v>
      </c>
    </row>
    <row r="217">
      <c r="A217" s="1">
        <v>7435.0</v>
      </c>
      <c r="B217" s="1">
        <v>403.0</v>
      </c>
      <c r="C217" s="1">
        <v>2.0</v>
      </c>
      <c r="D217" s="1">
        <v>1.478616647E9</v>
      </c>
    </row>
    <row r="218">
      <c r="A218" s="1">
        <v>7436.0</v>
      </c>
      <c r="B218" s="1">
        <v>404.0</v>
      </c>
      <c r="C218" s="1">
        <v>2.0</v>
      </c>
      <c r="D218" s="1">
        <v>1.478616649E9</v>
      </c>
    </row>
    <row r="219">
      <c r="A219" s="1">
        <v>7437.0</v>
      </c>
      <c r="B219" s="1">
        <v>405.0</v>
      </c>
      <c r="C219" s="1">
        <v>2.0</v>
      </c>
      <c r="D219" s="1">
        <v>1.478616653E9</v>
      </c>
    </row>
    <row r="220">
      <c r="A220" s="1">
        <v>7445.0</v>
      </c>
      <c r="B220" s="1">
        <v>401.0</v>
      </c>
      <c r="C220" s="1">
        <v>2.0</v>
      </c>
      <c r="D220" s="1">
        <v>1.478622441E9</v>
      </c>
    </row>
    <row r="221">
      <c r="A221" s="1">
        <v>7448.0</v>
      </c>
      <c r="B221" s="1">
        <v>401.0</v>
      </c>
      <c r="C221" s="1">
        <v>2.0</v>
      </c>
      <c r="D221" s="1">
        <v>1.478622526E9</v>
      </c>
    </row>
    <row r="222">
      <c r="A222" s="1">
        <v>7451.0</v>
      </c>
      <c r="B222" s="1">
        <v>401.0</v>
      </c>
      <c r="C222" s="1">
        <v>2.0</v>
      </c>
      <c r="D222" s="1">
        <v>1.478622618E9</v>
      </c>
    </row>
    <row r="223">
      <c r="A223" s="1">
        <v>7452.0</v>
      </c>
      <c r="B223" s="1">
        <v>403.0</v>
      </c>
      <c r="C223" s="1">
        <v>2.0</v>
      </c>
      <c r="D223" s="1">
        <v>1.47862264E9</v>
      </c>
    </row>
    <row r="224">
      <c r="A224" s="1">
        <v>7455.0</v>
      </c>
      <c r="B224" s="1">
        <v>403.0</v>
      </c>
      <c r="C224" s="1">
        <v>2.0</v>
      </c>
      <c r="D224" s="1">
        <v>1.478622722E9</v>
      </c>
    </row>
    <row r="225">
      <c r="A225" s="1">
        <v>7456.0</v>
      </c>
      <c r="B225" s="1">
        <v>404.0</v>
      </c>
      <c r="C225" s="1">
        <v>2.0</v>
      </c>
      <c r="D225" s="1">
        <v>1.478622726E9</v>
      </c>
    </row>
    <row r="226">
      <c r="A226" s="1">
        <v>7459.0</v>
      </c>
      <c r="B226" s="1">
        <v>404.0</v>
      </c>
      <c r="C226" s="1">
        <v>2.0</v>
      </c>
      <c r="D226" s="1">
        <v>1.478622864E9</v>
      </c>
    </row>
    <row r="227">
      <c r="A227" s="1">
        <v>7460.0</v>
      </c>
      <c r="B227" s="1">
        <v>405.0</v>
      </c>
      <c r="C227" s="1">
        <v>2.0</v>
      </c>
      <c r="D227" s="1">
        <v>1.478622869E9</v>
      </c>
    </row>
    <row r="228">
      <c r="A228" s="1">
        <v>7463.0</v>
      </c>
      <c r="B228" s="1">
        <v>405.0</v>
      </c>
      <c r="C228" s="1">
        <v>2.0</v>
      </c>
      <c r="D228" s="1">
        <v>1.478622979E9</v>
      </c>
    </row>
    <row r="229">
      <c r="A229" s="1">
        <v>7464.0</v>
      </c>
      <c r="B229" s="1">
        <v>405.0</v>
      </c>
      <c r="C229" s="1">
        <v>2.0</v>
      </c>
      <c r="D229" s="1">
        <v>1.478622988E9</v>
      </c>
    </row>
    <row r="230">
      <c r="A230" s="1">
        <v>7465.0</v>
      </c>
      <c r="B230" s="1">
        <v>405.0</v>
      </c>
      <c r="C230" s="1">
        <v>2.0</v>
      </c>
      <c r="D230" s="1">
        <v>1.478623639E9</v>
      </c>
    </row>
    <row r="231">
      <c r="A231" s="1">
        <v>7466.0</v>
      </c>
      <c r="B231" s="1">
        <v>405.0</v>
      </c>
      <c r="C231" s="1">
        <v>2.0</v>
      </c>
      <c r="D231" s="1">
        <v>1.478623684E9</v>
      </c>
    </row>
    <row r="232">
      <c r="A232" s="1">
        <v>7467.0</v>
      </c>
      <c r="B232" s="1">
        <v>404.0</v>
      </c>
      <c r="C232" s="1">
        <v>2.0</v>
      </c>
      <c r="D232" s="1">
        <v>1.478623989E9</v>
      </c>
    </row>
    <row r="233">
      <c r="A233" s="1">
        <v>7468.0</v>
      </c>
      <c r="B233" s="1">
        <v>405.0</v>
      </c>
      <c r="C233" s="1">
        <v>2.0</v>
      </c>
      <c r="D233" s="1">
        <v>1.47862405E9</v>
      </c>
    </row>
    <row r="234">
      <c r="A234" s="1">
        <v>7469.0</v>
      </c>
      <c r="B234" s="1">
        <v>405.0</v>
      </c>
      <c r="C234" s="1">
        <v>2.0</v>
      </c>
      <c r="D234" s="1">
        <v>1.478624146E9</v>
      </c>
    </row>
    <row r="235">
      <c r="A235" s="1">
        <v>7470.0</v>
      </c>
      <c r="B235" s="1">
        <v>404.0</v>
      </c>
      <c r="C235" s="1">
        <v>2.0</v>
      </c>
      <c r="D235" s="1">
        <v>1.478624225E9</v>
      </c>
    </row>
    <row r="236">
      <c r="A236" s="1">
        <v>7471.0</v>
      </c>
      <c r="B236" s="1">
        <v>405.0</v>
      </c>
      <c r="C236" s="1">
        <v>2.0</v>
      </c>
      <c r="D236" s="1">
        <v>1.478624233E9</v>
      </c>
    </row>
    <row r="237">
      <c r="A237" s="1">
        <v>7472.0</v>
      </c>
      <c r="B237" s="1">
        <v>405.0</v>
      </c>
      <c r="C237" s="1">
        <v>2.0</v>
      </c>
      <c r="D237" s="1">
        <v>1.478624244E9</v>
      </c>
    </row>
    <row r="238">
      <c r="A238" s="1">
        <v>7474.0</v>
      </c>
      <c r="B238" s="1">
        <v>405.0</v>
      </c>
      <c r="C238" s="1">
        <v>2.0</v>
      </c>
      <c r="D238" s="1">
        <v>1.478624248E9</v>
      </c>
    </row>
    <row r="239">
      <c r="A239" s="1">
        <v>7476.0</v>
      </c>
      <c r="B239" s="1">
        <v>405.0</v>
      </c>
      <c r="C239" s="1">
        <v>2.0</v>
      </c>
      <c r="D239" s="1">
        <v>1.478624251E9</v>
      </c>
    </row>
    <row r="240">
      <c r="A240" s="1">
        <v>7477.0</v>
      </c>
      <c r="B240" s="1">
        <v>404.0</v>
      </c>
      <c r="C240" s="1">
        <v>2.0</v>
      </c>
      <c r="D240" s="1">
        <v>1.478624253E9</v>
      </c>
    </row>
    <row r="241">
      <c r="A241" s="1">
        <v>7478.0</v>
      </c>
      <c r="B241" s="1">
        <v>404.0</v>
      </c>
      <c r="C241" s="1">
        <v>2.0</v>
      </c>
      <c r="D241" s="1">
        <v>1.478624273E9</v>
      </c>
    </row>
    <row r="242">
      <c r="A242" s="1">
        <v>7480.0</v>
      </c>
      <c r="B242" s="1">
        <v>404.0</v>
      </c>
      <c r="C242" s="1">
        <v>2.0</v>
      </c>
      <c r="D242" s="1">
        <v>1.478624278E9</v>
      </c>
    </row>
    <row r="243">
      <c r="A243" s="1">
        <v>7481.0</v>
      </c>
      <c r="B243" s="1">
        <v>403.0</v>
      </c>
      <c r="C243" s="1">
        <v>2.0</v>
      </c>
      <c r="D243" s="1">
        <v>1.47862428E9</v>
      </c>
    </row>
    <row r="244">
      <c r="A244" s="1">
        <v>7482.0</v>
      </c>
      <c r="B244" s="1">
        <v>403.0</v>
      </c>
      <c r="C244" s="1">
        <v>2.0</v>
      </c>
      <c r="D244" s="1">
        <v>1.478624304E9</v>
      </c>
    </row>
    <row r="245">
      <c r="A245" s="1">
        <v>7483.0</v>
      </c>
      <c r="B245" s="1">
        <v>404.0</v>
      </c>
      <c r="C245" s="1">
        <v>2.0</v>
      </c>
      <c r="D245" s="1">
        <v>1.478624308E9</v>
      </c>
    </row>
    <row r="246">
      <c r="A246" s="1">
        <v>7484.0</v>
      </c>
      <c r="B246" s="1">
        <v>404.0</v>
      </c>
      <c r="C246" s="1">
        <v>2.0</v>
      </c>
      <c r="D246" s="1">
        <v>1.478624314E9</v>
      </c>
    </row>
    <row r="247">
      <c r="A247" s="1">
        <v>7485.0</v>
      </c>
      <c r="B247" s="1">
        <v>403.0</v>
      </c>
      <c r="C247" s="1">
        <v>2.0</v>
      </c>
      <c r="D247" s="1">
        <v>1.478624317E9</v>
      </c>
    </row>
    <row r="248">
      <c r="A248" s="1">
        <v>7486.0</v>
      </c>
      <c r="B248" s="1">
        <v>403.0</v>
      </c>
      <c r="C248" s="1">
        <v>2.0</v>
      </c>
      <c r="D248" s="1">
        <v>1.47862433E9</v>
      </c>
    </row>
    <row r="249">
      <c r="A249" s="1">
        <v>7487.0</v>
      </c>
      <c r="B249" s="1">
        <v>401.0</v>
      </c>
      <c r="C249" s="1">
        <v>2.0</v>
      </c>
      <c r="D249" s="1">
        <v>1.478624333E9</v>
      </c>
    </row>
    <row r="250">
      <c r="A250" s="1">
        <v>7537.0</v>
      </c>
      <c r="B250" s="1">
        <v>401.0</v>
      </c>
      <c r="C250" s="1">
        <v>10108.0</v>
      </c>
      <c r="D250" s="1">
        <v>1.478624963E9</v>
      </c>
    </row>
    <row r="251">
      <c r="A251" s="1">
        <v>7538.0</v>
      </c>
      <c r="B251" s="1">
        <v>401.0</v>
      </c>
      <c r="C251" s="1">
        <v>10108.0</v>
      </c>
      <c r="D251" s="1">
        <v>1.478624969E9</v>
      </c>
    </row>
    <row r="252">
      <c r="A252" s="1">
        <v>7540.0</v>
      </c>
      <c r="B252" s="1">
        <v>401.0</v>
      </c>
      <c r="C252" s="1">
        <v>2.0</v>
      </c>
      <c r="D252" s="1">
        <v>1.478624985E9</v>
      </c>
    </row>
    <row r="253">
      <c r="A253" s="1">
        <v>7543.0</v>
      </c>
      <c r="B253" s="1">
        <v>401.0</v>
      </c>
      <c r="C253" s="1">
        <v>2.0</v>
      </c>
      <c r="D253" s="1">
        <v>1.478625037E9</v>
      </c>
    </row>
    <row r="254">
      <c r="A254" s="1">
        <v>7544.0</v>
      </c>
      <c r="B254" s="1">
        <v>401.0</v>
      </c>
      <c r="C254" s="1">
        <v>10108.0</v>
      </c>
      <c r="D254" s="1">
        <v>1.478625068E9</v>
      </c>
    </row>
    <row r="255">
      <c r="A255" s="1">
        <v>7545.0</v>
      </c>
      <c r="B255" s="1">
        <v>401.0</v>
      </c>
      <c r="C255" s="1">
        <v>10108.0</v>
      </c>
      <c r="D255" s="1">
        <v>1.478625072E9</v>
      </c>
    </row>
    <row r="256">
      <c r="A256" s="1">
        <v>7556.0</v>
      </c>
      <c r="B256" s="1">
        <v>401.0</v>
      </c>
      <c r="C256" s="1">
        <v>10108.0</v>
      </c>
      <c r="D256" s="1">
        <v>1.478625178E9</v>
      </c>
    </row>
    <row r="257">
      <c r="A257" s="1">
        <v>7557.0</v>
      </c>
      <c r="B257" s="1">
        <v>401.0</v>
      </c>
      <c r="C257" s="1">
        <v>10108.0</v>
      </c>
      <c r="D257" s="1">
        <v>1.478625192E9</v>
      </c>
    </row>
    <row r="258">
      <c r="A258" s="1">
        <v>7560.0</v>
      </c>
      <c r="B258" s="1">
        <v>401.0</v>
      </c>
      <c r="C258" s="1">
        <v>2.0</v>
      </c>
      <c r="D258" s="1">
        <v>1.478625468E9</v>
      </c>
    </row>
    <row r="259">
      <c r="A259" s="1">
        <v>7561.0</v>
      </c>
      <c r="B259" s="1">
        <v>401.0</v>
      </c>
      <c r="C259" s="1">
        <v>2.0</v>
      </c>
      <c r="D259" s="1">
        <v>1.478625494E9</v>
      </c>
    </row>
    <row r="260">
      <c r="A260" s="1">
        <v>7563.0</v>
      </c>
      <c r="B260" s="1">
        <v>401.0</v>
      </c>
      <c r="C260" s="1">
        <v>2.0</v>
      </c>
      <c r="D260" s="1">
        <v>1.478625499E9</v>
      </c>
    </row>
    <row r="261">
      <c r="A261" s="1">
        <v>7565.0</v>
      </c>
      <c r="B261" s="1">
        <v>401.0</v>
      </c>
      <c r="C261" s="1">
        <v>10108.0</v>
      </c>
      <c r="D261" s="1">
        <v>1.47862559E9</v>
      </c>
    </row>
    <row r="262">
      <c r="A262" s="1">
        <v>7569.0</v>
      </c>
      <c r="B262" s="1">
        <v>401.0</v>
      </c>
      <c r="C262" s="1">
        <v>10108.0</v>
      </c>
      <c r="D262" s="1">
        <v>1.478625637E9</v>
      </c>
    </row>
    <row r="263">
      <c r="A263" s="1">
        <v>7580.0</v>
      </c>
      <c r="B263" s="1">
        <v>401.0</v>
      </c>
      <c r="C263" s="1">
        <v>2.0</v>
      </c>
      <c r="D263" s="1">
        <v>1.478625725E9</v>
      </c>
    </row>
    <row r="264">
      <c r="A264" s="1">
        <v>7586.0</v>
      </c>
      <c r="B264" s="1">
        <v>401.0</v>
      </c>
      <c r="C264" s="1">
        <v>10108.0</v>
      </c>
      <c r="D264" s="1">
        <v>1.478625797E9</v>
      </c>
    </row>
    <row r="265">
      <c r="A265" s="1">
        <v>7591.0</v>
      </c>
      <c r="B265" s="1">
        <v>401.0</v>
      </c>
      <c r="C265" s="1">
        <v>10108.0</v>
      </c>
      <c r="D265" s="1">
        <v>1.478625808E9</v>
      </c>
    </row>
    <row r="266">
      <c r="A266" s="1">
        <v>7592.0</v>
      </c>
      <c r="B266" s="1">
        <v>403.0</v>
      </c>
      <c r="C266" s="1">
        <v>10108.0</v>
      </c>
      <c r="D266" s="1">
        <v>1.478625819E9</v>
      </c>
    </row>
    <row r="267">
      <c r="A267" s="1">
        <v>7593.0</v>
      </c>
      <c r="B267" s="1">
        <v>403.0</v>
      </c>
      <c r="C267" s="1">
        <v>10108.0</v>
      </c>
      <c r="D267" s="1">
        <v>1.478625856E9</v>
      </c>
    </row>
    <row r="268">
      <c r="A268" s="1">
        <v>7600.0</v>
      </c>
      <c r="B268" s="1">
        <v>403.0</v>
      </c>
      <c r="C268" s="1">
        <v>10108.0</v>
      </c>
      <c r="D268" s="1">
        <v>1.478626012E9</v>
      </c>
    </row>
    <row r="269">
      <c r="A269" s="1">
        <v>7601.0</v>
      </c>
      <c r="B269" s="1">
        <v>404.0</v>
      </c>
      <c r="C269" s="1">
        <v>10108.0</v>
      </c>
      <c r="D269" s="1">
        <v>1.478626027E9</v>
      </c>
    </row>
    <row r="270">
      <c r="A270" s="1">
        <v>7602.0</v>
      </c>
      <c r="B270" s="1">
        <v>404.0</v>
      </c>
      <c r="C270" s="1">
        <v>2.0</v>
      </c>
      <c r="D270" s="1">
        <v>1.478626057E9</v>
      </c>
    </row>
    <row r="271">
      <c r="A271" s="1">
        <v>7603.0</v>
      </c>
      <c r="B271" s="1">
        <v>403.0</v>
      </c>
      <c r="C271" s="1">
        <v>2.0</v>
      </c>
      <c r="D271" s="1">
        <v>1.478626091E9</v>
      </c>
    </row>
    <row r="272">
      <c r="A272" s="1">
        <v>7604.0</v>
      </c>
      <c r="B272" s="1">
        <v>404.0</v>
      </c>
      <c r="C272" s="1">
        <v>2.0</v>
      </c>
      <c r="D272" s="1">
        <v>1.478626095E9</v>
      </c>
    </row>
    <row r="273">
      <c r="A273" s="1">
        <v>7605.0</v>
      </c>
      <c r="B273" s="1">
        <v>403.0</v>
      </c>
      <c r="C273" s="1">
        <v>10108.0</v>
      </c>
      <c r="D273" s="1">
        <v>1.478626144E9</v>
      </c>
    </row>
    <row r="274">
      <c r="A274" s="1">
        <v>7609.0</v>
      </c>
      <c r="B274" s="1">
        <v>403.0</v>
      </c>
      <c r="C274" s="1">
        <v>10108.0</v>
      </c>
      <c r="D274" s="1">
        <v>1.478626389E9</v>
      </c>
    </row>
    <row r="275">
      <c r="A275" s="1">
        <v>7610.0</v>
      </c>
      <c r="B275" s="1">
        <v>404.0</v>
      </c>
      <c r="C275" s="1">
        <v>10108.0</v>
      </c>
      <c r="D275" s="1">
        <v>1.478626396E9</v>
      </c>
    </row>
    <row r="276">
      <c r="A276" s="1">
        <v>7611.0</v>
      </c>
      <c r="B276" s="1">
        <v>404.0</v>
      </c>
      <c r="C276" s="1">
        <v>10108.0</v>
      </c>
      <c r="D276" s="1">
        <v>1.478626445E9</v>
      </c>
    </row>
    <row r="277">
      <c r="A277" s="1">
        <v>7612.0</v>
      </c>
      <c r="B277" s="1">
        <v>404.0</v>
      </c>
      <c r="C277" s="1">
        <v>10108.0</v>
      </c>
      <c r="D277" s="1">
        <v>1.478626449E9</v>
      </c>
    </row>
    <row r="278">
      <c r="A278" s="1">
        <v>7619.0</v>
      </c>
      <c r="B278" s="1">
        <v>404.0</v>
      </c>
      <c r="C278" s="1">
        <v>10108.0</v>
      </c>
      <c r="D278" s="1">
        <v>1.478626522E9</v>
      </c>
    </row>
    <row r="279">
      <c r="A279" s="1">
        <v>7620.0</v>
      </c>
      <c r="B279" s="1">
        <v>405.0</v>
      </c>
      <c r="C279" s="1">
        <v>10108.0</v>
      </c>
      <c r="D279" s="1">
        <v>1.478626534E9</v>
      </c>
    </row>
    <row r="280">
      <c r="A280" s="1">
        <v>7621.0</v>
      </c>
      <c r="B280" s="1">
        <v>404.0</v>
      </c>
      <c r="C280" s="1">
        <v>10108.0</v>
      </c>
      <c r="D280" s="1">
        <v>1.478626545E9</v>
      </c>
    </row>
    <row r="281">
      <c r="A281" s="1">
        <v>7622.0</v>
      </c>
      <c r="B281" s="1">
        <v>405.0</v>
      </c>
      <c r="C281" s="1">
        <v>10108.0</v>
      </c>
      <c r="D281" s="1">
        <v>1.478626575E9</v>
      </c>
    </row>
    <row r="282">
      <c r="A282" s="1">
        <v>7623.0</v>
      </c>
      <c r="B282" s="1">
        <v>405.0</v>
      </c>
      <c r="C282" s="1">
        <v>2.0</v>
      </c>
      <c r="D282" s="1">
        <v>1.478626588E9</v>
      </c>
    </row>
    <row r="283">
      <c r="A283" s="1">
        <v>7626.0</v>
      </c>
      <c r="B283" s="1">
        <v>405.0</v>
      </c>
      <c r="C283" s="1">
        <v>2.0</v>
      </c>
      <c r="D283" s="1">
        <v>1.478626664E9</v>
      </c>
    </row>
    <row r="284">
      <c r="A284" s="1">
        <v>7627.0</v>
      </c>
      <c r="B284" s="1">
        <v>405.0</v>
      </c>
      <c r="C284" s="1">
        <v>10108.0</v>
      </c>
      <c r="D284" s="1">
        <v>1.47862667E9</v>
      </c>
    </row>
    <row r="285">
      <c r="A285" s="1">
        <v>7630.0</v>
      </c>
      <c r="B285" s="1">
        <v>405.0</v>
      </c>
      <c r="C285" s="1">
        <v>10108.0</v>
      </c>
      <c r="D285" s="1">
        <v>1.478626709E9</v>
      </c>
    </row>
    <row r="286">
      <c r="A286" s="1">
        <v>7634.0</v>
      </c>
      <c r="B286" s="1">
        <v>405.0</v>
      </c>
      <c r="C286" s="1">
        <v>2.0</v>
      </c>
      <c r="D286" s="1">
        <v>1.478626818E9</v>
      </c>
    </row>
    <row r="287">
      <c r="A287" s="1">
        <v>7637.0</v>
      </c>
      <c r="B287" s="1">
        <v>405.0</v>
      </c>
      <c r="C287" s="1">
        <v>2.0</v>
      </c>
      <c r="D287" s="1">
        <v>1.478626863E9</v>
      </c>
    </row>
    <row r="288">
      <c r="A288" s="1">
        <v>7638.0</v>
      </c>
      <c r="B288" s="1">
        <v>405.0</v>
      </c>
      <c r="C288" s="1">
        <v>2.0</v>
      </c>
      <c r="D288" s="1">
        <v>1.47862688E9</v>
      </c>
    </row>
    <row r="289">
      <c r="A289" s="1">
        <v>7639.0</v>
      </c>
      <c r="B289" s="1">
        <v>405.0</v>
      </c>
      <c r="C289" s="1">
        <v>2.0</v>
      </c>
      <c r="D289" s="1">
        <v>1.478626884E9</v>
      </c>
    </row>
    <row r="290">
      <c r="A290" s="1">
        <v>7646.0</v>
      </c>
      <c r="B290" s="1">
        <v>405.0</v>
      </c>
      <c r="C290" s="1">
        <v>2.0</v>
      </c>
      <c r="D290" s="1">
        <v>1.47862698E9</v>
      </c>
    </row>
    <row r="291">
      <c r="A291" s="1">
        <v>7647.0</v>
      </c>
      <c r="B291" s="1">
        <v>405.0</v>
      </c>
      <c r="C291" s="1">
        <v>10108.0</v>
      </c>
      <c r="D291" s="1">
        <v>1.478626989E9</v>
      </c>
    </row>
    <row r="292">
      <c r="A292" s="1">
        <v>7655.0</v>
      </c>
      <c r="B292" s="1">
        <v>405.0</v>
      </c>
      <c r="C292" s="1">
        <v>10108.0</v>
      </c>
      <c r="D292" s="1">
        <v>1.478627025E9</v>
      </c>
    </row>
    <row r="293">
      <c r="A293" s="1">
        <v>7856.0</v>
      </c>
      <c r="B293" s="1">
        <v>405.0</v>
      </c>
      <c r="C293" s="1">
        <v>2.0</v>
      </c>
      <c r="D293" s="1">
        <v>1.478631794E9</v>
      </c>
    </row>
    <row r="294">
      <c r="A294" s="1">
        <v>7859.0</v>
      </c>
      <c r="B294" s="1">
        <v>405.0</v>
      </c>
      <c r="C294" s="1">
        <v>2.0</v>
      </c>
      <c r="D294" s="1">
        <v>1.478633751E9</v>
      </c>
    </row>
    <row r="295">
      <c r="A295" s="1">
        <v>7863.0</v>
      </c>
      <c r="B295" s="1">
        <v>403.0</v>
      </c>
      <c r="C295" s="1">
        <v>2.0</v>
      </c>
      <c r="D295" s="1">
        <v>1.478634379E9</v>
      </c>
    </row>
    <row r="296">
      <c r="A296" s="1">
        <v>7991.0</v>
      </c>
      <c r="B296" s="1">
        <v>403.0</v>
      </c>
      <c r="C296" s="1">
        <v>2.0</v>
      </c>
      <c r="D296" s="1">
        <v>1.478707855E9</v>
      </c>
    </row>
    <row r="297">
      <c r="A297" s="1">
        <v>8638.0</v>
      </c>
      <c r="B297" s="1">
        <v>401.0</v>
      </c>
      <c r="C297" s="1">
        <v>10111.0</v>
      </c>
      <c r="D297" s="1">
        <v>1.478728234E9</v>
      </c>
    </row>
    <row r="298">
      <c r="A298" s="1">
        <v>8657.0</v>
      </c>
      <c r="B298" s="1">
        <v>401.0</v>
      </c>
      <c r="C298" s="1">
        <v>10111.0</v>
      </c>
      <c r="D298" s="1">
        <v>1.478728399E9</v>
      </c>
    </row>
    <row r="299">
      <c r="A299" s="1">
        <v>8659.0</v>
      </c>
      <c r="B299" s="1">
        <v>403.0</v>
      </c>
      <c r="C299" s="1">
        <v>10111.0</v>
      </c>
      <c r="D299" s="1">
        <v>1.478728445E9</v>
      </c>
    </row>
    <row r="300">
      <c r="A300" s="1">
        <v>8673.0</v>
      </c>
      <c r="B300" s="1">
        <v>403.0</v>
      </c>
      <c r="C300" s="1">
        <v>2.0</v>
      </c>
      <c r="D300" s="1">
        <v>1.47872883E9</v>
      </c>
    </row>
    <row r="301">
      <c r="A301" s="1">
        <v>8679.0</v>
      </c>
      <c r="B301" s="1">
        <v>404.0</v>
      </c>
      <c r="C301" s="1">
        <v>10111.0</v>
      </c>
      <c r="D301" s="1">
        <v>1.478729102E9</v>
      </c>
    </row>
    <row r="302">
      <c r="A302" s="1">
        <v>8687.0</v>
      </c>
      <c r="B302" s="1">
        <v>404.0</v>
      </c>
      <c r="C302" s="1">
        <v>10111.0</v>
      </c>
      <c r="D302" s="1">
        <v>1.478729373E9</v>
      </c>
    </row>
    <row r="303">
      <c r="A303" s="1">
        <v>8688.0</v>
      </c>
      <c r="B303" s="1">
        <v>404.0</v>
      </c>
      <c r="C303" s="1">
        <v>2.0</v>
      </c>
      <c r="D303" s="1">
        <v>1.478729406E9</v>
      </c>
    </row>
    <row r="304">
      <c r="A304" s="1">
        <v>8697.0</v>
      </c>
      <c r="B304" s="1">
        <v>404.0</v>
      </c>
      <c r="C304" s="1">
        <v>2.0</v>
      </c>
      <c r="D304" s="1">
        <v>1.478729722E9</v>
      </c>
    </row>
    <row r="305">
      <c r="A305" s="1">
        <v>8698.0</v>
      </c>
      <c r="B305" s="1">
        <v>404.0</v>
      </c>
      <c r="C305" s="1">
        <v>10111.0</v>
      </c>
      <c r="D305" s="1">
        <v>1.478729818E9</v>
      </c>
    </row>
    <row r="306">
      <c r="A306" s="1">
        <v>8708.0</v>
      </c>
      <c r="B306" s="1">
        <v>404.0</v>
      </c>
      <c r="C306" s="1">
        <v>10111.0</v>
      </c>
      <c r="D306" s="1">
        <v>1.478730081E9</v>
      </c>
    </row>
    <row r="307">
      <c r="A307" s="1">
        <v>8709.0</v>
      </c>
      <c r="B307" s="1">
        <v>404.0</v>
      </c>
      <c r="C307" s="1">
        <v>10111.0</v>
      </c>
      <c r="D307" s="1">
        <v>1.478730083E9</v>
      </c>
    </row>
    <row r="308">
      <c r="A308" s="1">
        <v>8711.0</v>
      </c>
      <c r="B308" s="1">
        <v>405.0</v>
      </c>
      <c r="C308" s="1">
        <v>10111.0</v>
      </c>
      <c r="D308" s="1">
        <v>1.478730094E9</v>
      </c>
    </row>
    <row r="309">
      <c r="A309" s="1">
        <v>8712.0</v>
      </c>
      <c r="B309" s="1">
        <v>405.0</v>
      </c>
      <c r="C309" s="1">
        <v>10111.0</v>
      </c>
      <c r="D309" s="1">
        <v>1.478730122E9</v>
      </c>
    </row>
    <row r="310">
      <c r="A310" s="1">
        <v>8720.0</v>
      </c>
      <c r="B310" s="1">
        <v>405.0</v>
      </c>
      <c r="C310" s="1">
        <v>10111.0</v>
      </c>
      <c r="D310" s="1">
        <v>1.478730196E9</v>
      </c>
    </row>
    <row r="311">
      <c r="A311" s="1">
        <v>8722.0</v>
      </c>
      <c r="B311" s="1">
        <v>405.0</v>
      </c>
      <c r="C311" s="1">
        <v>10111.0</v>
      </c>
      <c r="D311" s="1">
        <v>1.478730311E9</v>
      </c>
    </row>
    <row r="312">
      <c r="A312" s="1">
        <v>8723.0</v>
      </c>
      <c r="B312" s="1">
        <v>405.0</v>
      </c>
      <c r="C312" s="1">
        <v>2.0</v>
      </c>
      <c r="D312" s="1">
        <v>1.478730349E9</v>
      </c>
    </row>
    <row r="313">
      <c r="A313" s="1">
        <v>8731.0</v>
      </c>
      <c r="B313" s="1">
        <v>405.0</v>
      </c>
      <c r="C313" s="1">
        <v>10111.0</v>
      </c>
      <c r="D313" s="1">
        <v>1.478730483E9</v>
      </c>
    </row>
    <row r="314">
      <c r="A314" s="1">
        <v>8751.0</v>
      </c>
      <c r="B314" s="1">
        <v>401.0</v>
      </c>
      <c r="C314" s="1">
        <v>10112.0</v>
      </c>
      <c r="D314" s="1">
        <v>1.478730898E9</v>
      </c>
    </row>
    <row r="315">
      <c r="A315" s="1">
        <v>8760.0</v>
      </c>
      <c r="B315" s="1">
        <v>401.0</v>
      </c>
      <c r="C315" s="1">
        <v>10112.0</v>
      </c>
      <c r="D315" s="1">
        <v>1.47873102E9</v>
      </c>
    </row>
    <row r="316">
      <c r="A316" s="1">
        <v>8762.0</v>
      </c>
      <c r="B316" s="1">
        <v>403.0</v>
      </c>
      <c r="C316" s="1">
        <v>10112.0</v>
      </c>
      <c r="D316" s="1">
        <v>1.478731024E9</v>
      </c>
    </row>
    <row r="317">
      <c r="A317" s="1">
        <v>8770.0</v>
      </c>
      <c r="B317" s="1">
        <v>403.0</v>
      </c>
      <c r="C317" s="1">
        <v>10112.0</v>
      </c>
      <c r="D317" s="1">
        <v>1.478733199E9</v>
      </c>
    </row>
    <row r="318">
      <c r="A318" s="1">
        <v>8779.0</v>
      </c>
      <c r="B318" s="1">
        <v>403.0</v>
      </c>
      <c r="C318" s="1">
        <v>10112.0</v>
      </c>
      <c r="D318" s="1">
        <v>1.478733653E9</v>
      </c>
    </row>
    <row r="319">
      <c r="A319" s="1">
        <v>8788.0</v>
      </c>
      <c r="B319" s="1">
        <v>403.0</v>
      </c>
      <c r="C319" s="1">
        <v>10112.0</v>
      </c>
      <c r="D319" s="1">
        <v>1.478733793E9</v>
      </c>
    </row>
    <row r="320">
      <c r="A320" s="1">
        <v>8790.0</v>
      </c>
      <c r="B320" s="1">
        <v>404.0</v>
      </c>
      <c r="C320" s="1">
        <v>10112.0</v>
      </c>
      <c r="D320" s="1">
        <v>1.478733799E9</v>
      </c>
    </row>
    <row r="321">
      <c r="A321" s="1">
        <v>8799.0</v>
      </c>
      <c r="B321" s="1">
        <v>405.0</v>
      </c>
      <c r="C321" s="1">
        <v>10112.0</v>
      </c>
      <c r="D321" s="1">
        <v>1.478733881E9</v>
      </c>
    </row>
    <row r="322">
      <c r="A322" s="1">
        <v>8806.0</v>
      </c>
      <c r="B322" s="1">
        <v>405.0</v>
      </c>
      <c r="C322" s="1">
        <v>10112.0</v>
      </c>
      <c r="D322" s="1">
        <v>1.478733936E9</v>
      </c>
    </row>
    <row r="323">
      <c r="A323" s="1">
        <v>8807.0</v>
      </c>
      <c r="B323" s="1">
        <v>405.0</v>
      </c>
      <c r="C323" s="1">
        <v>10112.0</v>
      </c>
      <c r="D323" s="1">
        <v>1.478733944E9</v>
      </c>
    </row>
    <row r="324">
      <c r="A324" s="1">
        <v>8900.0</v>
      </c>
      <c r="B324" s="1">
        <v>401.0</v>
      </c>
      <c r="C324" s="1">
        <v>10114.0</v>
      </c>
      <c r="D324" s="1">
        <v>1.478758475E9</v>
      </c>
    </row>
    <row r="325">
      <c r="A325" s="1">
        <v>8908.0</v>
      </c>
      <c r="B325" s="1">
        <v>401.0</v>
      </c>
      <c r="C325" s="1">
        <v>10114.0</v>
      </c>
      <c r="D325" s="1">
        <v>1.478758625E9</v>
      </c>
    </row>
    <row r="326">
      <c r="A326" s="1">
        <v>8910.0</v>
      </c>
      <c r="B326" s="1">
        <v>401.0</v>
      </c>
      <c r="C326" s="1">
        <v>10114.0</v>
      </c>
      <c r="D326" s="1">
        <v>1.478758717E9</v>
      </c>
    </row>
    <row r="327">
      <c r="A327" s="1">
        <v>8912.0</v>
      </c>
      <c r="B327" s="1">
        <v>403.0</v>
      </c>
      <c r="C327" s="1">
        <v>10114.0</v>
      </c>
      <c r="D327" s="1">
        <v>1.478758721E9</v>
      </c>
    </row>
    <row r="328">
      <c r="A328" s="1">
        <v>8921.0</v>
      </c>
      <c r="B328" s="1">
        <v>404.0</v>
      </c>
      <c r="C328" s="1">
        <v>10114.0</v>
      </c>
      <c r="D328" s="1">
        <v>1.478758759E9</v>
      </c>
    </row>
    <row r="329">
      <c r="A329" s="1">
        <v>8934.0</v>
      </c>
      <c r="B329" s="1">
        <v>404.0</v>
      </c>
      <c r="C329" s="1">
        <v>10114.0</v>
      </c>
      <c r="D329" s="1">
        <v>1.478758847E9</v>
      </c>
    </row>
    <row r="330">
      <c r="A330" s="1">
        <v>8940.0</v>
      </c>
      <c r="B330" s="1">
        <v>404.0</v>
      </c>
      <c r="C330" s="1">
        <v>10114.0</v>
      </c>
      <c r="D330" s="1">
        <v>1.478758875E9</v>
      </c>
    </row>
    <row r="331">
      <c r="A331" s="1">
        <v>8942.0</v>
      </c>
      <c r="B331" s="1">
        <v>405.0</v>
      </c>
      <c r="C331" s="1">
        <v>10114.0</v>
      </c>
      <c r="D331" s="1">
        <v>1.478758879E9</v>
      </c>
    </row>
    <row r="332">
      <c r="A332" s="1">
        <v>8949.0</v>
      </c>
      <c r="B332" s="1">
        <v>405.0</v>
      </c>
      <c r="C332" s="1">
        <v>10114.0</v>
      </c>
      <c r="D332" s="1">
        <v>1.478758895E9</v>
      </c>
    </row>
    <row r="333">
      <c r="A333" s="1">
        <v>9288.0</v>
      </c>
      <c r="B333" s="1">
        <v>401.0</v>
      </c>
      <c r="C333" s="1">
        <v>2.0</v>
      </c>
      <c r="D333" s="1">
        <v>1.478786863E9</v>
      </c>
    </row>
    <row r="334">
      <c r="A334" s="1">
        <v>9561.0</v>
      </c>
      <c r="B334" s="1">
        <v>401.0</v>
      </c>
      <c r="C334" s="1">
        <v>2.0</v>
      </c>
      <c r="D334" s="1">
        <v>1.478900273E9</v>
      </c>
    </row>
    <row r="335">
      <c r="A335" s="1">
        <v>9565.0</v>
      </c>
      <c r="B335" s="1">
        <v>401.0</v>
      </c>
      <c r="C335" s="1">
        <v>2.0</v>
      </c>
      <c r="D335" s="1">
        <v>1.478900318E9</v>
      </c>
    </row>
    <row r="336">
      <c r="A336" s="1">
        <v>9567.0</v>
      </c>
      <c r="B336" s="1">
        <v>403.0</v>
      </c>
      <c r="C336" s="1">
        <v>2.0</v>
      </c>
      <c r="D336" s="1">
        <v>1.478900335E9</v>
      </c>
    </row>
    <row r="337">
      <c r="A337" s="1">
        <v>9570.0</v>
      </c>
      <c r="B337" s="1">
        <v>403.0</v>
      </c>
      <c r="C337" s="1">
        <v>2.0</v>
      </c>
      <c r="D337" s="1">
        <v>1.478900357E9</v>
      </c>
    </row>
    <row r="338">
      <c r="A338" s="1">
        <v>9571.0</v>
      </c>
      <c r="B338" s="1">
        <v>404.0</v>
      </c>
      <c r="C338" s="1">
        <v>2.0</v>
      </c>
      <c r="D338" s="1">
        <v>1.478900363E9</v>
      </c>
    </row>
    <row r="339">
      <c r="A339" s="1">
        <v>9574.0</v>
      </c>
      <c r="B339" s="1">
        <v>404.0</v>
      </c>
      <c r="C339" s="1">
        <v>2.0</v>
      </c>
      <c r="D339" s="1">
        <v>1.47890039E9</v>
      </c>
    </row>
    <row r="340">
      <c r="A340" s="1">
        <v>9575.0</v>
      </c>
      <c r="B340" s="1">
        <v>405.0</v>
      </c>
      <c r="C340" s="1">
        <v>2.0</v>
      </c>
      <c r="D340" s="1">
        <v>1.478900408E9</v>
      </c>
    </row>
    <row r="341">
      <c r="A341" s="1">
        <v>9578.0</v>
      </c>
      <c r="B341" s="1">
        <v>405.0</v>
      </c>
      <c r="C341" s="1">
        <v>2.0</v>
      </c>
      <c r="D341" s="1">
        <v>1.478900428E9</v>
      </c>
    </row>
    <row r="342">
      <c r="A342" s="1">
        <v>9597.0</v>
      </c>
      <c r="B342" s="1">
        <v>401.0</v>
      </c>
      <c r="C342" s="1">
        <v>10115.0</v>
      </c>
      <c r="D342" s="1">
        <v>1.478903076E9</v>
      </c>
    </row>
    <row r="343">
      <c r="A343" s="1">
        <v>9599.0</v>
      </c>
      <c r="B343" s="1">
        <v>401.0</v>
      </c>
      <c r="C343" s="1">
        <v>2.0</v>
      </c>
      <c r="D343" s="1">
        <v>1.478903117E9</v>
      </c>
    </row>
    <row r="344">
      <c r="A344" s="1">
        <v>9600.0</v>
      </c>
      <c r="B344" s="1">
        <v>401.0</v>
      </c>
      <c r="C344" s="1">
        <v>10115.0</v>
      </c>
      <c r="D344" s="1">
        <v>1.478903129E9</v>
      </c>
    </row>
    <row r="345">
      <c r="A345" s="1">
        <v>9612.0</v>
      </c>
      <c r="B345" s="1">
        <v>403.0</v>
      </c>
      <c r="C345" s="1">
        <v>10115.0</v>
      </c>
      <c r="D345" s="1">
        <v>1.478903197E9</v>
      </c>
    </row>
    <row r="346">
      <c r="A346" s="1">
        <v>9620.0</v>
      </c>
      <c r="B346" s="1">
        <v>404.0</v>
      </c>
      <c r="C346" s="1">
        <v>10115.0</v>
      </c>
      <c r="D346" s="1">
        <v>1.478903243E9</v>
      </c>
    </row>
    <row r="347">
      <c r="A347" s="1">
        <v>9629.0</v>
      </c>
      <c r="B347" s="1">
        <v>405.0</v>
      </c>
      <c r="C347" s="1">
        <v>10115.0</v>
      </c>
      <c r="D347" s="1">
        <v>1.478903311E9</v>
      </c>
    </row>
    <row r="348">
      <c r="A348" s="1">
        <v>9967.0</v>
      </c>
      <c r="B348" s="1">
        <v>401.0</v>
      </c>
      <c r="C348" s="1">
        <v>10125.0</v>
      </c>
      <c r="D348" s="1">
        <v>1.478906055E9</v>
      </c>
    </row>
    <row r="349">
      <c r="A349" s="1">
        <v>9970.0</v>
      </c>
      <c r="B349" s="1">
        <v>401.0</v>
      </c>
      <c r="C349" s="1">
        <v>10128.0</v>
      </c>
      <c r="D349" s="1">
        <v>1.478906063E9</v>
      </c>
    </row>
    <row r="350">
      <c r="A350" s="1">
        <v>9986.0</v>
      </c>
      <c r="B350" s="1">
        <v>401.0</v>
      </c>
      <c r="C350" s="1">
        <v>10123.0</v>
      </c>
      <c r="D350" s="1">
        <v>1.478906121E9</v>
      </c>
    </row>
    <row r="351">
      <c r="A351" s="1">
        <v>9994.0</v>
      </c>
      <c r="B351" s="1">
        <v>401.0</v>
      </c>
      <c r="C351" s="1">
        <v>10120.0</v>
      </c>
      <c r="D351" s="1">
        <v>1.478906144E9</v>
      </c>
    </row>
    <row r="352">
      <c r="A352" s="1">
        <v>10002.0</v>
      </c>
      <c r="B352" s="1">
        <v>401.0</v>
      </c>
      <c r="C352" s="1">
        <v>10129.0</v>
      </c>
      <c r="D352" s="1">
        <v>1.478906156E9</v>
      </c>
    </row>
    <row r="353">
      <c r="A353" s="1">
        <v>10020.0</v>
      </c>
      <c r="B353" s="1">
        <v>401.0</v>
      </c>
      <c r="C353" s="1">
        <v>10134.0</v>
      </c>
      <c r="D353" s="1">
        <v>1.478906184E9</v>
      </c>
    </row>
    <row r="354">
      <c r="A354" s="1">
        <v>10035.0</v>
      </c>
      <c r="B354" s="1">
        <v>401.0</v>
      </c>
      <c r="C354" s="1">
        <v>10123.0</v>
      </c>
      <c r="D354" s="1">
        <v>1.478906195E9</v>
      </c>
    </row>
    <row r="355">
      <c r="A355" s="1">
        <v>10036.0</v>
      </c>
      <c r="B355" s="1">
        <v>401.0</v>
      </c>
      <c r="C355" s="1">
        <v>10116.0</v>
      </c>
      <c r="D355" s="1">
        <v>1.478906198E9</v>
      </c>
    </row>
    <row r="356">
      <c r="A356" s="1">
        <v>10043.0</v>
      </c>
      <c r="B356" s="1">
        <v>401.0</v>
      </c>
      <c r="C356" s="1">
        <v>10128.0</v>
      </c>
      <c r="D356" s="1">
        <v>1.478906208E9</v>
      </c>
    </row>
    <row r="357">
      <c r="A357" s="1">
        <v>10068.0</v>
      </c>
      <c r="B357" s="1">
        <v>401.0</v>
      </c>
      <c r="C357" s="1">
        <v>10132.0</v>
      </c>
      <c r="D357" s="1">
        <v>1.478906241E9</v>
      </c>
    </row>
    <row r="358">
      <c r="A358" s="1">
        <v>10085.0</v>
      </c>
      <c r="B358" s="1">
        <v>401.0</v>
      </c>
      <c r="C358" s="1">
        <v>10130.0</v>
      </c>
      <c r="D358" s="1">
        <v>1.478906266E9</v>
      </c>
    </row>
    <row r="359">
      <c r="A359" s="1">
        <v>10092.0</v>
      </c>
      <c r="B359" s="1">
        <v>401.0</v>
      </c>
      <c r="C359" s="1">
        <v>10121.0</v>
      </c>
      <c r="D359" s="1">
        <v>1.478906273E9</v>
      </c>
    </row>
    <row r="360">
      <c r="A360" s="1">
        <v>10135.0</v>
      </c>
      <c r="B360" s="1">
        <v>401.0</v>
      </c>
      <c r="C360" s="1">
        <v>10137.0</v>
      </c>
      <c r="D360" s="1">
        <v>1.478906334E9</v>
      </c>
    </row>
    <row r="361">
      <c r="A361" s="1">
        <v>10143.0</v>
      </c>
      <c r="B361" s="1">
        <v>401.0</v>
      </c>
      <c r="C361" s="1">
        <v>10136.0</v>
      </c>
      <c r="D361" s="1">
        <v>1.478906343E9</v>
      </c>
    </row>
    <row r="362">
      <c r="A362" s="1">
        <v>10148.0</v>
      </c>
      <c r="B362" s="1">
        <v>401.0</v>
      </c>
      <c r="C362" s="1">
        <v>10136.0</v>
      </c>
      <c r="D362" s="1">
        <v>1.478906346E9</v>
      </c>
    </row>
    <row r="363">
      <c r="A363" s="1">
        <v>10155.0</v>
      </c>
      <c r="B363" s="1">
        <v>401.0</v>
      </c>
      <c r="C363" s="1">
        <v>10116.0</v>
      </c>
      <c r="D363" s="1">
        <v>1.478906349E9</v>
      </c>
    </row>
    <row r="364">
      <c r="A364" s="1">
        <v>10162.0</v>
      </c>
      <c r="B364" s="1">
        <v>401.0</v>
      </c>
      <c r="C364" s="1">
        <v>10132.0</v>
      </c>
      <c r="D364" s="1">
        <v>1.478906357E9</v>
      </c>
    </row>
    <row r="365">
      <c r="A365" s="1">
        <v>10166.0</v>
      </c>
      <c r="B365" s="1">
        <v>401.0</v>
      </c>
      <c r="C365" s="1">
        <v>10130.0</v>
      </c>
      <c r="D365" s="1">
        <v>1.478906371E9</v>
      </c>
    </row>
    <row r="366">
      <c r="A366" s="1">
        <v>10175.0</v>
      </c>
      <c r="B366" s="1">
        <v>401.0</v>
      </c>
      <c r="C366" s="1">
        <v>10127.0</v>
      </c>
      <c r="D366" s="1">
        <v>1.478906374E9</v>
      </c>
    </row>
    <row r="367">
      <c r="A367" s="1">
        <v>10180.0</v>
      </c>
      <c r="B367" s="1">
        <v>401.0</v>
      </c>
      <c r="C367" s="1">
        <v>10127.0</v>
      </c>
      <c r="D367" s="1">
        <v>1.478906395E9</v>
      </c>
    </row>
    <row r="368">
      <c r="A368" s="1">
        <v>10199.0</v>
      </c>
      <c r="B368" s="1">
        <v>401.0</v>
      </c>
      <c r="C368" s="1">
        <v>10133.0</v>
      </c>
      <c r="D368" s="1">
        <v>1.478906433E9</v>
      </c>
    </row>
    <row r="369">
      <c r="A369" s="1">
        <v>10217.0</v>
      </c>
      <c r="B369" s="1">
        <v>401.0</v>
      </c>
      <c r="C369" s="1">
        <v>10126.0</v>
      </c>
      <c r="D369" s="1">
        <v>1.478906457E9</v>
      </c>
    </row>
    <row r="370">
      <c r="A370" s="1">
        <v>10218.0</v>
      </c>
      <c r="B370" s="1">
        <v>401.0</v>
      </c>
      <c r="C370" s="1">
        <v>10142.0</v>
      </c>
      <c r="D370" s="1">
        <v>1.478906458E9</v>
      </c>
    </row>
    <row r="371">
      <c r="A371" s="1">
        <v>10232.0</v>
      </c>
      <c r="B371" s="1">
        <v>401.0</v>
      </c>
      <c r="C371" s="1">
        <v>10140.0</v>
      </c>
      <c r="D371" s="1">
        <v>1.478906479E9</v>
      </c>
    </row>
    <row r="372">
      <c r="A372" s="1">
        <v>10265.0</v>
      </c>
      <c r="B372" s="1">
        <v>401.0</v>
      </c>
      <c r="C372" s="1">
        <v>10140.0</v>
      </c>
      <c r="D372" s="1">
        <v>1.478906514E9</v>
      </c>
    </row>
    <row r="373">
      <c r="A373" s="1">
        <v>10267.0</v>
      </c>
      <c r="B373" s="1">
        <v>401.0</v>
      </c>
      <c r="C373" s="1">
        <v>10116.0</v>
      </c>
      <c r="D373" s="1">
        <v>1.478906518E9</v>
      </c>
    </row>
    <row r="374">
      <c r="A374" s="1">
        <v>10270.0</v>
      </c>
      <c r="B374" s="1">
        <v>401.0</v>
      </c>
      <c r="C374" s="1">
        <v>10116.0</v>
      </c>
      <c r="D374" s="1">
        <v>1.478906522E9</v>
      </c>
    </row>
    <row r="375">
      <c r="A375" s="1">
        <v>10271.0</v>
      </c>
      <c r="B375" s="1">
        <v>401.0</v>
      </c>
      <c r="C375" s="1">
        <v>10141.0</v>
      </c>
      <c r="D375" s="1">
        <v>1.478906523E9</v>
      </c>
    </row>
    <row r="376">
      <c r="A376" s="1">
        <v>10279.0</v>
      </c>
      <c r="B376" s="1">
        <v>403.0</v>
      </c>
      <c r="C376" s="1">
        <v>10116.0</v>
      </c>
      <c r="D376" s="1">
        <v>1.478906527E9</v>
      </c>
    </row>
    <row r="377">
      <c r="A377" s="1">
        <v>10321.0</v>
      </c>
      <c r="B377" s="1">
        <v>401.0</v>
      </c>
      <c r="C377" s="1">
        <v>10119.0</v>
      </c>
      <c r="D377" s="1">
        <v>1.478906578E9</v>
      </c>
    </row>
    <row r="378">
      <c r="A378" s="1">
        <v>10330.0</v>
      </c>
      <c r="B378" s="1">
        <v>401.0</v>
      </c>
      <c r="C378" s="1">
        <v>10150.0</v>
      </c>
      <c r="D378" s="1">
        <v>1.478906586E9</v>
      </c>
    </row>
    <row r="379">
      <c r="A379" s="1">
        <v>10339.0</v>
      </c>
      <c r="B379" s="1">
        <v>401.0</v>
      </c>
      <c r="C379" s="1">
        <v>10119.0</v>
      </c>
      <c r="D379" s="1">
        <v>1.478906596E9</v>
      </c>
    </row>
    <row r="380">
      <c r="A380" s="1">
        <v>10342.0</v>
      </c>
      <c r="B380" s="1">
        <v>401.0</v>
      </c>
      <c r="C380" s="1">
        <v>10143.0</v>
      </c>
      <c r="D380" s="1">
        <v>1.478906598E9</v>
      </c>
    </row>
    <row r="381">
      <c r="A381" s="1">
        <v>10349.0</v>
      </c>
      <c r="B381" s="1">
        <v>401.0</v>
      </c>
      <c r="C381" s="1">
        <v>10131.0</v>
      </c>
      <c r="D381" s="1">
        <v>1.478906605E9</v>
      </c>
    </row>
    <row r="382">
      <c r="A382" s="1">
        <v>10350.0</v>
      </c>
      <c r="B382" s="1">
        <v>401.0</v>
      </c>
      <c r="C382" s="1">
        <v>10135.0</v>
      </c>
      <c r="D382" s="1">
        <v>1.478906606E9</v>
      </c>
    </row>
    <row r="383">
      <c r="A383" s="1">
        <v>10364.0</v>
      </c>
      <c r="B383" s="1">
        <v>401.0</v>
      </c>
      <c r="C383" s="1">
        <v>10148.0</v>
      </c>
      <c r="D383" s="1">
        <v>1.478906612E9</v>
      </c>
    </row>
    <row r="384">
      <c r="A384" s="1">
        <v>10371.0</v>
      </c>
      <c r="B384" s="1">
        <v>401.0</v>
      </c>
      <c r="C384" s="1">
        <v>10122.0</v>
      </c>
      <c r="D384" s="1">
        <v>1.478906616E9</v>
      </c>
    </row>
    <row r="385">
      <c r="A385" s="1">
        <v>10380.0</v>
      </c>
      <c r="B385" s="1">
        <v>401.0</v>
      </c>
      <c r="C385" s="1">
        <v>10136.0</v>
      </c>
      <c r="D385" s="1">
        <v>1.478906622E9</v>
      </c>
    </row>
    <row r="386">
      <c r="A386" s="1">
        <v>10384.0</v>
      </c>
      <c r="B386" s="1">
        <v>401.0</v>
      </c>
      <c r="C386" s="1">
        <v>10145.0</v>
      </c>
      <c r="D386" s="1">
        <v>1.478906627E9</v>
      </c>
    </row>
    <row r="387">
      <c r="A387" s="1">
        <v>10390.0</v>
      </c>
      <c r="B387" s="1">
        <v>401.0</v>
      </c>
      <c r="C387" s="1">
        <v>10134.0</v>
      </c>
      <c r="D387" s="1">
        <v>1.478906632E9</v>
      </c>
    </row>
    <row r="388">
      <c r="A388" s="1">
        <v>10408.0</v>
      </c>
      <c r="B388" s="1">
        <v>401.0</v>
      </c>
      <c r="C388" s="1">
        <v>10140.0</v>
      </c>
      <c r="D388" s="1">
        <v>1.478906642E9</v>
      </c>
    </row>
    <row r="389">
      <c r="A389" s="1">
        <v>10427.0</v>
      </c>
      <c r="B389" s="1">
        <v>401.0</v>
      </c>
      <c r="C389" s="1">
        <v>10141.0</v>
      </c>
      <c r="D389" s="1">
        <v>1.478906661E9</v>
      </c>
    </row>
    <row r="390">
      <c r="A390" s="1">
        <v>10445.0</v>
      </c>
      <c r="B390" s="1">
        <v>401.0</v>
      </c>
      <c r="C390" s="1">
        <v>10133.0</v>
      </c>
      <c r="D390" s="1">
        <v>1.478906678E9</v>
      </c>
    </row>
    <row r="391">
      <c r="A391" s="1">
        <v>10452.0</v>
      </c>
      <c r="B391" s="1">
        <v>401.0</v>
      </c>
      <c r="C391" s="1">
        <v>10135.0</v>
      </c>
      <c r="D391" s="1">
        <v>1.478906687E9</v>
      </c>
    </row>
    <row r="392">
      <c r="A392" s="1">
        <v>10459.0</v>
      </c>
      <c r="B392" s="1">
        <v>401.0</v>
      </c>
      <c r="C392" s="1">
        <v>10120.0</v>
      </c>
      <c r="D392" s="1">
        <v>1.478906697E9</v>
      </c>
    </row>
    <row r="393">
      <c r="A393" s="1">
        <v>10461.0</v>
      </c>
      <c r="B393" s="1">
        <v>401.0</v>
      </c>
      <c r="C393" s="1">
        <v>10139.0</v>
      </c>
      <c r="D393" s="1">
        <v>1.478906702E9</v>
      </c>
    </row>
    <row r="394">
      <c r="A394" s="1">
        <v>10476.0</v>
      </c>
      <c r="B394" s="1">
        <v>403.0</v>
      </c>
      <c r="C394" s="1">
        <v>10128.0</v>
      </c>
      <c r="D394" s="1">
        <v>1.478906721E9</v>
      </c>
    </row>
    <row r="395">
      <c r="A395" s="1">
        <v>10525.0</v>
      </c>
      <c r="B395" s="1">
        <v>401.0</v>
      </c>
      <c r="C395" s="1">
        <v>10140.0</v>
      </c>
      <c r="D395" s="1">
        <v>1.478906791E9</v>
      </c>
    </row>
    <row r="396">
      <c r="A396" s="1">
        <v>10531.0</v>
      </c>
      <c r="B396" s="1">
        <v>401.0</v>
      </c>
      <c r="C396" s="1">
        <v>10123.0</v>
      </c>
      <c r="D396" s="1">
        <v>1.478906801E9</v>
      </c>
    </row>
    <row r="397">
      <c r="A397" s="1">
        <v>10533.0</v>
      </c>
      <c r="B397" s="1">
        <v>401.0</v>
      </c>
      <c r="C397" s="1">
        <v>10123.0</v>
      </c>
      <c r="D397" s="1">
        <v>1.478906802E9</v>
      </c>
    </row>
    <row r="398">
      <c r="A398" s="1">
        <v>10535.0</v>
      </c>
      <c r="B398" s="1">
        <v>403.0</v>
      </c>
      <c r="C398" s="1">
        <v>10123.0</v>
      </c>
      <c r="D398" s="1">
        <v>1.478906808E9</v>
      </c>
    </row>
    <row r="399">
      <c r="A399" s="1">
        <v>10540.0</v>
      </c>
      <c r="B399" s="1">
        <v>401.0</v>
      </c>
      <c r="C399" s="1">
        <v>10147.0</v>
      </c>
      <c r="D399" s="1">
        <v>1.478906822E9</v>
      </c>
    </row>
    <row r="400">
      <c r="A400" s="1">
        <v>10542.0</v>
      </c>
      <c r="B400" s="1">
        <v>401.0</v>
      </c>
      <c r="C400" s="1">
        <v>10125.0</v>
      </c>
      <c r="D400" s="1">
        <v>1.478906823E9</v>
      </c>
    </row>
    <row r="401">
      <c r="A401" s="1">
        <v>10543.0</v>
      </c>
      <c r="B401" s="1">
        <v>401.0</v>
      </c>
      <c r="C401" s="1">
        <v>10116.0</v>
      </c>
      <c r="D401" s="1">
        <v>1.478906827E9</v>
      </c>
    </row>
    <row r="402">
      <c r="A402" s="1">
        <v>10550.0</v>
      </c>
      <c r="B402" s="1">
        <v>401.0</v>
      </c>
      <c r="C402" s="1">
        <v>10137.0</v>
      </c>
      <c r="D402" s="1">
        <v>1.478906835E9</v>
      </c>
    </row>
    <row r="403">
      <c r="A403" s="1">
        <v>10553.0</v>
      </c>
      <c r="B403" s="1">
        <v>401.0</v>
      </c>
      <c r="C403" s="1">
        <v>10144.0</v>
      </c>
      <c r="D403" s="1">
        <v>1.478906842E9</v>
      </c>
    </row>
    <row r="404">
      <c r="A404" s="1">
        <v>10563.0</v>
      </c>
      <c r="B404" s="1">
        <v>403.0</v>
      </c>
      <c r="C404" s="1">
        <v>10125.0</v>
      </c>
      <c r="D404" s="1">
        <v>1.478906867E9</v>
      </c>
    </row>
    <row r="405">
      <c r="A405" s="1">
        <v>10564.0</v>
      </c>
      <c r="B405" s="1">
        <v>401.0</v>
      </c>
      <c r="C405" s="1">
        <v>10123.0</v>
      </c>
      <c r="D405" s="1">
        <v>1.478906875E9</v>
      </c>
    </row>
    <row r="406">
      <c r="A406" s="1">
        <v>10567.0</v>
      </c>
      <c r="B406" s="1">
        <v>401.0</v>
      </c>
      <c r="C406" s="1">
        <v>10123.0</v>
      </c>
      <c r="D406" s="1">
        <v>1.478906877E9</v>
      </c>
    </row>
    <row r="407">
      <c r="A407" s="1">
        <v>10566.0</v>
      </c>
      <c r="B407" s="1">
        <v>401.0</v>
      </c>
      <c r="C407" s="1">
        <v>10125.0</v>
      </c>
      <c r="D407" s="1">
        <v>1.478906877E9</v>
      </c>
    </row>
    <row r="408">
      <c r="A408" s="1">
        <v>10569.0</v>
      </c>
      <c r="B408" s="1">
        <v>401.0</v>
      </c>
      <c r="C408" s="1">
        <v>10125.0</v>
      </c>
      <c r="D408" s="1">
        <v>1.478906879E9</v>
      </c>
    </row>
    <row r="409">
      <c r="A409" s="1">
        <v>10573.0</v>
      </c>
      <c r="B409" s="1">
        <v>403.0</v>
      </c>
      <c r="C409" s="1">
        <v>10123.0</v>
      </c>
      <c r="D409" s="1">
        <v>1.478906884E9</v>
      </c>
    </row>
    <row r="410">
      <c r="A410" s="1">
        <v>10576.0</v>
      </c>
      <c r="B410" s="1">
        <v>401.0</v>
      </c>
      <c r="C410" s="1">
        <v>10138.0</v>
      </c>
      <c r="D410" s="1">
        <v>1.478906896E9</v>
      </c>
    </row>
    <row r="411">
      <c r="A411" s="1">
        <v>10581.0</v>
      </c>
      <c r="B411" s="1">
        <v>401.0</v>
      </c>
      <c r="C411" s="1">
        <v>10131.0</v>
      </c>
      <c r="D411" s="1">
        <v>1.478906924E9</v>
      </c>
    </row>
    <row r="412">
      <c r="A412" s="1">
        <v>10589.0</v>
      </c>
      <c r="B412" s="1">
        <v>403.0</v>
      </c>
      <c r="C412" s="1">
        <v>10150.0</v>
      </c>
      <c r="D412" s="1">
        <v>1.478906934E9</v>
      </c>
    </row>
    <row r="413">
      <c r="A413" s="1">
        <v>10590.0</v>
      </c>
      <c r="B413" s="1">
        <v>401.0</v>
      </c>
      <c r="C413" s="1">
        <v>10146.0</v>
      </c>
      <c r="D413" s="1">
        <v>1.478906938E9</v>
      </c>
    </row>
    <row r="414">
      <c r="A414" s="1">
        <v>10591.0</v>
      </c>
      <c r="B414" s="1">
        <v>401.0</v>
      </c>
      <c r="C414" s="1">
        <v>10147.0</v>
      </c>
      <c r="D414" s="1">
        <v>1.478906939E9</v>
      </c>
    </row>
    <row r="415">
      <c r="A415" s="1">
        <v>10595.0</v>
      </c>
      <c r="B415" s="1">
        <v>401.0</v>
      </c>
      <c r="C415" s="1">
        <v>10146.0</v>
      </c>
      <c r="D415" s="1">
        <v>1.478906957E9</v>
      </c>
    </row>
    <row r="416">
      <c r="A416" s="1">
        <v>10597.0</v>
      </c>
      <c r="B416" s="1">
        <v>401.0</v>
      </c>
      <c r="C416" s="1">
        <v>10148.0</v>
      </c>
      <c r="D416" s="1">
        <v>1.478906965E9</v>
      </c>
    </row>
    <row r="417">
      <c r="A417" s="1">
        <v>10599.0</v>
      </c>
      <c r="B417" s="1">
        <v>401.0</v>
      </c>
      <c r="C417" s="1">
        <v>10135.0</v>
      </c>
      <c r="D417" s="1">
        <v>1.478906967E9</v>
      </c>
    </row>
    <row r="418">
      <c r="A418" s="1">
        <v>10603.0</v>
      </c>
      <c r="B418" s="1">
        <v>401.0</v>
      </c>
      <c r="C418" s="1">
        <v>10120.0</v>
      </c>
      <c r="D418" s="1">
        <v>1.478906972E9</v>
      </c>
    </row>
    <row r="419">
      <c r="A419" s="1">
        <v>10615.0</v>
      </c>
      <c r="B419" s="1">
        <v>401.0</v>
      </c>
      <c r="C419" s="1">
        <v>10116.0</v>
      </c>
      <c r="D419" s="1">
        <v>1.478906993E9</v>
      </c>
    </row>
    <row r="420">
      <c r="A420" s="1">
        <v>10616.0</v>
      </c>
      <c r="B420" s="1">
        <v>401.0</v>
      </c>
      <c r="C420" s="1">
        <v>10129.0</v>
      </c>
      <c r="D420" s="1">
        <v>1.478906995E9</v>
      </c>
    </row>
    <row r="421">
      <c r="A421" s="1">
        <v>10627.0</v>
      </c>
      <c r="B421" s="1">
        <v>401.0</v>
      </c>
      <c r="C421" s="1">
        <v>10149.0</v>
      </c>
      <c r="D421" s="1">
        <v>1.478907021E9</v>
      </c>
    </row>
    <row r="422">
      <c r="A422" s="1">
        <v>10637.0</v>
      </c>
      <c r="B422" s="1">
        <v>401.0</v>
      </c>
      <c r="C422" s="1">
        <v>10126.0</v>
      </c>
      <c r="D422" s="1">
        <v>1.47890704E9</v>
      </c>
    </row>
    <row r="423">
      <c r="A423" s="1">
        <v>10648.0</v>
      </c>
      <c r="B423" s="1">
        <v>401.0</v>
      </c>
      <c r="C423" s="1">
        <v>10146.0</v>
      </c>
      <c r="D423" s="1">
        <v>1.478907056E9</v>
      </c>
    </row>
    <row r="424">
      <c r="A424" s="1">
        <v>10678.0</v>
      </c>
      <c r="B424" s="1">
        <v>401.0</v>
      </c>
      <c r="C424" s="1">
        <v>10121.0</v>
      </c>
      <c r="D424" s="1">
        <v>1.478907095E9</v>
      </c>
    </row>
    <row r="425">
      <c r="A425" s="1">
        <v>10683.0</v>
      </c>
      <c r="B425" s="1">
        <v>401.0</v>
      </c>
      <c r="C425" s="1">
        <v>10121.0</v>
      </c>
      <c r="D425" s="1">
        <v>1.478907112E9</v>
      </c>
    </row>
    <row r="426">
      <c r="A426" s="1">
        <v>10692.0</v>
      </c>
      <c r="B426" s="1">
        <v>403.0</v>
      </c>
      <c r="C426" s="1">
        <v>10128.0</v>
      </c>
      <c r="D426" s="1">
        <v>1.478907123E9</v>
      </c>
    </row>
    <row r="427">
      <c r="A427" s="1">
        <v>10730.0</v>
      </c>
      <c r="B427" s="1">
        <v>401.0</v>
      </c>
      <c r="C427" s="1">
        <v>10148.0</v>
      </c>
      <c r="D427" s="1">
        <v>1.47890716E9</v>
      </c>
    </row>
    <row r="428">
      <c r="A428" s="1">
        <v>10731.0</v>
      </c>
      <c r="B428" s="1">
        <v>401.0</v>
      </c>
      <c r="C428" s="1">
        <v>10140.0</v>
      </c>
      <c r="D428" s="1">
        <v>1.478907161E9</v>
      </c>
    </row>
    <row r="429">
      <c r="A429" s="1">
        <v>10747.0</v>
      </c>
      <c r="B429" s="1">
        <v>403.0</v>
      </c>
      <c r="C429" s="1">
        <v>10123.0</v>
      </c>
      <c r="D429" s="1">
        <v>1.478907189E9</v>
      </c>
    </row>
    <row r="430">
      <c r="A430" s="1">
        <v>10756.0</v>
      </c>
      <c r="B430" s="1">
        <v>401.0</v>
      </c>
      <c r="C430" s="1">
        <v>10148.0</v>
      </c>
      <c r="D430" s="1">
        <v>1.478907207E9</v>
      </c>
    </row>
    <row r="431">
      <c r="A431" s="1">
        <v>10774.0</v>
      </c>
      <c r="B431" s="1">
        <v>401.0</v>
      </c>
      <c r="C431" s="1">
        <v>10130.0</v>
      </c>
      <c r="D431" s="1">
        <v>1.478907225E9</v>
      </c>
    </row>
    <row r="432">
      <c r="A432" s="1">
        <v>10776.0</v>
      </c>
      <c r="B432" s="1">
        <v>401.0</v>
      </c>
      <c r="C432" s="1">
        <v>10150.0</v>
      </c>
      <c r="D432" s="1">
        <v>1.478907227E9</v>
      </c>
    </row>
    <row r="433">
      <c r="A433" s="1">
        <v>10784.0</v>
      </c>
      <c r="B433" s="1">
        <v>401.0</v>
      </c>
      <c r="C433" s="1">
        <v>10148.0</v>
      </c>
      <c r="D433" s="1">
        <v>1.478907233E9</v>
      </c>
    </row>
    <row r="434">
      <c r="A434" s="1">
        <v>10799.0</v>
      </c>
      <c r="B434" s="1">
        <v>401.0</v>
      </c>
      <c r="C434" s="1">
        <v>10148.0</v>
      </c>
      <c r="D434" s="1">
        <v>1.478907245E9</v>
      </c>
    </row>
    <row r="435">
      <c r="A435" s="1">
        <v>10803.0</v>
      </c>
      <c r="B435" s="1">
        <v>401.0</v>
      </c>
      <c r="C435" s="1">
        <v>10150.0</v>
      </c>
      <c r="D435" s="1">
        <v>1.47890725E9</v>
      </c>
    </row>
    <row r="436">
      <c r="A436" s="1">
        <v>10816.0</v>
      </c>
      <c r="B436" s="1">
        <v>401.0</v>
      </c>
      <c r="C436" s="1">
        <v>10136.0</v>
      </c>
      <c r="D436" s="1">
        <v>1.478907277E9</v>
      </c>
    </row>
    <row r="437">
      <c r="A437" s="1">
        <v>10817.0</v>
      </c>
      <c r="B437" s="1">
        <v>401.0</v>
      </c>
      <c r="C437" s="1">
        <v>10151.0</v>
      </c>
      <c r="D437" s="1">
        <v>1.478907279E9</v>
      </c>
    </row>
    <row r="438">
      <c r="A438" s="1">
        <v>10827.0</v>
      </c>
      <c r="B438" s="1">
        <v>403.0</v>
      </c>
      <c r="C438" s="1">
        <v>10136.0</v>
      </c>
      <c r="D438" s="1">
        <v>1.47890728E9</v>
      </c>
    </row>
    <row r="439">
      <c r="A439" s="1">
        <v>10859.0</v>
      </c>
      <c r="B439" s="1">
        <v>403.0</v>
      </c>
      <c r="C439" s="1">
        <v>10136.0</v>
      </c>
      <c r="D439" s="1">
        <v>1.478907318E9</v>
      </c>
    </row>
    <row r="440">
      <c r="A440" s="1">
        <v>10911.0</v>
      </c>
      <c r="B440" s="1">
        <v>401.0</v>
      </c>
      <c r="C440" s="1">
        <v>10127.0</v>
      </c>
      <c r="D440" s="1">
        <v>1.478907372E9</v>
      </c>
    </row>
    <row r="441">
      <c r="A441" s="1">
        <v>10922.0</v>
      </c>
      <c r="B441" s="1">
        <v>401.0</v>
      </c>
      <c r="C441" s="1">
        <v>10127.0</v>
      </c>
      <c r="D441" s="1">
        <v>1.478907384E9</v>
      </c>
    </row>
    <row r="442">
      <c r="A442" s="1">
        <v>10928.0</v>
      </c>
      <c r="B442" s="1">
        <v>401.0</v>
      </c>
      <c r="C442" s="1">
        <v>10127.0</v>
      </c>
      <c r="D442" s="1">
        <v>1.478907393E9</v>
      </c>
    </row>
    <row r="443">
      <c r="A443" s="1">
        <v>10929.0</v>
      </c>
      <c r="B443" s="1">
        <v>401.0</v>
      </c>
      <c r="C443" s="1">
        <v>10151.0</v>
      </c>
      <c r="D443" s="1">
        <v>1.478907396E9</v>
      </c>
    </row>
    <row r="444">
      <c r="A444" s="1">
        <v>10956.0</v>
      </c>
      <c r="B444" s="1">
        <v>401.0</v>
      </c>
      <c r="C444" s="1">
        <v>10129.0</v>
      </c>
      <c r="D444" s="1">
        <v>1.478907447E9</v>
      </c>
    </row>
    <row r="445">
      <c r="A445" s="1">
        <v>10962.0</v>
      </c>
      <c r="B445" s="1">
        <v>403.0</v>
      </c>
      <c r="C445" s="1">
        <v>10129.0</v>
      </c>
      <c r="D445" s="1">
        <v>1.47890745E9</v>
      </c>
    </row>
    <row r="446">
      <c r="A446" s="1">
        <v>10967.0</v>
      </c>
      <c r="B446" s="1">
        <v>403.0</v>
      </c>
      <c r="C446" s="1">
        <v>10129.0</v>
      </c>
      <c r="D446" s="1">
        <v>1.478907458E9</v>
      </c>
    </row>
    <row r="447">
      <c r="A447" s="1">
        <v>10968.0</v>
      </c>
      <c r="B447" s="1">
        <v>403.0</v>
      </c>
      <c r="C447" s="1">
        <v>10146.0</v>
      </c>
      <c r="D447" s="1">
        <v>1.478907461E9</v>
      </c>
    </row>
    <row r="448">
      <c r="A448" s="1">
        <v>10969.0</v>
      </c>
      <c r="B448" s="1">
        <v>401.0</v>
      </c>
      <c r="C448" s="1">
        <v>10148.0</v>
      </c>
      <c r="D448" s="1">
        <v>1.478907463E9</v>
      </c>
    </row>
    <row r="449">
      <c r="A449" s="1">
        <v>10991.0</v>
      </c>
      <c r="B449" s="1">
        <v>401.0</v>
      </c>
      <c r="C449" s="1">
        <v>10136.0</v>
      </c>
      <c r="D449" s="1">
        <v>1.478907492E9</v>
      </c>
    </row>
    <row r="450">
      <c r="A450" s="1">
        <v>11003.0</v>
      </c>
      <c r="B450" s="1">
        <v>403.0</v>
      </c>
      <c r="C450" s="1">
        <v>10123.0</v>
      </c>
      <c r="D450" s="1">
        <v>1.478907507E9</v>
      </c>
    </row>
    <row r="451">
      <c r="A451" s="1">
        <v>11004.0</v>
      </c>
      <c r="B451" s="1">
        <v>404.0</v>
      </c>
      <c r="C451" s="1">
        <v>10123.0</v>
      </c>
      <c r="D451" s="1">
        <v>1.478907509E9</v>
      </c>
    </row>
    <row r="452">
      <c r="A452" s="1">
        <v>11011.0</v>
      </c>
      <c r="B452" s="1">
        <v>401.0</v>
      </c>
      <c r="C452" s="1">
        <v>10152.0</v>
      </c>
      <c r="D452" s="1">
        <v>1.478907512E9</v>
      </c>
    </row>
    <row r="453">
      <c r="A453" s="1">
        <v>11012.0</v>
      </c>
      <c r="B453" s="1">
        <v>403.0</v>
      </c>
      <c r="C453" s="1">
        <v>10146.0</v>
      </c>
      <c r="D453" s="1">
        <v>1.478907513E9</v>
      </c>
    </row>
    <row r="454">
      <c r="A454" s="1">
        <v>11013.0</v>
      </c>
      <c r="B454" s="1">
        <v>404.0</v>
      </c>
      <c r="C454" s="1">
        <v>10128.0</v>
      </c>
      <c r="D454" s="1">
        <v>1.478907518E9</v>
      </c>
    </row>
    <row r="455">
      <c r="A455" s="1">
        <v>11047.0</v>
      </c>
      <c r="B455" s="1">
        <v>403.0</v>
      </c>
      <c r="C455" s="1">
        <v>2.0</v>
      </c>
      <c r="D455" s="1">
        <v>1.47890756E9</v>
      </c>
    </row>
    <row r="456">
      <c r="A456" s="1">
        <v>11048.0</v>
      </c>
      <c r="B456" s="1">
        <v>404.0</v>
      </c>
      <c r="C456" s="1">
        <v>10116.0</v>
      </c>
      <c r="D456" s="1">
        <v>1.478907563E9</v>
      </c>
    </row>
    <row r="457">
      <c r="A457" s="1">
        <v>11051.0</v>
      </c>
      <c r="B457" s="1">
        <v>401.0</v>
      </c>
      <c r="C457" s="1">
        <v>10145.0</v>
      </c>
      <c r="D457" s="1">
        <v>1.478907567E9</v>
      </c>
    </row>
    <row r="458">
      <c r="A458" s="1">
        <v>11054.0</v>
      </c>
      <c r="B458" s="1">
        <v>401.0</v>
      </c>
      <c r="C458" s="1">
        <v>10145.0</v>
      </c>
      <c r="D458" s="1">
        <v>1.478907571E9</v>
      </c>
    </row>
    <row r="459">
      <c r="A459" s="1">
        <v>11062.0</v>
      </c>
      <c r="B459" s="1">
        <v>403.0</v>
      </c>
      <c r="C459" s="1">
        <v>10123.0</v>
      </c>
      <c r="D459" s="1">
        <v>1.478907586E9</v>
      </c>
    </row>
    <row r="460">
      <c r="A460" s="1">
        <v>11070.0</v>
      </c>
      <c r="B460" s="1">
        <v>401.0</v>
      </c>
      <c r="C460" s="1">
        <v>10123.0</v>
      </c>
      <c r="D460" s="1">
        <v>1.478907591E9</v>
      </c>
    </row>
    <row r="461">
      <c r="A461" s="1">
        <v>11077.0</v>
      </c>
      <c r="B461" s="1">
        <v>404.0</v>
      </c>
      <c r="C461" s="1">
        <v>10123.0</v>
      </c>
      <c r="D461" s="1">
        <v>1.478907598E9</v>
      </c>
    </row>
    <row r="462">
      <c r="A462" s="1">
        <v>11082.0</v>
      </c>
      <c r="B462" s="1">
        <v>403.0</v>
      </c>
      <c r="C462" s="1">
        <v>10120.0</v>
      </c>
      <c r="D462" s="1">
        <v>1.478907608E9</v>
      </c>
    </row>
    <row r="463">
      <c r="A463" s="1">
        <v>11083.0</v>
      </c>
      <c r="B463" s="1">
        <v>403.0</v>
      </c>
      <c r="C463" s="1">
        <v>10119.0</v>
      </c>
      <c r="D463" s="1">
        <v>1.478907609E9</v>
      </c>
    </row>
    <row r="464">
      <c r="A464" s="1">
        <v>11088.0</v>
      </c>
      <c r="B464" s="1">
        <v>404.0</v>
      </c>
      <c r="C464" s="1">
        <v>10123.0</v>
      </c>
      <c r="D464" s="1">
        <v>1.478907617E9</v>
      </c>
    </row>
    <row r="465">
      <c r="A465" s="1">
        <v>11109.0</v>
      </c>
      <c r="B465" s="1">
        <v>401.0</v>
      </c>
      <c r="C465" s="1">
        <v>10121.0</v>
      </c>
      <c r="D465" s="1">
        <v>1.478907643E9</v>
      </c>
    </row>
    <row r="466">
      <c r="A466" s="1">
        <v>11119.0</v>
      </c>
      <c r="B466" s="1">
        <v>403.0</v>
      </c>
      <c r="C466" s="1">
        <v>10136.0</v>
      </c>
      <c r="D466" s="1">
        <v>1.478907654E9</v>
      </c>
    </row>
    <row r="467">
      <c r="A467" s="1">
        <v>11120.0</v>
      </c>
      <c r="B467" s="1">
        <v>401.0</v>
      </c>
      <c r="C467" s="1">
        <v>10121.0</v>
      </c>
      <c r="D467" s="1">
        <v>1.478907655E9</v>
      </c>
    </row>
    <row r="468">
      <c r="A468" s="1">
        <v>11124.0</v>
      </c>
      <c r="B468" s="1">
        <v>403.0</v>
      </c>
      <c r="C468" s="1">
        <v>10121.0</v>
      </c>
      <c r="D468" s="1">
        <v>1.478907662E9</v>
      </c>
    </row>
    <row r="469">
      <c r="A469" s="1">
        <v>11123.0</v>
      </c>
      <c r="B469" s="1">
        <v>403.0</v>
      </c>
      <c r="C469" s="1">
        <v>10136.0</v>
      </c>
      <c r="D469" s="1">
        <v>1.478907662E9</v>
      </c>
    </row>
    <row r="470">
      <c r="A470" s="1">
        <v>11132.0</v>
      </c>
      <c r="B470" s="1">
        <v>403.0</v>
      </c>
      <c r="C470" s="1">
        <v>10150.0</v>
      </c>
      <c r="D470" s="1">
        <v>1.478907673E9</v>
      </c>
    </row>
    <row r="471">
      <c r="A471" s="1">
        <v>11135.0</v>
      </c>
      <c r="B471" s="1">
        <v>403.0</v>
      </c>
      <c r="C471" s="1">
        <v>2.0</v>
      </c>
      <c r="D471" s="1">
        <v>1.478907677E9</v>
      </c>
    </row>
    <row r="472">
      <c r="A472" s="1">
        <v>11139.0</v>
      </c>
      <c r="B472" s="1">
        <v>403.0</v>
      </c>
      <c r="C472" s="1">
        <v>10126.0</v>
      </c>
      <c r="D472" s="1">
        <v>1.478907684E9</v>
      </c>
    </row>
    <row r="473">
      <c r="A473" s="1">
        <v>11167.0</v>
      </c>
      <c r="B473" s="1">
        <v>401.0</v>
      </c>
      <c r="C473" s="1">
        <v>10127.0</v>
      </c>
      <c r="D473" s="1">
        <v>1.478907724E9</v>
      </c>
    </row>
    <row r="474">
      <c r="A474" s="1">
        <v>11168.0</v>
      </c>
      <c r="B474" s="1">
        <v>403.0</v>
      </c>
      <c r="C474" s="1">
        <v>2.0</v>
      </c>
      <c r="D474" s="1">
        <v>1.478907725E9</v>
      </c>
    </row>
    <row r="475">
      <c r="A475" s="1">
        <v>11172.0</v>
      </c>
      <c r="B475" s="1">
        <v>401.0</v>
      </c>
      <c r="C475" s="1">
        <v>10145.0</v>
      </c>
      <c r="D475" s="1">
        <v>1.478907728E9</v>
      </c>
    </row>
    <row r="476">
      <c r="A476" s="1">
        <v>11175.0</v>
      </c>
      <c r="B476" s="1">
        <v>403.0</v>
      </c>
      <c r="C476" s="1">
        <v>2.0</v>
      </c>
      <c r="D476" s="1">
        <v>1.478907731E9</v>
      </c>
    </row>
    <row r="477">
      <c r="A477" s="1">
        <v>11177.0</v>
      </c>
      <c r="B477" s="1">
        <v>401.0</v>
      </c>
      <c r="C477" s="1">
        <v>10145.0</v>
      </c>
      <c r="D477" s="1">
        <v>1.478907733E9</v>
      </c>
    </row>
    <row r="478">
      <c r="A478" s="1">
        <v>11183.0</v>
      </c>
      <c r="B478" s="1">
        <v>403.0</v>
      </c>
      <c r="C478" s="1">
        <v>10127.0</v>
      </c>
      <c r="D478" s="1">
        <v>1.478907735E9</v>
      </c>
    </row>
    <row r="479">
      <c r="A479" s="1">
        <v>11201.0</v>
      </c>
      <c r="B479" s="1">
        <v>401.0</v>
      </c>
      <c r="C479" s="1">
        <v>10145.0</v>
      </c>
      <c r="D479" s="1">
        <v>1.478907747E9</v>
      </c>
    </row>
    <row r="480">
      <c r="A480" s="1">
        <v>11203.0</v>
      </c>
      <c r="B480" s="1">
        <v>403.0</v>
      </c>
      <c r="C480" s="1">
        <v>10150.0</v>
      </c>
      <c r="D480" s="1">
        <v>1.478907754E9</v>
      </c>
    </row>
    <row r="481">
      <c r="A481" s="1">
        <v>11205.0</v>
      </c>
      <c r="B481" s="1">
        <v>403.0</v>
      </c>
      <c r="C481" s="1">
        <v>10145.0</v>
      </c>
      <c r="D481" s="1">
        <v>1.478907755E9</v>
      </c>
    </row>
    <row r="482">
      <c r="A482" s="1">
        <v>11209.0</v>
      </c>
      <c r="B482" s="1">
        <v>401.0</v>
      </c>
      <c r="C482" s="1">
        <v>10125.0</v>
      </c>
      <c r="D482" s="1">
        <v>1.478907763E9</v>
      </c>
    </row>
    <row r="483">
      <c r="A483" s="1">
        <v>11210.0</v>
      </c>
      <c r="B483" s="1">
        <v>403.0</v>
      </c>
      <c r="C483" s="1">
        <v>10145.0</v>
      </c>
      <c r="D483" s="1">
        <v>1.478907763E9</v>
      </c>
    </row>
    <row r="484">
      <c r="A484" s="1">
        <v>11211.0</v>
      </c>
      <c r="B484" s="1">
        <v>403.0</v>
      </c>
      <c r="C484" s="1">
        <v>10125.0</v>
      </c>
      <c r="D484" s="1">
        <v>1.478907766E9</v>
      </c>
    </row>
    <row r="485">
      <c r="A485" s="1">
        <v>11224.0</v>
      </c>
      <c r="B485" s="1">
        <v>403.0</v>
      </c>
      <c r="C485" s="1">
        <v>10146.0</v>
      </c>
      <c r="D485" s="1">
        <v>1.478907779E9</v>
      </c>
    </row>
    <row r="486">
      <c r="A486" s="1">
        <v>11225.0</v>
      </c>
      <c r="B486" s="1">
        <v>403.0</v>
      </c>
      <c r="C486" s="1">
        <v>10146.0</v>
      </c>
      <c r="D486" s="1">
        <v>1.47890778E9</v>
      </c>
    </row>
    <row r="487">
      <c r="A487" s="1">
        <v>11231.0</v>
      </c>
      <c r="B487" s="1">
        <v>401.0</v>
      </c>
      <c r="C487" s="1">
        <v>10127.0</v>
      </c>
      <c r="D487" s="1">
        <v>1.478907782E9</v>
      </c>
    </row>
    <row r="488">
      <c r="A488" s="1">
        <v>11240.0</v>
      </c>
      <c r="B488" s="1">
        <v>403.0</v>
      </c>
      <c r="C488" s="1">
        <v>10127.0</v>
      </c>
      <c r="D488" s="1">
        <v>1.478907792E9</v>
      </c>
    </row>
    <row r="489">
      <c r="A489" s="1">
        <v>11250.0</v>
      </c>
      <c r="B489" s="1">
        <v>403.0</v>
      </c>
      <c r="C489" s="1">
        <v>10150.0</v>
      </c>
      <c r="D489" s="1">
        <v>1.478907801E9</v>
      </c>
    </row>
    <row r="490">
      <c r="A490" s="1">
        <v>11253.0</v>
      </c>
      <c r="B490" s="1">
        <v>403.0</v>
      </c>
      <c r="C490" s="1">
        <v>10146.0</v>
      </c>
      <c r="D490" s="1">
        <v>1.478907807E9</v>
      </c>
    </row>
    <row r="491">
      <c r="A491" s="1">
        <v>11265.0</v>
      </c>
      <c r="B491" s="1">
        <v>401.0</v>
      </c>
      <c r="C491" s="1">
        <v>10135.0</v>
      </c>
      <c r="D491" s="1">
        <v>1.47890782E9</v>
      </c>
    </row>
    <row r="492">
      <c r="A492" s="1">
        <v>11264.0</v>
      </c>
      <c r="B492" s="1">
        <v>403.0</v>
      </c>
      <c r="C492" s="1">
        <v>10134.0</v>
      </c>
      <c r="D492" s="1">
        <v>1.47890782E9</v>
      </c>
    </row>
    <row r="493">
      <c r="A493" s="1">
        <v>11285.0</v>
      </c>
      <c r="B493" s="1">
        <v>403.0</v>
      </c>
      <c r="C493" s="1">
        <v>10146.0</v>
      </c>
      <c r="D493" s="1">
        <v>1.478907832E9</v>
      </c>
    </row>
    <row r="494">
      <c r="A494" s="1">
        <v>11288.0</v>
      </c>
      <c r="B494" s="1">
        <v>401.0</v>
      </c>
      <c r="C494" s="1">
        <v>10121.0</v>
      </c>
      <c r="D494" s="1">
        <v>1.478907835E9</v>
      </c>
    </row>
    <row r="495">
      <c r="A495" s="1">
        <v>11297.0</v>
      </c>
      <c r="B495" s="1">
        <v>401.0</v>
      </c>
      <c r="C495" s="1">
        <v>10133.0</v>
      </c>
      <c r="D495" s="1">
        <v>1.478907841E9</v>
      </c>
    </row>
    <row r="496">
      <c r="A496" s="1">
        <v>11299.0</v>
      </c>
      <c r="B496" s="1">
        <v>401.0</v>
      </c>
      <c r="C496" s="1">
        <v>10116.0</v>
      </c>
      <c r="D496" s="1">
        <v>1.478907842E9</v>
      </c>
    </row>
    <row r="497">
      <c r="A497" s="1">
        <v>11308.0</v>
      </c>
      <c r="B497" s="1">
        <v>403.0</v>
      </c>
      <c r="C497" s="1">
        <v>10121.0</v>
      </c>
      <c r="D497" s="1">
        <v>1.478907845E9</v>
      </c>
    </row>
    <row r="498">
      <c r="A498" s="1">
        <v>11311.0</v>
      </c>
      <c r="B498" s="1">
        <v>403.0</v>
      </c>
      <c r="C498" s="1">
        <v>10121.0</v>
      </c>
      <c r="D498" s="1">
        <v>1.478907849E9</v>
      </c>
    </row>
    <row r="499">
      <c r="A499" s="1">
        <v>11315.0</v>
      </c>
      <c r="B499" s="1">
        <v>401.0</v>
      </c>
      <c r="C499" s="1">
        <v>10145.0</v>
      </c>
      <c r="D499" s="1">
        <v>1.478907857E9</v>
      </c>
    </row>
    <row r="500">
      <c r="A500" s="1">
        <v>11326.0</v>
      </c>
      <c r="B500" s="1">
        <v>401.0</v>
      </c>
      <c r="C500" s="1">
        <v>10145.0</v>
      </c>
      <c r="D500" s="1">
        <v>1.478907862E9</v>
      </c>
    </row>
    <row r="501">
      <c r="A501" s="1">
        <v>11340.0</v>
      </c>
      <c r="B501" s="1">
        <v>404.0</v>
      </c>
      <c r="C501" s="1">
        <v>10120.0</v>
      </c>
      <c r="D501" s="1">
        <v>1.478907868E9</v>
      </c>
    </row>
    <row r="502">
      <c r="A502" s="1">
        <v>11345.0</v>
      </c>
      <c r="B502" s="1">
        <v>401.0</v>
      </c>
      <c r="C502" s="1">
        <v>10152.0</v>
      </c>
      <c r="D502" s="1">
        <v>1.478907878E9</v>
      </c>
    </row>
    <row r="503">
      <c r="A503" s="1">
        <v>11350.0</v>
      </c>
      <c r="B503" s="1">
        <v>403.0</v>
      </c>
      <c r="C503" s="1">
        <v>10152.0</v>
      </c>
      <c r="D503" s="1">
        <v>1.478907885E9</v>
      </c>
    </row>
    <row r="504">
      <c r="A504" s="1">
        <v>11355.0</v>
      </c>
      <c r="B504" s="1">
        <v>401.0</v>
      </c>
      <c r="C504" s="1">
        <v>10134.0</v>
      </c>
      <c r="D504" s="1">
        <v>1.478907891E9</v>
      </c>
    </row>
    <row r="505">
      <c r="A505" s="1">
        <v>11366.0</v>
      </c>
      <c r="B505" s="1">
        <v>403.0</v>
      </c>
      <c r="C505" s="1">
        <v>10129.0</v>
      </c>
      <c r="D505" s="1">
        <v>1.478907899E9</v>
      </c>
    </row>
    <row r="506">
      <c r="A506" s="1">
        <v>11367.0</v>
      </c>
      <c r="B506" s="1">
        <v>403.0</v>
      </c>
      <c r="C506" s="1">
        <v>10129.0</v>
      </c>
      <c r="D506" s="1">
        <v>1.4789079E9</v>
      </c>
    </row>
    <row r="507">
      <c r="A507" s="1">
        <v>11371.0</v>
      </c>
      <c r="B507" s="1">
        <v>403.0</v>
      </c>
      <c r="C507" s="1">
        <v>10143.0</v>
      </c>
      <c r="D507" s="1">
        <v>1.478907901E9</v>
      </c>
    </row>
    <row r="508">
      <c r="A508" s="1">
        <v>11372.0</v>
      </c>
      <c r="B508" s="1">
        <v>404.0</v>
      </c>
      <c r="C508" s="1">
        <v>10129.0</v>
      </c>
      <c r="D508" s="1">
        <v>1.478907902E9</v>
      </c>
    </row>
    <row r="509">
      <c r="A509" s="1">
        <v>11374.0</v>
      </c>
      <c r="B509" s="1">
        <v>401.0</v>
      </c>
      <c r="C509" s="1">
        <v>10135.0</v>
      </c>
      <c r="D509" s="1">
        <v>1.478907903E9</v>
      </c>
    </row>
    <row r="510">
      <c r="A510" s="1">
        <v>11378.0</v>
      </c>
      <c r="B510" s="1">
        <v>404.0</v>
      </c>
      <c r="C510" s="1">
        <v>10123.0</v>
      </c>
      <c r="D510" s="1">
        <v>1.478907916E9</v>
      </c>
    </row>
    <row r="511">
      <c r="A511" s="1">
        <v>11382.0</v>
      </c>
      <c r="B511" s="1">
        <v>403.0</v>
      </c>
      <c r="C511" s="1">
        <v>10134.0</v>
      </c>
      <c r="D511" s="1">
        <v>1.478907923E9</v>
      </c>
    </row>
    <row r="512">
      <c r="A512" s="1">
        <v>11403.0</v>
      </c>
      <c r="B512" s="1">
        <v>401.0</v>
      </c>
      <c r="C512" s="1">
        <v>10130.0</v>
      </c>
      <c r="D512" s="1">
        <v>1.478907952E9</v>
      </c>
    </row>
    <row r="513">
      <c r="A513" s="1">
        <v>11404.0</v>
      </c>
      <c r="B513" s="1">
        <v>403.0</v>
      </c>
      <c r="C513" s="1">
        <v>10130.0</v>
      </c>
      <c r="D513" s="1">
        <v>1.478907957E9</v>
      </c>
    </row>
    <row r="514">
      <c r="A514" s="1">
        <v>11423.0</v>
      </c>
      <c r="B514" s="1">
        <v>403.0</v>
      </c>
      <c r="C514" s="1">
        <v>10136.0</v>
      </c>
      <c r="D514" s="1">
        <v>1.478908004E9</v>
      </c>
    </row>
    <row r="515">
      <c r="A515" s="1">
        <v>11427.0</v>
      </c>
      <c r="B515" s="1">
        <v>404.0</v>
      </c>
      <c r="C515" s="1">
        <v>10136.0</v>
      </c>
      <c r="D515" s="1">
        <v>1.478908006E9</v>
      </c>
    </row>
    <row r="516">
      <c r="A516" s="1">
        <v>11430.0</v>
      </c>
      <c r="B516" s="1">
        <v>401.0</v>
      </c>
      <c r="C516" s="1">
        <v>10134.0</v>
      </c>
      <c r="D516" s="1">
        <v>1.478908012E9</v>
      </c>
    </row>
    <row r="517">
      <c r="A517" s="1">
        <v>11451.0</v>
      </c>
      <c r="B517" s="1">
        <v>404.0</v>
      </c>
      <c r="C517" s="1">
        <v>10146.0</v>
      </c>
      <c r="D517" s="1">
        <v>1.478908038E9</v>
      </c>
    </row>
    <row r="518">
      <c r="A518" s="1">
        <v>11455.0</v>
      </c>
      <c r="B518" s="1">
        <v>404.0</v>
      </c>
      <c r="C518" s="1">
        <v>10126.0</v>
      </c>
      <c r="D518" s="1">
        <v>1.478908052E9</v>
      </c>
    </row>
    <row r="519">
      <c r="A519" s="1">
        <v>11493.0</v>
      </c>
      <c r="B519" s="1">
        <v>401.0</v>
      </c>
      <c r="C519" s="1">
        <v>10153.0</v>
      </c>
      <c r="D519" s="1">
        <v>1.478908102E9</v>
      </c>
    </row>
    <row r="520">
      <c r="A520" s="1">
        <v>11500.0</v>
      </c>
      <c r="B520" s="1">
        <v>403.0</v>
      </c>
      <c r="C520" s="1">
        <v>10138.0</v>
      </c>
      <c r="D520" s="1">
        <v>1.478908137E9</v>
      </c>
    </row>
    <row r="521">
      <c r="A521" s="1">
        <v>11506.0</v>
      </c>
      <c r="B521" s="1">
        <v>401.0</v>
      </c>
      <c r="C521" s="1">
        <v>10145.0</v>
      </c>
      <c r="D521" s="1">
        <v>1.478908145E9</v>
      </c>
    </row>
    <row r="522">
      <c r="A522" s="1">
        <v>11512.0</v>
      </c>
      <c r="B522" s="1">
        <v>403.0</v>
      </c>
      <c r="C522" s="1">
        <v>10145.0</v>
      </c>
      <c r="D522" s="1">
        <v>1.478908157E9</v>
      </c>
    </row>
    <row r="523">
      <c r="A523" s="1">
        <v>11544.0</v>
      </c>
      <c r="B523" s="1">
        <v>401.0</v>
      </c>
      <c r="C523" s="1">
        <v>10132.0</v>
      </c>
      <c r="D523" s="1">
        <v>1.478908206E9</v>
      </c>
    </row>
    <row r="524">
      <c r="A524" s="1">
        <v>11547.0</v>
      </c>
      <c r="B524" s="1">
        <v>404.0</v>
      </c>
      <c r="C524" s="1">
        <v>10150.0</v>
      </c>
      <c r="D524" s="1">
        <v>1.478908215E9</v>
      </c>
    </row>
    <row r="525">
      <c r="A525" s="1">
        <v>11548.0</v>
      </c>
      <c r="B525" s="1">
        <v>401.0</v>
      </c>
      <c r="C525" s="1">
        <v>10132.0</v>
      </c>
      <c r="D525" s="1">
        <v>1.478908219E9</v>
      </c>
    </row>
    <row r="526">
      <c r="A526" s="1">
        <v>11574.0</v>
      </c>
      <c r="B526" s="1">
        <v>403.0</v>
      </c>
      <c r="C526" s="1">
        <v>10132.0</v>
      </c>
      <c r="D526" s="1">
        <v>1.478908255E9</v>
      </c>
    </row>
    <row r="527">
      <c r="A527" s="1">
        <v>11600.0</v>
      </c>
      <c r="B527" s="1">
        <v>403.0</v>
      </c>
      <c r="C527" s="1">
        <v>10138.0</v>
      </c>
      <c r="D527" s="1">
        <v>1.47890827E9</v>
      </c>
    </row>
    <row r="528">
      <c r="A528" s="1">
        <v>11634.0</v>
      </c>
      <c r="B528" s="1">
        <v>401.0</v>
      </c>
      <c r="C528" s="1">
        <v>10151.0</v>
      </c>
      <c r="D528" s="1">
        <v>1.478908326E9</v>
      </c>
    </row>
    <row r="529">
      <c r="A529" s="1">
        <v>11636.0</v>
      </c>
      <c r="B529" s="1">
        <v>401.0</v>
      </c>
      <c r="C529" s="1">
        <v>10142.0</v>
      </c>
      <c r="D529" s="1">
        <v>1.478908328E9</v>
      </c>
    </row>
    <row r="530">
      <c r="A530" s="1">
        <v>11641.0</v>
      </c>
      <c r="B530" s="1">
        <v>401.0</v>
      </c>
      <c r="C530" s="1">
        <v>10133.0</v>
      </c>
      <c r="D530" s="1">
        <v>1.478908329E9</v>
      </c>
    </row>
    <row r="531">
      <c r="A531" s="1">
        <v>11650.0</v>
      </c>
      <c r="B531" s="1">
        <v>403.0</v>
      </c>
      <c r="C531" s="1">
        <v>10142.0</v>
      </c>
      <c r="D531" s="1">
        <v>1.478908333E9</v>
      </c>
    </row>
    <row r="532">
      <c r="A532" s="1">
        <v>11656.0</v>
      </c>
      <c r="B532" s="1">
        <v>403.0</v>
      </c>
      <c r="C532" s="1">
        <v>2.0</v>
      </c>
      <c r="D532" s="1">
        <v>1.478908337E9</v>
      </c>
    </row>
    <row r="533">
      <c r="A533" s="1">
        <v>11658.0</v>
      </c>
      <c r="B533" s="1">
        <v>401.0</v>
      </c>
      <c r="C533" s="1">
        <v>10132.0</v>
      </c>
      <c r="D533" s="1">
        <v>1.478908339E9</v>
      </c>
    </row>
    <row r="534">
      <c r="A534" s="1">
        <v>11660.0</v>
      </c>
      <c r="B534" s="1">
        <v>401.0</v>
      </c>
      <c r="C534" s="1">
        <v>10135.0</v>
      </c>
      <c r="D534" s="1">
        <v>1.478908341E9</v>
      </c>
    </row>
    <row r="535">
      <c r="A535" s="1">
        <v>11661.0</v>
      </c>
      <c r="B535" s="1">
        <v>401.0</v>
      </c>
      <c r="C535" s="1">
        <v>10142.0</v>
      </c>
      <c r="D535" s="1">
        <v>1.478908342E9</v>
      </c>
    </row>
    <row r="536">
      <c r="A536" s="1">
        <v>11671.0</v>
      </c>
      <c r="B536" s="1">
        <v>403.0</v>
      </c>
      <c r="C536" s="1">
        <v>10126.0</v>
      </c>
      <c r="D536" s="1">
        <v>1.478908352E9</v>
      </c>
    </row>
    <row r="537">
      <c r="A537" s="1">
        <v>11675.0</v>
      </c>
      <c r="B537" s="1">
        <v>403.0</v>
      </c>
      <c r="C537" s="1">
        <v>10126.0</v>
      </c>
      <c r="D537" s="1">
        <v>1.478908355E9</v>
      </c>
    </row>
    <row r="538">
      <c r="A538" s="1">
        <v>11678.0</v>
      </c>
      <c r="B538" s="1">
        <v>403.0</v>
      </c>
      <c r="C538" s="1">
        <v>10142.0</v>
      </c>
      <c r="D538" s="1">
        <v>1.478908362E9</v>
      </c>
    </row>
    <row r="539">
      <c r="A539" s="1">
        <v>11706.0</v>
      </c>
      <c r="B539" s="1">
        <v>404.0</v>
      </c>
      <c r="C539" s="1">
        <v>10145.0</v>
      </c>
      <c r="D539" s="1">
        <v>1.478908388E9</v>
      </c>
    </row>
    <row r="540">
      <c r="A540" s="1">
        <v>11716.0</v>
      </c>
      <c r="B540" s="1">
        <v>404.0</v>
      </c>
      <c r="C540" s="1">
        <v>10150.0</v>
      </c>
      <c r="D540" s="1">
        <v>1.478908398E9</v>
      </c>
    </row>
    <row r="541">
      <c r="A541" s="1">
        <v>11726.0</v>
      </c>
      <c r="B541" s="1">
        <v>403.0</v>
      </c>
      <c r="C541" s="1">
        <v>10142.0</v>
      </c>
      <c r="D541" s="1">
        <v>1.47890841E9</v>
      </c>
    </row>
    <row r="542">
      <c r="A542" s="1">
        <v>11728.0</v>
      </c>
      <c r="B542" s="1">
        <v>403.0</v>
      </c>
      <c r="C542" s="1">
        <v>10134.0</v>
      </c>
      <c r="D542" s="1">
        <v>1.478908411E9</v>
      </c>
    </row>
    <row r="543">
      <c r="A543" s="1">
        <v>11754.0</v>
      </c>
      <c r="B543" s="1">
        <v>403.0</v>
      </c>
      <c r="C543" s="1">
        <v>10140.0</v>
      </c>
      <c r="D543" s="1">
        <v>1.478908442E9</v>
      </c>
    </row>
    <row r="544">
      <c r="A544" s="1">
        <v>11757.0</v>
      </c>
      <c r="B544" s="1">
        <v>401.0</v>
      </c>
      <c r="C544" s="1">
        <v>10151.0</v>
      </c>
      <c r="D544" s="1">
        <v>1.478908446E9</v>
      </c>
    </row>
    <row r="545">
      <c r="A545" s="1">
        <v>11769.0</v>
      </c>
      <c r="B545" s="1">
        <v>403.0</v>
      </c>
      <c r="C545" s="1">
        <v>10149.0</v>
      </c>
      <c r="D545" s="1">
        <v>1.478908454E9</v>
      </c>
    </row>
    <row r="546">
      <c r="A546" s="1">
        <v>11784.0</v>
      </c>
      <c r="B546" s="1">
        <v>401.0</v>
      </c>
      <c r="C546" s="1">
        <v>10151.0</v>
      </c>
      <c r="D546" s="1">
        <v>1.478908468E9</v>
      </c>
    </row>
    <row r="547">
      <c r="A547" s="1">
        <v>11785.0</v>
      </c>
      <c r="B547" s="1">
        <v>403.0</v>
      </c>
      <c r="C547" s="1">
        <v>10134.0</v>
      </c>
      <c r="D547" s="1">
        <v>1.478908468E9</v>
      </c>
    </row>
    <row r="548">
      <c r="A548" s="1">
        <v>11794.0</v>
      </c>
      <c r="B548" s="1">
        <v>401.0</v>
      </c>
      <c r="C548" s="1">
        <v>10151.0</v>
      </c>
      <c r="D548" s="1">
        <v>1.478908477E9</v>
      </c>
    </row>
    <row r="549">
      <c r="A549" s="1">
        <v>11797.0</v>
      </c>
      <c r="B549" s="1">
        <v>401.0</v>
      </c>
      <c r="C549" s="1">
        <v>10126.0</v>
      </c>
      <c r="D549" s="1">
        <v>1.478908479E9</v>
      </c>
    </row>
    <row r="550">
      <c r="A550" s="1">
        <v>11798.0</v>
      </c>
      <c r="B550" s="1">
        <v>403.0</v>
      </c>
      <c r="C550" s="1">
        <v>10126.0</v>
      </c>
      <c r="D550" s="1">
        <v>1.478908479E9</v>
      </c>
    </row>
    <row r="551">
      <c r="A551" s="1">
        <v>11800.0</v>
      </c>
      <c r="B551" s="1">
        <v>401.0</v>
      </c>
      <c r="C551" s="1">
        <v>10126.0</v>
      </c>
      <c r="D551" s="1">
        <v>1.478908481E9</v>
      </c>
    </row>
    <row r="552">
      <c r="A552" s="1">
        <v>11803.0</v>
      </c>
      <c r="B552" s="1">
        <v>404.0</v>
      </c>
      <c r="C552" s="1">
        <v>10129.0</v>
      </c>
      <c r="D552" s="1">
        <v>1.478908484E9</v>
      </c>
    </row>
    <row r="553">
      <c r="A553" s="1">
        <v>11804.0</v>
      </c>
      <c r="B553" s="1">
        <v>403.0</v>
      </c>
      <c r="C553" s="1">
        <v>10126.0</v>
      </c>
      <c r="D553" s="1">
        <v>1.478908485E9</v>
      </c>
    </row>
    <row r="554">
      <c r="A554" s="1">
        <v>11816.0</v>
      </c>
      <c r="B554" s="1">
        <v>403.0</v>
      </c>
      <c r="C554" s="1">
        <v>10137.0</v>
      </c>
      <c r="D554" s="1">
        <v>1.4789085E9</v>
      </c>
    </row>
    <row r="555">
      <c r="A555" s="1">
        <v>11818.0</v>
      </c>
      <c r="B555" s="1">
        <v>401.0</v>
      </c>
      <c r="C555" s="1">
        <v>10141.0</v>
      </c>
      <c r="D555" s="1">
        <v>1.478908501E9</v>
      </c>
    </row>
    <row r="556">
      <c r="A556" s="1">
        <v>11821.0</v>
      </c>
      <c r="B556" s="1">
        <v>401.0</v>
      </c>
      <c r="C556" s="1">
        <v>10142.0</v>
      </c>
      <c r="D556" s="1">
        <v>1.478908502E9</v>
      </c>
    </row>
    <row r="557">
      <c r="A557" s="1">
        <v>11822.0</v>
      </c>
      <c r="B557" s="1">
        <v>401.0</v>
      </c>
      <c r="C557" s="1">
        <v>10142.0</v>
      </c>
      <c r="D557" s="1">
        <v>1.478908506E9</v>
      </c>
    </row>
    <row r="558">
      <c r="A558" s="1">
        <v>11823.0</v>
      </c>
      <c r="B558" s="1">
        <v>401.0</v>
      </c>
      <c r="C558" s="1">
        <v>10142.0</v>
      </c>
      <c r="D558" s="1">
        <v>1.478908507E9</v>
      </c>
    </row>
    <row r="559">
      <c r="A559" s="1">
        <v>11824.0</v>
      </c>
      <c r="B559" s="1">
        <v>401.0</v>
      </c>
      <c r="C559" s="1">
        <v>10151.0</v>
      </c>
      <c r="D559" s="1">
        <v>1.478908508E9</v>
      </c>
    </row>
    <row r="560">
      <c r="A560" s="1">
        <v>11827.0</v>
      </c>
      <c r="B560" s="1">
        <v>401.0</v>
      </c>
      <c r="C560" s="1">
        <v>10142.0</v>
      </c>
      <c r="D560" s="1">
        <v>1.47890851E9</v>
      </c>
    </row>
    <row r="561">
      <c r="A561" s="1">
        <v>11833.0</v>
      </c>
      <c r="B561" s="1">
        <v>401.0</v>
      </c>
      <c r="C561" s="1">
        <v>10142.0</v>
      </c>
      <c r="D561" s="1">
        <v>1.478908517E9</v>
      </c>
    </row>
    <row r="562">
      <c r="A562" s="1">
        <v>11838.0</v>
      </c>
      <c r="B562" s="1">
        <v>401.0</v>
      </c>
      <c r="C562" s="1">
        <v>10142.0</v>
      </c>
      <c r="D562" s="1">
        <v>1.478908518E9</v>
      </c>
    </row>
    <row r="563">
      <c r="A563" s="1">
        <v>11840.0</v>
      </c>
      <c r="B563" s="1">
        <v>401.0</v>
      </c>
      <c r="C563" s="1">
        <v>10142.0</v>
      </c>
      <c r="D563" s="1">
        <v>1.478908518E9</v>
      </c>
    </row>
    <row r="564">
      <c r="A564" s="1">
        <v>11834.0</v>
      </c>
      <c r="B564" s="1">
        <v>403.0</v>
      </c>
      <c r="C564" s="1">
        <v>10141.0</v>
      </c>
      <c r="D564" s="1">
        <v>1.478908518E9</v>
      </c>
    </row>
    <row r="565">
      <c r="A565" s="1">
        <v>11842.0</v>
      </c>
      <c r="B565" s="1">
        <v>401.0</v>
      </c>
      <c r="C565" s="1">
        <v>10142.0</v>
      </c>
      <c r="D565" s="1">
        <v>1.47890852E9</v>
      </c>
    </row>
    <row r="566">
      <c r="A566" s="1">
        <v>11850.0</v>
      </c>
      <c r="B566" s="1">
        <v>401.0</v>
      </c>
      <c r="C566" s="1">
        <v>10141.0</v>
      </c>
      <c r="D566" s="1">
        <v>1.478908525E9</v>
      </c>
    </row>
    <row r="567">
      <c r="A567" s="1">
        <v>11851.0</v>
      </c>
      <c r="B567" s="1">
        <v>401.0</v>
      </c>
      <c r="C567" s="1">
        <v>10135.0</v>
      </c>
      <c r="D567" s="1">
        <v>1.478908526E9</v>
      </c>
    </row>
    <row r="568">
      <c r="A568" s="1">
        <v>11856.0</v>
      </c>
      <c r="B568" s="1">
        <v>401.0</v>
      </c>
      <c r="C568" s="1">
        <v>10142.0</v>
      </c>
      <c r="D568" s="1">
        <v>1.47890853E9</v>
      </c>
    </row>
    <row r="569">
      <c r="A569" s="1">
        <v>11855.0</v>
      </c>
      <c r="B569" s="1">
        <v>403.0</v>
      </c>
      <c r="C569" s="1">
        <v>10149.0</v>
      </c>
      <c r="D569" s="1">
        <v>1.47890853E9</v>
      </c>
    </row>
    <row r="570">
      <c r="A570" s="1">
        <v>11859.0</v>
      </c>
      <c r="B570" s="1">
        <v>403.0</v>
      </c>
      <c r="C570" s="1">
        <v>10142.0</v>
      </c>
      <c r="D570" s="1">
        <v>1.478908534E9</v>
      </c>
    </row>
    <row r="571">
      <c r="A571" s="1">
        <v>11861.0</v>
      </c>
      <c r="B571" s="1">
        <v>403.0</v>
      </c>
      <c r="C571" s="1">
        <v>10151.0</v>
      </c>
      <c r="D571" s="1">
        <v>1.478908536E9</v>
      </c>
    </row>
    <row r="572">
      <c r="A572" s="1">
        <v>11873.0</v>
      </c>
      <c r="B572" s="1">
        <v>403.0</v>
      </c>
      <c r="C572" s="1">
        <v>10119.0</v>
      </c>
      <c r="D572" s="1">
        <v>1.478908546E9</v>
      </c>
    </row>
    <row r="573">
      <c r="A573" s="1">
        <v>11875.0</v>
      </c>
      <c r="B573" s="1">
        <v>403.0</v>
      </c>
      <c r="C573" s="1">
        <v>10121.0</v>
      </c>
      <c r="D573" s="1">
        <v>1.47890855E9</v>
      </c>
    </row>
    <row r="574">
      <c r="A574" s="1">
        <v>11887.0</v>
      </c>
      <c r="B574" s="1">
        <v>403.0</v>
      </c>
      <c r="C574" s="1">
        <v>10152.0</v>
      </c>
      <c r="D574" s="1">
        <v>1.478908559E9</v>
      </c>
    </row>
    <row r="575">
      <c r="A575" s="1">
        <v>11892.0</v>
      </c>
      <c r="B575" s="1">
        <v>404.0</v>
      </c>
      <c r="C575" s="1">
        <v>10152.0</v>
      </c>
      <c r="D575" s="1">
        <v>1.478908565E9</v>
      </c>
    </row>
    <row r="576">
      <c r="A576" s="1">
        <v>11893.0</v>
      </c>
      <c r="B576" s="1">
        <v>403.0</v>
      </c>
      <c r="C576" s="1">
        <v>10121.0</v>
      </c>
      <c r="D576" s="1">
        <v>1.478908566E9</v>
      </c>
    </row>
    <row r="577">
      <c r="A577" s="1">
        <v>11894.0</v>
      </c>
      <c r="B577" s="1">
        <v>404.0</v>
      </c>
      <c r="C577" s="1">
        <v>10129.0</v>
      </c>
      <c r="D577" s="1">
        <v>1.478908567E9</v>
      </c>
    </row>
    <row r="578">
      <c r="A578" s="1">
        <v>11898.0</v>
      </c>
      <c r="B578" s="1">
        <v>403.0</v>
      </c>
      <c r="C578" s="1">
        <v>10121.0</v>
      </c>
      <c r="D578" s="1">
        <v>1.47890857E9</v>
      </c>
    </row>
    <row r="579">
      <c r="A579" s="1">
        <v>11903.0</v>
      </c>
      <c r="B579" s="1">
        <v>404.0</v>
      </c>
      <c r="C579" s="1">
        <v>10119.0</v>
      </c>
      <c r="D579" s="1">
        <v>1.478908576E9</v>
      </c>
    </row>
    <row r="580">
      <c r="A580" s="1">
        <v>11905.0</v>
      </c>
      <c r="B580" s="1">
        <v>403.0</v>
      </c>
      <c r="C580" s="1">
        <v>10141.0</v>
      </c>
      <c r="D580" s="1">
        <v>1.478908578E9</v>
      </c>
    </row>
    <row r="581">
      <c r="A581" s="1">
        <v>11906.0</v>
      </c>
      <c r="B581" s="1">
        <v>401.0</v>
      </c>
      <c r="C581" s="1">
        <v>10151.0</v>
      </c>
      <c r="D581" s="1">
        <v>1.478908579E9</v>
      </c>
    </row>
    <row r="582">
      <c r="A582" s="1">
        <v>11913.0</v>
      </c>
      <c r="B582" s="1">
        <v>404.0</v>
      </c>
      <c r="C582" s="1">
        <v>10125.0</v>
      </c>
      <c r="D582" s="1">
        <v>1.478908583E9</v>
      </c>
    </row>
    <row r="583">
      <c r="A583" s="1">
        <v>11915.0</v>
      </c>
      <c r="B583" s="1">
        <v>403.0</v>
      </c>
      <c r="C583" s="1">
        <v>10138.0</v>
      </c>
      <c r="D583" s="1">
        <v>1.478908584E9</v>
      </c>
    </row>
    <row r="584">
      <c r="A584" s="1">
        <v>11924.0</v>
      </c>
      <c r="B584" s="1">
        <v>401.0</v>
      </c>
      <c r="C584" s="1">
        <v>10135.0</v>
      </c>
      <c r="D584" s="1">
        <v>1.4789086E9</v>
      </c>
    </row>
    <row r="585">
      <c r="A585" s="1">
        <v>11932.0</v>
      </c>
      <c r="B585" s="1">
        <v>403.0</v>
      </c>
      <c r="C585" s="1">
        <v>10121.0</v>
      </c>
      <c r="D585" s="1">
        <v>1.478908604E9</v>
      </c>
    </row>
    <row r="586">
      <c r="A586" s="1">
        <v>11947.0</v>
      </c>
      <c r="B586" s="1">
        <v>404.0</v>
      </c>
      <c r="C586" s="1">
        <v>10143.0</v>
      </c>
      <c r="D586" s="1">
        <v>1.478908623E9</v>
      </c>
    </row>
    <row r="587">
      <c r="A587" s="1">
        <v>11948.0</v>
      </c>
      <c r="B587" s="1">
        <v>404.0</v>
      </c>
      <c r="C587" s="1">
        <v>10121.0</v>
      </c>
      <c r="D587" s="1">
        <v>1.478908625E9</v>
      </c>
    </row>
    <row r="588">
      <c r="A588" s="1">
        <v>11993.0</v>
      </c>
      <c r="B588" s="1">
        <v>404.0</v>
      </c>
      <c r="C588" s="1">
        <v>10127.0</v>
      </c>
      <c r="D588" s="1">
        <v>1.478908689E9</v>
      </c>
    </row>
    <row r="589">
      <c r="A589" s="1">
        <v>12008.0</v>
      </c>
      <c r="B589" s="1">
        <v>403.0</v>
      </c>
      <c r="C589" s="1">
        <v>10132.0</v>
      </c>
      <c r="D589" s="1">
        <v>1.478908713E9</v>
      </c>
    </row>
    <row r="590">
      <c r="A590" s="1">
        <v>12018.0</v>
      </c>
      <c r="B590" s="1">
        <v>401.0</v>
      </c>
      <c r="C590" s="1">
        <v>10141.0</v>
      </c>
      <c r="D590" s="1">
        <v>1.478908732E9</v>
      </c>
    </row>
    <row r="591">
      <c r="A591" s="1">
        <v>12021.0</v>
      </c>
      <c r="B591" s="1">
        <v>401.0</v>
      </c>
      <c r="C591" s="1">
        <v>10141.0</v>
      </c>
      <c r="D591" s="1">
        <v>1.478908739E9</v>
      </c>
    </row>
    <row r="592">
      <c r="A592" s="1">
        <v>12031.0</v>
      </c>
      <c r="B592" s="1">
        <v>403.0</v>
      </c>
      <c r="C592" s="1">
        <v>10138.0</v>
      </c>
      <c r="D592" s="1">
        <v>1.478908752E9</v>
      </c>
    </row>
    <row r="593">
      <c r="A593" s="1">
        <v>12036.0</v>
      </c>
      <c r="B593" s="1">
        <v>403.0</v>
      </c>
      <c r="C593" s="1">
        <v>10151.0</v>
      </c>
      <c r="D593" s="1">
        <v>1.478908756E9</v>
      </c>
    </row>
    <row r="594">
      <c r="A594" s="1">
        <v>12038.0</v>
      </c>
      <c r="B594" s="1">
        <v>404.0</v>
      </c>
      <c r="C594" s="1">
        <v>10142.0</v>
      </c>
      <c r="D594" s="1">
        <v>1.47890876E9</v>
      </c>
    </row>
    <row r="595">
      <c r="A595" s="1">
        <v>12040.0</v>
      </c>
      <c r="B595" s="1">
        <v>401.0</v>
      </c>
      <c r="C595" s="1">
        <v>10141.0</v>
      </c>
      <c r="D595" s="1">
        <v>1.478908761E9</v>
      </c>
    </row>
    <row r="596">
      <c r="A596" s="1">
        <v>12039.0</v>
      </c>
      <c r="B596" s="1">
        <v>404.0</v>
      </c>
      <c r="C596" s="1">
        <v>10142.0</v>
      </c>
      <c r="D596" s="1">
        <v>1.478908761E9</v>
      </c>
    </row>
    <row r="597">
      <c r="A597" s="1">
        <v>12042.0</v>
      </c>
      <c r="B597" s="1">
        <v>403.0</v>
      </c>
      <c r="C597" s="1">
        <v>10138.0</v>
      </c>
      <c r="D597" s="1">
        <v>1.478908763E9</v>
      </c>
    </row>
    <row r="598">
      <c r="A598" s="1">
        <v>12046.0</v>
      </c>
      <c r="B598" s="1">
        <v>401.0</v>
      </c>
      <c r="C598" s="1">
        <v>10141.0</v>
      </c>
      <c r="D598" s="1">
        <v>1.478908773E9</v>
      </c>
    </row>
    <row r="599">
      <c r="A599" s="1">
        <v>12052.0</v>
      </c>
      <c r="B599" s="1">
        <v>401.0</v>
      </c>
      <c r="C599" s="1">
        <v>10141.0</v>
      </c>
      <c r="D599" s="1">
        <v>1.478908782E9</v>
      </c>
    </row>
    <row r="600">
      <c r="A600" s="1">
        <v>12058.0</v>
      </c>
      <c r="B600" s="1">
        <v>401.0</v>
      </c>
      <c r="C600" s="1">
        <v>10141.0</v>
      </c>
      <c r="D600" s="1">
        <v>1.478908785E9</v>
      </c>
    </row>
    <row r="601">
      <c r="A601" s="1">
        <v>12064.0</v>
      </c>
      <c r="B601" s="1">
        <v>401.0</v>
      </c>
      <c r="C601" s="1">
        <v>10154.0</v>
      </c>
      <c r="D601" s="1">
        <v>1.478908797E9</v>
      </c>
    </row>
    <row r="602">
      <c r="A602" s="1">
        <v>12101.0</v>
      </c>
      <c r="B602" s="1">
        <v>403.0</v>
      </c>
      <c r="C602" s="1">
        <v>10138.0</v>
      </c>
      <c r="D602" s="1">
        <v>1.478908846E9</v>
      </c>
    </row>
    <row r="603">
      <c r="A603" s="1">
        <v>12127.0</v>
      </c>
      <c r="B603" s="1">
        <v>403.0</v>
      </c>
      <c r="C603" s="1">
        <v>10130.0</v>
      </c>
      <c r="D603" s="1">
        <v>1.478908856E9</v>
      </c>
    </row>
    <row r="604">
      <c r="A604" s="1">
        <v>12133.0</v>
      </c>
      <c r="B604" s="1">
        <v>403.0</v>
      </c>
      <c r="C604" s="1">
        <v>10130.0</v>
      </c>
      <c r="D604" s="1">
        <v>1.478908857E9</v>
      </c>
    </row>
    <row r="605">
      <c r="A605" s="1">
        <v>12134.0</v>
      </c>
      <c r="B605" s="1">
        <v>403.0</v>
      </c>
      <c r="C605" s="1">
        <v>10130.0</v>
      </c>
      <c r="D605" s="1">
        <v>1.478908857E9</v>
      </c>
    </row>
    <row r="606">
      <c r="A606" s="1">
        <v>12145.0</v>
      </c>
      <c r="B606" s="1">
        <v>403.0</v>
      </c>
      <c r="C606" s="1">
        <v>10134.0</v>
      </c>
      <c r="D606" s="1">
        <v>1.478908864E9</v>
      </c>
    </row>
    <row r="607">
      <c r="A607" s="1">
        <v>12158.0</v>
      </c>
      <c r="B607" s="1">
        <v>403.0</v>
      </c>
      <c r="C607" s="1">
        <v>10138.0</v>
      </c>
      <c r="D607" s="1">
        <v>1.47890887E9</v>
      </c>
    </row>
    <row r="608">
      <c r="A608" s="1">
        <v>12193.0</v>
      </c>
      <c r="B608" s="1">
        <v>403.0</v>
      </c>
      <c r="C608" s="1">
        <v>10134.0</v>
      </c>
      <c r="D608" s="1">
        <v>1.47890888E9</v>
      </c>
    </row>
    <row r="609">
      <c r="A609" s="1">
        <v>12211.0</v>
      </c>
      <c r="B609" s="1">
        <v>403.0</v>
      </c>
      <c r="C609" s="1">
        <v>10132.0</v>
      </c>
      <c r="D609" s="1">
        <v>1.478908893E9</v>
      </c>
    </row>
    <row r="610">
      <c r="A610" s="1">
        <v>12212.0</v>
      </c>
      <c r="B610" s="1">
        <v>403.0</v>
      </c>
      <c r="C610" s="1">
        <v>10138.0</v>
      </c>
      <c r="D610" s="1">
        <v>1.478908893E9</v>
      </c>
    </row>
    <row r="611">
      <c r="A611" s="1">
        <v>12237.0</v>
      </c>
      <c r="B611" s="1">
        <v>401.0</v>
      </c>
      <c r="C611" s="1">
        <v>10142.0</v>
      </c>
      <c r="D611" s="1">
        <v>1.478908908E9</v>
      </c>
    </row>
    <row r="612">
      <c r="A612" s="1">
        <v>12240.0</v>
      </c>
      <c r="B612" s="1">
        <v>403.0</v>
      </c>
      <c r="C612" s="1">
        <v>10137.0</v>
      </c>
      <c r="D612" s="1">
        <v>1.478908909E9</v>
      </c>
    </row>
    <row r="613">
      <c r="A613" s="1">
        <v>12243.0</v>
      </c>
      <c r="B613" s="1">
        <v>404.0</v>
      </c>
      <c r="C613" s="1">
        <v>10125.0</v>
      </c>
      <c r="D613" s="1">
        <v>1.47890891E9</v>
      </c>
    </row>
    <row r="614">
      <c r="A614" s="1">
        <v>12249.0</v>
      </c>
      <c r="B614" s="1">
        <v>403.0</v>
      </c>
      <c r="C614" s="1">
        <v>10144.0</v>
      </c>
      <c r="D614" s="1">
        <v>1.478908912E9</v>
      </c>
    </row>
    <row r="615">
      <c r="A615" s="1">
        <v>12252.0</v>
      </c>
      <c r="B615" s="1">
        <v>403.0</v>
      </c>
      <c r="C615" s="1">
        <v>10150.0</v>
      </c>
      <c r="D615" s="1">
        <v>1.478908914E9</v>
      </c>
    </row>
    <row r="616">
      <c r="A616" s="1">
        <v>12266.0</v>
      </c>
      <c r="B616" s="1">
        <v>403.0</v>
      </c>
      <c r="C616" s="1">
        <v>10140.0</v>
      </c>
      <c r="D616" s="1">
        <v>1.478908918E9</v>
      </c>
    </row>
    <row r="617">
      <c r="A617" s="1">
        <v>12280.0</v>
      </c>
      <c r="B617" s="1">
        <v>403.0</v>
      </c>
      <c r="C617" s="1">
        <v>10140.0</v>
      </c>
      <c r="D617" s="1">
        <v>1.478908924E9</v>
      </c>
    </row>
    <row r="618">
      <c r="A618" s="1">
        <v>12282.0</v>
      </c>
      <c r="B618" s="1">
        <v>403.0</v>
      </c>
      <c r="C618" s="1">
        <v>10142.0</v>
      </c>
      <c r="D618" s="1">
        <v>1.478908925E9</v>
      </c>
    </row>
    <row r="619">
      <c r="A619" s="1">
        <v>12293.0</v>
      </c>
      <c r="B619" s="1">
        <v>404.0</v>
      </c>
      <c r="C619" s="1">
        <v>10142.0</v>
      </c>
      <c r="D619" s="1">
        <v>1.478908929E9</v>
      </c>
    </row>
    <row r="620">
      <c r="A620" s="1">
        <v>12294.0</v>
      </c>
      <c r="B620" s="1">
        <v>401.0</v>
      </c>
      <c r="C620" s="1">
        <v>10154.0</v>
      </c>
      <c r="D620" s="1">
        <v>1.47890893E9</v>
      </c>
    </row>
    <row r="621">
      <c r="A621" s="1">
        <v>12296.0</v>
      </c>
      <c r="B621" s="1">
        <v>403.0</v>
      </c>
      <c r="C621" s="1">
        <v>10134.0</v>
      </c>
      <c r="D621" s="1">
        <v>1.478908935E9</v>
      </c>
    </row>
    <row r="622">
      <c r="A622" s="1">
        <v>12312.0</v>
      </c>
      <c r="B622" s="1">
        <v>404.0</v>
      </c>
      <c r="C622" s="1">
        <v>10145.0</v>
      </c>
      <c r="D622" s="1">
        <v>1.478908948E9</v>
      </c>
    </row>
    <row r="623">
      <c r="A623" s="1">
        <v>12314.0</v>
      </c>
      <c r="B623" s="1">
        <v>403.0</v>
      </c>
      <c r="C623" s="1">
        <v>10140.0</v>
      </c>
      <c r="D623" s="1">
        <v>1.478908949E9</v>
      </c>
    </row>
    <row r="624">
      <c r="A624" s="1">
        <v>12317.0</v>
      </c>
      <c r="B624" s="1">
        <v>403.0</v>
      </c>
      <c r="C624" s="1">
        <v>10140.0</v>
      </c>
      <c r="D624" s="1">
        <v>1.478908956E9</v>
      </c>
    </row>
    <row r="625">
      <c r="A625" s="1">
        <v>12316.0</v>
      </c>
      <c r="B625" s="1">
        <v>404.0</v>
      </c>
      <c r="C625" s="1">
        <v>10145.0</v>
      </c>
      <c r="D625" s="1">
        <v>1.478908956E9</v>
      </c>
    </row>
    <row r="626">
      <c r="A626" s="1">
        <v>12324.0</v>
      </c>
      <c r="B626" s="1">
        <v>403.0</v>
      </c>
      <c r="C626" s="1">
        <v>10127.0</v>
      </c>
      <c r="D626" s="1">
        <v>1.478908962E9</v>
      </c>
    </row>
    <row r="627">
      <c r="A627" s="1">
        <v>12325.0</v>
      </c>
      <c r="B627" s="1">
        <v>403.0</v>
      </c>
      <c r="C627" s="1">
        <v>10138.0</v>
      </c>
      <c r="D627" s="1">
        <v>1.478908962E9</v>
      </c>
    </row>
    <row r="628">
      <c r="A628" s="1">
        <v>12334.0</v>
      </c>
      <c r="B628" s="1">
        <v>401.0</v>
      </c>
      <c r="C628" s="1">
        <v>10151.0</v>
      </c>
      <c r="D628" s="1">
        <v>1.478908974E9</v>
      </c>
    </row>
    <row r="629">
      <c r="A629" s="1">
        <v>12346.0</v>
      </c>
      <c r="B629" s="1">
        <v>401.0</v>
      </c>
      <c r="C629" s="1">
        <v>10140.0</v>
      </c>
      <c r="D629" s="1">
        <v>1.478908986E9</v>
      </c>
    </row>
    <row r="630">
      <c r="A630" s="1">
        <v>12354.0</v>
      </c>
      <c r="B630" s="1">
        <v>401.0</v>
      </c>
      <c r="C630" s="1">
        <v>10140.0</v>
      </c>
      <c r="D630" s="1">
        <v>1.478908989E9</v>
      </c>
    </row>
    <row r="631">
      <c r="A631" s="1">
        <v>12359.0</v>
      </c>
      <c r="B631" s="1">
        <v>403.0</v>
      </c>
      <c r="C631" s="1">
        <v>10138.0</v>
      </c>
      <c r="D631" s="1">
        <v>1.478908992E9</v>
      </c>
    </row>
    <row r="632">
      <c r="A632" s="1">
        <v>12365.0</v>
      </c>
      <c r="B632" s="1">
        <v>404.0</v>
      </c>
      <c r="C632" s="1">
        <v>10121.0</v>
      </c>
      <c r="D632" s="1">
        <v>1.478909E9</v>
      </c>
    </row>
    <row r="633">
      <c r="A633" s="1">
        <v>12380.0</v>
      </c>
      <c r="B633" s="1">
        <v>404.0</v>
      </c>
      <c r="C633" s="1">
        <v>10121.0</v>
      </c>
      <c r="D633" s="1">
        <v>1.47890901E9</v>
      </c>
    </row>
    <row r="634">
      <c r="A634" s="1">
        <v>12397.0</v>
      </c>
      <c r="B634" s="1">
        <v>403.0</v>
      </c>
      <c r="C634" s="1">
        <v>10141.0</v>
      </c>
      <c r="D634" s="1">
        <v>1.47890902E9</v>
      </c>
    </row>
    <row r="635">
      <c r="A635" s="1">
        <v>12401.0</v>
      </c>
      <c r="B635" s="1">
        <v>401.0</v>
      </c>
      <c r="C635" s="1">
        <v>10121.0</v>
      </c>
      <c r="D635" s="1">
        <v>1.478909025E9</v>
      </c>
    </row>
    <row r="636">
      <c r="A636" s="1">
        <v>12415.0</v>
      </c>
      <c r="B636" s="1">
        <v>403.0</v>
      </c>
      <c r="C636" s="1">
        <v>10149.0</v>
      </c>
      <c r="D636" s="1">
        <v>1.478909033E9</v>
      </c>
    </row>
    <row r="637">
      <c r="A637" s="1">
        <v>12417.0</v>
      </c>
      <c r="B637" s="1">
        <v>404.0</v>
      </c>
      <c r="C637" s="1">
        <v>10121.0</v>
      </c>
      <c r="D637" s="1">
        <v>1.478909033E9</v>
      </c>
    </row>
    <row r="638">
      <c r="A638" s="1">
        <v>12419.0</v>
      </c>
      <c r="B638" s="1">
        <v>403.0</v>
      </c>
      <c r="C638" s="1">
        <v>10138.0</v>
      </c>
      <c r="D638" s="1">
        <v>1.478909034E9</v>
      </c>
    </row>
    <row r="639">
      <c r="A639" s="1">
        <v>12421.0</v>
      </c>
      <c r="B639" s="1">
        <v>403.0</v>
      </c>
      <c r="C639" s="1">
        <v>10149.0</v>
      </c>
      <c r="D639" s="1">
        <v>1.478909036E9</v>
      </c>
    </row>
    <row r="640">
      <c r="A640" s="1">
        <v>12431.0</v>
      </c>
      <c r="B640" s="1">
        <v>403.0</v>
      </c>
      <c r="C640" s="1">
        <v>10140.0</v>
      </c>
      <c r="D640" s="1">
        <v>1.478909042E9</v>
      </c>
    </row>
    <row r="641">
      <c r="A641" s="1">
        <v>12437.0</v>
      </c>
      <c r="B641" s="1">
        <v>403.0</v>
      </c>
      <c r="C641" s="1">
        <v>10140.0</v>
      </c>
      <c r="D641" s="1">
        <v>1.478909044E9</v>
      </c>
    </row>
    <row r="642">
      <c r="A642" s="1">
        <v>12441.0</v>
      </c>
      <c r="B642" s="1">
        <v>404.0</v>
      </c>
      <c r="C642" s="1">
        <v>10151.0</v>
      </c>
      <c r="D642" s="1">
        <v>1.478909045E9</v>
      </c>
    </row>
    <row r="643">
      <c r="A643" s="1">
        <v>12449.0</v>
      </c>
      <c r="B643" s="1">
        <v>404.0</v>
      </c>
      <c r="C643" s="1">
        <v>10121.0</v>
      </c>
      <c r="D643" s="1">
        <v>1.478909053E9</v>
      </c>
    </row>
    <row r="644">
      <c r="A644" s="1">
        <v>12475.0</v>
      </c>
      <c r="B644" s="1">
        <v>403.0</v>
      </c>
      <c r="C644" s="1">
        <v>10150.0</v>
      </c>
      <c r="D644" s="1">
        <v>1.478909069E9</v>
      </c>
    </row>
    <row r="645">
      <c r="A645" s="1">
        <v>12479.0</v>
      </c>
      <c r="B645" s="1">
        <v>404.0</v>
      </c>
      <c r="C645" s="1">
        <v>10116.0</v>
      </c>
      <c r="D645" s="1">
        <v>1.478909071E9</v>
      </c>
    </row>
    <row r="646">
      <c r="A646" s="1">
        <v>12482.0</v>
      </c>
      <c r="B646" s="1">
        <v>403.0</v>
      </c>
      <c r="C646" s="1">
        <v>10130.0</v>
      </c>
      <c r="D646" s="1">
        <v>1.478909075E9</v>
      </c>
    </row>
    <row r="647">
      <c r="A647" s="1">
        <v>12486.0</v>
      </c>
      <c r="B647" s="1">
        <v>401.0</v>
      </c>
      <c r="C647" s="1">
        <v>10127.0</v>
      </c>
      <c r="D647" s="1">
        <v>1.478909077E9</v>
      </c>
    </row>
    <row r="648">
      <c r="A648" s="1">
        <v>12487.0</v>
      </c>
      <c r="B648" s="1">
        <v>404.0</v>
      </c>
      <c r="C648" s="1">
        <v>10130.0</v>
      </c>
      <c r="D648" s="1">
        <v>1.478909077E9</v>
      </c>
    </row>
    <row r="649">
      <c r="A649" s="1">
        <v>12495.0</v>
      </c>
      <c r="B649" s="1">
        <v>403.0</v>
      </c>
      <c r="C649" s="1">
        <v>10116.0</v>
      </c>
      <c r="D649" s="1">
        <v>1.478909083E9</v>
      </c>
    </row>
    <row r="650">
      <c r="A650" s="1">
        <v>12509.0</v>
      </c>
      <c r="B650" s="1">
        <v>404.0</v>
      </c>
      <c r="C650" s="1">
        <v>10116.0</v>
      </c>
      <c r="D650" s="1">
        <v>1.478909092E9</v>
      </c>
    </row>
    <row r="651">
      <c r="A651" s="1">
        <v>12510.0</v>
      </c>
      <c r="B651" s="1">
        <v>401.0</v>
      </c>
      <c r="C651" s="1">
        <v>10140.0</v>
      </c>
      <c r="D651" s="1">
        <v>1.478909093E9</v>
      </c>
    </row>
    <row r="652">
      <c r="A652" s="1">
        <v>12512.0</v>
      </c>
      <c r="B652" s="1">
        <v>401.0</v>
      </c>
      <c r="C652" s="1">
        <v>10140.0</v>
      </c>
      <c r="D652" s="1">
        <v>1.478909095E9</v>
      </c>
    </row>
    <row r="653">
      <c r="A653" s="1">
        <v>12513.0</v>
      </c>
      <c r="B653" s="1">
        <v>404.0</v>
      </c>
      <c r="C653" s="1">
        <v>10116.0</v>
      </c>
      <c r="D653" s="1">
        <v>1.478909096E9</v>
      </c>
    </row>
    <row r="654">
      <c r="A654" s="1">
        <v>12514.0</v>
      </c>
      <c r="B654" s="1">
        <v>405.0</v>
      </c>
      <c r="C654" s="1">
        <v>10126.0</v>
      </c>
      <c r="D654" s="1">
        <v>1.478909097E9</v>
      </c>
    </row>
    <row r="655">
      <c r="A655" s="1">
        <v>12515.0</v>
      </c>
      <c r="B655" s="1">
        <v>404.0</v>
      </c>
      <c r="C655" s="1">
        <v>10127.0</v>
      </c>
      <c r="D655" s="1">
        <v>1.478909098E9</v>
      </c>
    </row>
    <row r="656">
      <c r="A656" s="1">
        <v>12519.0</v>
      </c>
      <c r="B656" s="1">
        <v>404.0</v>
      </c>
      <c r="C656" s="1">
        <v>10150.0</v>
      </c>
      <c r="D656" s="1">
        <v>1.478909101E9</v>
      </c>
    </row>
    <row r="657">
      <c r="A657" s="1">
        <v>12525.0</v>
      </c>
      <c r="B657" s="1">
        <v>403.0</v>
      </c>
      <c r="C657" s="1">
        <v>10134.0</v>
      </c>
      <c r="D657" s="1">
        <v>1.478909108E9</v>
      </c>
    </row>
    <row r="658">
      <c r="A658" s="1">
        <v>12530.0</v>
      </c>
      <c r="B658" s="1">
        <v>404.0</v>
      </c>
      <c r="C658" s="1">
        <v>10116.0</v>
      </c>
      <c r="D658" s="1">
        <v>1.47890911E9</v>
      </c>
    </row>
    <row r="659">
      <c r="A659" s="1">
        <v>12536.0</v>
      </c>
      <c r="B659" s="1">
        <v>403.0</v>
      </c>
      <c r="C659" s="1">
        <v>10138.0</v>
      </c>
      <c r="D659" s="1">
        <v>1.478909114E9</v>
      </c>
    </row>
    <row r="660">
      <c r="A660" s="1">
        <v>12549.0</v>
      </c>
      <c r="B660" s="1">
        <v>403.0</v>
      </c>
      <c r="C660" s="1">
        <v>10138.0</v>
      </c>
      <c r="D660" s="1">
        <v>1.47890912E9</v>
      </c>
    </row>
    <row r="661">
      <c r="A661" s="1">
        <v>12554.0</v>
      </c>
      <c r="B661" s="1">
        <v>404.0</v>
      </c>
      <c r="C661" s="1">
        <v>10134.0</v>
      </c>
      <c r="D661" s="1">
        <v>1.478909124E9</v>
      </c>
    </row>
    <row r="662">
      <c r="A662" s="1">
        <v>12557.0</v>
      </c>
      <c r="B662" s="1">
        <v>405.0</v>
      </c>
      <c r="C662" s="1">
        <v>10125.0</v>
      </c>
      <c r="D662" s="1">
        <v>1.478909128E9</v>
      </c>
    </row>
    <row r="663">
      <c r="A663" s="1">
        <v>12566.0</v>
      </c>
      <c r="B663" s="1">
        <v>403.0</v>
      </c>
      <c r="C663" s="1">
        <v>10130.0</v>
      </c>
      <c r="D663" s="1">
        <v>1.478909139E9</v>
      </c>
    </row>
    <row r="664">
      <c r="A664" s="1">
        <v>12568.0</v>
      </c>
      <c r="B664" s="1">
        <v>403.0</v>
      </c>
      <c r="C664" s="1">
        <v>10138.0</v>
      </c>
      <c r="D664" s="1">
        <v>1.478909142E9</v>
      </c>
    </row>
    <row r="665">
      <c r="A665" s="1">
        <v>12572.0</v>
      </c>
      <c r="B665" s="1">
        <v>404.0</v>
      </c>
      <c r="C665" s="1">
        <v>10130.0</v>
      </c>
      <c r="D665" s="1">
        <v>1.478909146E9</v>
      </c>
    </row>
    <row r="666">
      <c r="A666" s="1">
        <v>12573.0</v>
      </c>
      <c r="B666" s="1">
        <v>403.0</v>
      </c>
      <c r="C666" s="1">
        <v>10138.0</v>
      </c>
      <c r="D666" s="1">
        <v>1.478909148E9</v>
      </c>
    </row>
    <row r="667">
      <c r="A667" s="1">
        <v>12582.0</v>
      </c>
      <c r="B667" s="1">
        <v>404.0</v>
      </c>
      <c r="C667" s="1">
        <v>10130.0</v>
      </c>
      <c r="D667" s="1">
        <v>1.478909162E9</v>
      </c>
    </row>
    <row r="668">
      <c r="A668" s="1">
        <v>12586.0</v>
      </c>
      <c r="B668" s="1">
        <v>403.0</v>
      </c>
      <c r="C668" s="1">
        <v>10138.0</v>
      </c>
      <c r="D668" s="1">
        <v>1.478909165E9</v>
      </c>
    </row>
    <row r="669">
      <c r="A669" s="1">
        <v>12585.0</v>
      </c>
      <c r="B669" s="1">
        <v>404.0</v>
      </c>
      <c r="C669" s="1">
        <v>10116.0</v>
      </c>
      <c r="D669" s="1">
        <v>1.478909165E9</v>
      </c>
    </row>
    <row r="670">
      <c r="A670" s="1">
        <v>12598.0</v>
      </c>
      <c r="B670" s="1">
        <v>403.0</v>
      </c>
      <c r="C670" s="1">
        <v>10149.0</v>
      </c>
      <c r="D670" s="1">
        <v>1.478909177E9</v>
      </c>
    </row>
    <row r="671">
      <c r="A671" s="1">
        <v>12608.0</v>
      </c>
      <c r="B671" s="1">
        <v>401.0</v>
      </c>
      <c r="C671" s="1">
        <v>10135.0</v>
      </c>
      <c r="D671" s="1">
        <v>1.478909185E9</v>
      </c>
    </row>
    <row r="672">
      <c r="A672" s="1">
        <v>12617.0</v>
      </c>
      <c r="B672" s="1">
        <v>401.0</v>
      </c>
      <c r="C672" s="1">
        <v>10135.0</v>
      </c>
      <c r="D672" s="1">
        <v>1.478909194E9</v>
      </c>
    </row>
    <row r="673">
      <c r="A673" s="1">
        <v>12621.0</v>
      </c>
      <c r="B673" s="1">
        <v>401.0</v>
      </c>
      <c r="C673" s="1">
        <v>10135.0</v>
      </c>
      <c r="D673" s="1">
        <v>1.4789092E9</v>
      </c>
    </row>
    <row r="674">
      <c r="A674" s="1">
        <v>12622.0</v>
      </c>
      <c r="B674" s="1">
        <v>404.0</v>
      </c>
      <c r="C674" s="1">
        <v>10149.0</v>
      </c>
      <c r="D674" s="1">
        <v>1.478909201E9</v>
      </c>
    </row>
    <row r="675">
      <c r="A675" s="1">
        <v>12625.0</v>
      </c>
      <c r="B675" s="1">
        <v>403.0</v>
      </c>
      <c r="C675" s="1">
        <v>10140.0</v>
      </c>
      <c r="D675" s="1">
        <v>1.478909203E9</v>
      </c>
    </row>
    <row r="676">
      <c r="A676" s="1">
        <v>12626.0</v>
      </c>
      <c r="B676" s="1">
        <v>404.0</v>
      </c>
      <c r="C676" s="1">
        <v>10126.0</v>
      </c>
      <c r="D676" s="1">
        <v>1.478909204E9</v>
      </c>
    </row>
    <row r="677">
      <c r="A677" s="1">
        <v>12627.0</v>
      </c>
      <c r="B677" s="1">
        <v>403.0</v>
      </c>
      <c r="C677" s="1">
        <v>10135.0</v>
      </c>
      <c r="D677" s="1">
        <v>1.478909205E9</v>
      </c>
    </row>
    <row r="678">
      <c r="A678" s="1">
        <v>12628.0</v>
      </c>
      <c r="B678" s="1">
        <v>403.0</v>
      </c>
      <c r="C678" s="1">
        <v>10140.0</v>
      </c>
      <c r="D678" s="1">
        <v>1.478909207E9</v>
      </c>
    </row>
    <row r="679">
      <c r="A679" s="1">
        <v>12631.0</v>
      </c>
      <c r="B679" s="1">
        <v>403.0</v>
      </c>
      <c r="C679" s="1">
        <v>10138.0</v>
      </c>
      <c r="D679" s="1">
        <v>1.478909209E9</v>
      </c>
    </row>
    <row r="680">
      <c r="A680" s="1">
        <v>12641.0</v>
      </c>
      <c r="B680" s="1">
        <v>401.0</v>
      </c>
      <c r="C680" s="1">
        <v>10141.0</v>
      </c>
      <c r="D680" s="1">
        <v>1.478909215E9</v>
      </c>
    </row>
    <row r="681">
      <c r="A681" s="1">
        <v>12646.0</v>
      </c>
      <c r="B681" s="1">
        <v>403.0</v>
      </c>
      <c r="C681" s="1">
        <v>10151.0</v>
      </c>
      <c r="D681" s="1">
        <v>1.47890922E9</v>
      </c>
    </row>
    <row r="682">
      <c r="A682" s="1">
        <v>12644.0</v>
      </c>
      <c r="B682" s="1">
        <v>404.0</v>
      </c>
      <c r="C682" s="1">
        <v>10152.0</v>
      </c>
      <c r="D682" s="1">
        <v>1.47890922E9</v>
      </c>
    </row>
    <row r="683">
      <c r="A683" s="1">
        <v>12647.0</v>
      </c>
      <c r="B683" s="1">
        <v>403.0</v>
      </c>
      <c r="C683" s="1">
        <v>10116.0</v>
      </c>
      <c r="D683" s="1">
        <v>1.478909222E9</v>
      </c>
    </row>
    <row r="684">
      <c r="A684" s="1">
        <v>12654.0</v>
      </c>
      <c r="B684" s="1">
        <v>403.0</v>
      </c>
      <c r="C684" s="1">
        <v>10133.0</v>
      </c>
      <c r="D684" s="1">
        <v>1.478909225E9</v>
      </c>
    </row>
    <row r="685">
      <c r="A685" s="1">
        <v>12656.0</v>
      </c>
      <c r="B685" s="1">
        <v>401.0</v>
      </c>
      <c r="C685" s="1">
        <v>10141.0</v>
      </c>
      <c r="D685" s="1">
        <v>1.478909227E9</v>
      </c>
    </row>
    <row r="686">
      <c r="A686" s="1">
        <v>12662.0</v>
      </c>
      <c r="B686" s="1">
        <v>403.0</v>
      </c>
      <c r="C686" s="1">
        <v>10151.0</v>
      </c>
      <c r="D686" s="1">
        <v>1.478909229E9</v>
      </c>
    </row>
    <row r="687">
      <c r="A687" s="1">
        <v>12661.0</v>
      </c>
      <c r="B687" s="1">
        <v>404.0</v>
      </c>
      <c r="C687" s="1">
        <v>10126.0</v>
      </c>
      <c r="D687" s="1">
        <v>1.478909229E9</v>
      </c>
    </row>
    <row r="688">
      <c r="A688" s="1">
        <v>12677.0</v>
      </c>
      <c r="B688" s="1">
        <v>403.0</v>
      </c>
      <c r="C688" s="1">
        <v>10135.0</v>
      </c>
      <c r="D688" s="1">
        <v>1.478909249E9</v>
      </c>
    </row>
    <row r="689">
      <c r="A689" s="1">
        <v>12681.0</v>
      </c>
      <c r="B689" s="1">
        <v>404.0</v>
      </c>
      <c r="C689" s="1">
        <v>10151.0</v>
      </c>
      <c r="D689" s="1">
        <v>1.478909252E9</v>
      </c>
    </row>
    <row r="690">
      <c r="A690" s="1">
        <v>12683.0</v>
      </c>
      <c r="B690" s="1">
        <v>403.0</v>
      </c>
      <c r="C690" s="1">
        <v>10122.0</v>
      </c>
      <c r="D690" s="1">
        <v>1.478909253E9</v>
      </c>
    </row>
    <row r="691">
      <c r="A691" s="1">
        <v>12689.0</v>
      </c>
      <c r="B691" s="1">
        <v>403.0</v>
      </c>
      <c r="C691" s="1">
        <v>10135.0</v>
      </c>
      <c r="D691" s="1">
        <v>1.478909262E9</v>
      </c>
    </row>
    <row r="692">
      <c r="A692" s="1">
        <v>12690.0</v>
      </c>
      <c r="B692" s="1">
        <v>404.0</v>
      </c>
      <c r="C692" s="1">
        <v>10116.0</v>
      </c>
      <c r="D692" s="1">
        <v>1.478909262E9</v>
      </c>
    </row>
    <row r="693">
      <c r="A693" s="1">
        <v>12695.0</v>
      </c>
      <c r="B693" s="1">
        <v>401.0</v>
      </c>
      <c r="C693" s="1">
        <v>10148.0</v>
      </c>
      <c r="D693" s="1">
        <v>1.478909264E9</v>
      </c>
    </row>
    <row r="694">
      <c r="A694" s="1">
        <v>12696.0</v>
      </c>
      <c r="B694" s="1">
        <v>401.0</v>
      </c>
      <c r="C694" s="1">
        <v>10153.0</v>
      </c>
      <c r="D694" s="1">
        <v>1.478909265E9</v>
      </c>
    </row>
    <row r="695">
      <c r="A695" s="1">
        <v>12706.0</v>
      </c>
      <c r="B695" s="1">
        <v>403.0</v>
      </c>
      <c r="C695" s="1">
        <v>10135.0</v>
      </c>
      <c r="D695" s="1">
        <v>1.478909273E9</v>
      </c>
    </row>
    <row r="696">
      <c r="A696" s="1">
        <v>12707.0</v>
      </c>
      <c r="B696" s="1">
        <v>403.0</v>
      </c>
      <c r="C696" s="1">
        <v>10148.0</v>
      </c>
      <c r="D696" s="1">
        <v>1.478909273E9</v>
      </c>
    </row>
    <row r="697">
      <c r="A697" s="1">
        <v>12712.0</v>
      </c>
      <c r="B697" s="1">
        <v>403.0</v>
      </c>
      <c r="C697" s="1">
        <v>10138.0</v>
      </c>
      <c r="D697" s="1">
        <v>1.478909276E9</v>
      </c>
    </row>
    <row r="698">
      <c r="A698" s="1">
        <v>12711.0</v>
      </c>
      <c r="B698" s="1">
        <v>404.0</v>
      </c>
      <c r="C698" s="1">
        <v>10151.0</v>
      </c>
      <c r="D698" s="1">
        <v>1.478909276E9</v>
      </c>
    </row>
    <row r="699">
      <c r="A699" s="1">
        <v>12719.0</v>
      </c>
      <c r="B699" s="1">
        <v>403.0</v>
      </c>
      <c r="C699" s="1">
        <v>10141.0</v>
      </c>
      <c r="D699" s="1">
        <v>1.47890928E9</v>
      </c>
    </row>
    <row r="700">
      <c r="A700" s="1">
        <v>12721.0</v>
      </c>
      <c r="B700" s="1">
        <v>404.0</v>
      </c>
      <c r="C700" s="1">
        <v>10116.0</v>
      </c>
      <c r="D700" s="1">
        <v>1.478909284E9</v>
      </c>
    </row>
    <row r="701">
      <c r="A701" s="1">
        <v>12722.0</v>
      </c>
      <c r="B701" s="1">
        <v>404.0</v>
      </c>
      <c r="C701" s="1">
        <v>10116.0</v>
      </c>
      <c r="D701" s="1">
        <v>1.478909285E9</v>
      </c>
    </row>
    <row r="702">
      <c r="A702" s="1">
        <v>12725.0</v>
      </c>
      <c r="B702" s="1">
        <v>403.0</v>
      </c>
      <c r="C702" s="1">
        <v>10135.0</v>
      </c>
      <c r="D702" s="1">
        <v>1.47890929E9</v>
      </c>
    </row>
    <row r="703">
      <c r="A703" s="1">
        <v>12730.0</v>
      </c>
      <c r="B703" s="1">
        <v>404.0</v>
      </c>
      <c r="C703" s="1">
        <v>10116.0</v>
      </c>
      <c r="D703" s="1">
        <v>1.478909298E9</v>
      </c>
    </row>
    <row r="704">
      <c r="A704" s="1">
        <v>12732.0</v>
      </c>
      <c r="B704" s="1">
        <v>404.0</v>
      </c>
      <c r="C704" s="1">
        <v>10136.0</v>
      </c>
      <c r="D704" s="1">
        <v>1.478909301E9</v>
      </c>
    </row>
    <row r="705">
      <c r="A705" s="1">
        <v>12733.0</v>
      </c>
      <c r="B705" s="1">
        <v>401.0</v>
      </c>
      <c r="C705" s="1">
        <v>10141.0</v>
      </c>
      <c r="D705" s="1">
        <v>1.478909302E9</v>
      </c>
    </row>
    <row r="706">
      <c r="A706" s="1">
        <v>12734.0</v>
      </c>
      <c r="B706" s="1">
        <v>403.0</v>
      </c>
      <c r="C706" s="1">
        <v>10136.0</v>
      </c>
      <c r="D706" s="1">
        <v>1.478909302E9</v>
      </c>
    </row>
    <row r="707">
      <c r="A707" s="1">
        <v>12735.0</v>
      </c>
      <c r="B707" s="1">
        <v>404.0</v>
      </c>
      <c r="C707" s="1">
        <v>10116.0</v>
      </c>
      <c r="D707" s="1">
        <v>1.478909302E9</v>
      </c>
    </row>
    <row r="708">
      <c r="A708" s="1">
        <v>12739.0</v>
      </c>
      <c r="B708" s="1">
        <v>403.0</v>
      </c>
      <c r="C708" s="1">
        <v>10141.0</v>
      </c>
      <c r="D708" s="1">
        <v>1.478909308E9</v>
      </c>
    </row>
    <row r="709">
      <c r="A709" s="1">
        <v>12740.0</v>
      </c>
      <c r="B709" s="1">
        <v>403.0</v>
      </c>
      <c r="C709" s="1">
        <v>10140.0</v>
      </c>
      <c r="D709" s="1">
        <v>1.478909309E9</v>
      </c>
    </row>
    <row r="710">
      <c r="A710" s="1">
        <v>12750.0</v>
      </c>
      <c r="B710" s="1">
        <v>403.0</v>
      </c>
      <c r="C710" s="1">
        <v>10137.0</v>
      </c>
      <c r="D710" s="1">
        <v>1.478909328E9</v>
      </c>
    </row>
    <row r="711">
      <c r="A711" s="1">
        <v>12770.0</v>
      </c>
      <c r="B711" s="1">
        <v>403.0</v>
      </c>
      <c r="C711" s="1">
        <v>10138.0</v>
      </c>
      <c r="D711" s="1">
        <v>1.478909353E9</v>
      </c>
    </row>
    <row r="712">
      <c r="A712" s="1">
        <v>12771.0</v>
      </c>
      <c r="B712" s="1">
        <v>404.0</v>
      </c>
      <c r="C712" s="1">
        <v>10137.0</v>
      </c>
      <c r="D712" s="1">
        <v>1.478909354E9</v>
      </c>
    </row>
    <row r="713">
      <c r="A713" s="1">
        <v>12773.0</v>
      </c>
      <c r="B713" s="1">
        <v>403.0</v>
      </c>
      <c r="C713" s="1">
        <v>10140.0</v>
      </c>
      <c r="D713" s="1">
        <v>1.478909356E9</v>
      </c>
    </row>
    <row r="714">
      <c r="A714" s="1">
        <v>12775.0</v>
      </c>
      <c r="B714" s="1">
        <v>403.0</v>
      </c>
      <c r="C714" s="1">
        <v>10140.0</v>
      </c>
      <c r="D714" s="1">
        <v>1.478909361E9</v>
      </c>
    </row>
    <row r="715">
      <c r="A715" s="1">
        <v>12786.0</v>
      </c>
      <c r="B715" s="1">
        <v>404.0</v>
      </c>
      <c r="C715" s="1">
        <v>10127.0</v>
      </c>
      <c r="D715" s="1">
        <v>1.47890937E9</v>
      </c>
    </row>
    <row r="716">
      <c r="A716" s="1">
        <v>12787.0</v>
      </c>
      <c r="B716" s="1">
        <v>404.0</v>
      </c>
      <c r="C716" s="1">
        <v>10141.0</v>
      </c>
      <c r="D716" s="1">
        <v>1.478909374E9</v>
      </c>
    </row>
    <row r="717">
      <c r="A717" s="1">
        <v>12810.0</v>
      </c>
      <c r="B717" s="1">
        <v>403.0</v>
      </c>
      <c r="C717" s="1">
        <v>10134.0</v>
      </c>
      <c r="D717" s="1">
        <v>1.478909426E9</v>
      </c>
    </row>
    <row r="718">
      <c r="A718" s="1">
        <v>12818.0</v>
      </c>
      <c r="B718" s="1">
        <v>403.0</v>
      </c>
      <c r="C718" s="1">
        <v>10148.0</v>
      </c>
      <c r="D718" s="1">
        <v>1.478909432E9</v>
      </c>
    </row>
    <row r="719">
      <c r="A719" s="1">
        <v>12819.0</v>
      </c>
      <c r="B719" s="1">
        <v>403.0</v>
      </c>
      <c r="C719" s="1">
        <v>10138.0</v>
      </c>
      <c r="D719" s="1">
        <v>1.478909434E9</v>
      </c>
    </row>
    <row r="720">
      <c r="A720" s="1">
        <v>12822.0</v>
      </c>
      <c r="B720" s="1">
        <v>403.0</v>
      </c>
      <c r="C720" s="1">
        <v>10134.0</v>
      </c>
      <c r="D720" s="1">
        <v>1.478909438E9</v>
      </c>
    </row>
    <row r="721">
      <c r="A721" s="1">
        <v>12831.0</v>
      </c>
      <c r="B721" s="1">
        <v>401.0</v>
      </c>
      <c r="C721" s="1">
        <v>10134.0</v>
      </c>
      <c r="D721" s="1">
        <v>1.478909441E9</v>
      </c>
    </row>
    <row r="722">
      <c r="A722" s="1">
        <v>12837.0</v>
      </c>
      <c r="B722" s="1">
        <v>403.0</v>
      </c>
      <c r="C722" s="1">
        <v>10134.0</v>
      </c>
      <c r="D722" s="1">
        <v>1.478909445E9</v>
      </c>
    </row>
    <row r="723">
      <c r="A723" s="1">
        <v>12841.0</v>
      </c>
      <c r="B723" s="1">
        <v>403.0</v>
      </c>
      <c r="C723" s="1">
        <v>10138.0</v>
      </c>
      <c r="D723" s="1">
        <v>1.478909448E9</v>
      </c>
    </row>
    <row r="724">
      <c r="A724" s="1">
        <v>12844.0</v>
      </c>
      <c r="B724" s="1">
        <v>404.0</v>
      </c>
      <c r="C724" s="1">
        <v>10140.0</v>
      </c>
      <c r="D724" s="1">
        <v>1.478909459E9</v>
      </c>
    </row>
    <row r="725">
      <c r="A725" s="1">
        <v>12849.0</v>
      </c>
      <c r="B725" s="1">
        <v>404.0</v>
      </c>
      <c r="C725" s="1">
        <v>10137.0</v>
      </c>
      <c r="D725" s="1">
        <v>1.478909478E9</v>
      </c>
    </row>
    <row r="726">
      <c r="A726" s="1">
        <v>12852.0</v>
      </c>
      <c r="B726" s="1">
        <v>403.0</v>
      </c>
      <c r="C726" s="1">
        <v>10148.0</v>
      </c>
      <c r="D726" s="1">
        <v>1.478909488E9</v>
      </c>
    </row>
    <row r="727">
      <c r="A727" s="1">
        <v>12860.0</v>
      </c>
      <c r="B727" s="1">
        <v>403.0</v>
      </c>
      <c r="C727" s="1">
        <v>10120.0</v>
      </c>
      <c r="D727" s="1">
        <v>1.478909498E9</v>
      </c>
    </row>
    <row r="728">
      <c r="A728" s="1">
        <v>12861.0</v>
      </c>
      <c r="B728" s="1">
        <v>403.0</v>
      </c>
      <c r="C728" s="1">
        <v>10128.0</v>
      </c>
      <c r="D728" s="1">
        <v>1.4789095E9</v>
      </c>
    </row>
    <row r="729">
      <c r="A729" s="1">
        <v>12874.0</v>
      </c>
      <c r="B729" s="1">
        <v>404.0</v>
      </c>
      <c r="C729" s="1">
        <v>2.0</v>
      </c>
      <c r="D729" s="1">
        <v>1.478909533E9</v>
      </c>
    </row>
    <row r="730">
      <c r="A730" s="1">
        <v>12882.0</v>
      </c>
      <c r="B730" s="1">
        <v>404.0</v>
      </c>
      <c r="C730" s="1">
        <v>10127.0</v>
      </c>
      <c r="D730" s="1">
        <v>1.478909545E9</v>
      </c>
    </row>
    <row r="731">
      <c r="A731" s="1">
        <v>12884.0</v>
      </c>
      <c r="B731" s="1">
        <v>404.0</v>
      </c>
      <c r="C731" s="1">
        <v>10145.0</v>
      </c>
      <c r="D731" s="1">
        <v>1.478909548E9</v>
      </c>
    </row>
    <row r="732">
      <c r="A732" s="1">
        <v>12885.0</v>
      </c>
      <c r="B732" s="1">
        <v>404.0</v>
      </c>
      <c r="C732" s="1">
        <v>2.0</v>
      </c>
      <c r="D732" s="1">
        <v>1.478909549E9</v>
      </c>
    </row>
    <row r="733">
      <c r="A733" s="1">
        <v>12905.0</v>
      </c>
      <c r="B733" s="1">
        <v>404.0</v>
      </c>
      <c r="C733" s="1">
        <v>2.0</v>
      </c>
      <c r="D733" s="1">
        <v>1.478909586E9</v>
      </c>
    </row>
    <row r="734">
      <c r="A734" s="1">
        <v>12906.0</v>
      </c>
      <c r="B734" s="1">
        <v>403.0</v>
      </c>
      <c r="C734" s="1">
        <v>10138.0</v>
      </c>
      <c r="D734" s="1">
        <v>1.478909591E9</v>
      </c>
    </row>
    <row r="735">
      <c r="A735" s="1">
        <v>12920.0</v>
      </c>
      <c r="B735" s="1">
        <v>401.0</v>
      </c>
      <c r="C735" s="1">
        <v>10116.0</v>
      </c>
      <c r="D735" s="1">
        <v>1.478909616E9</v>
      </c>
    </row>
    <row r="736">
      <c r="A736" s="1">
        <v>12960.0</v>
      </c>
      <c r="B736" s="1">
        <v>403.0</v>
      </c>
      <c r="C736" s="1">
        <v>10144.0</v>
      </c>
      <c r="D736" s="1">
        <v>1.47890965E9</v>
      </c>
    </row>
    <row r="737">
      <c r="A737" s="1">
        <v>12970.0</v>
      </c>
      <c r="B737" s="1">
        <v>405.0</v>
      </c>
      <c r="C737" s="1">
        <v>10134.0</v>
      </c>
      <c r="D737" s="1">
        <v>1.478909663E9</v>
      </c>
    </row>
    <row r="738">
      <c r="A738" s="1">
        <v>12971.0</v>
      </c>
      <c r="B738" s="1">
        <v>404.0</v>
      </c>
      <c r="C738" s="1">
        <v>10137.0</v>
      </c>
      <c r="D738" s="1">
        <v>1.478909667E9</v>
      </c>
    </row>
    <row r="739">
      <c r="A739" s="1">
        <v>12997.0</v>
      </c>
      <c r="B739" s="1">
        <v>403.0</v>
      </c>
      <c r="C739" s="1">
        <v>10141.0</v>
      </c>
      <c r="D739" s="1">
        <v>1.478909702E9</v>
      </c>
    </row>
    <row r="740">
      <c r="A740" s="1">
        <v>13007.0</v>
      </c>
      <c r="B740" s="1">
        <v>401.0</v>
      </c>
      <c r="C740" s="1">
        <v>10141.0</v>
      </c>
      <c r="D740" s="1">
        <v>1.478909711E9</v>
      </c>
    </row>
    <row r="741">
      <c r="A741" s="1">
        <v>13016.0</v>
      </c>
      <c r="B741" s="1">
        <v>404.0</v>
      </c>
      <c r="C741" s="1">
        <v>10122.0</v>
      </c>
      <c r="D741" s="1">
        <v>1.478909721E9</v>
      </c>
    </row>
    <row r="742">
      <c r="A742" s="1">
        <v>13017.0</v>
      </c>
      <c r="B742" s="1">
        <v>404.0</v>
      </c>
      <c r="C742" s="1">
        <v>10141.0</v>
      </c>
      <c r="D742" s="1">
        <v>1.478909726E9</v>
      </c>
    </row>
    <row r="743">
      <c r="A743" s="1">
        <v>13018.0</v>
      </c>
      <c r="B743" s="1">
        <v>405.0</v>
      </c>
      <c r="C743" s="1">
        <v>10128.0</v>
      </c>
      <c r="D743" s="1">
        <v>1.478909728E9</v>
      </c>
    </row>
    <row r="744">
      <c r="A744" s="1">
        <v>13019.0</v>
      </c>
      <c r="B744" s="1">
        <v>404.0</v>
      </c>
      <c r="C744" s="1">
        <v>10134.0</v>
      </c>
      <c r="D744" s="1">
        <v>1.478909741E9</v>
      </c>
    </row>
    <row r="745">
      <c r="A745" s="1">
        <v>13032.0</v>
      </c>
      <c r="B745" s="1">
        <v>403.0</v>
      </c>
      <c r="C745" s="1">
        <v>10128.0</v>
      </c>
      <c r="D745" s="1">
        <v>1.478909761E9</v>
      </c>
    </row>
    <row r="746">
      <c r="A746" s="1">
        <v>13035.0</v>
      </c>
      <c r="B746" s="1">
        <v>404.0</v>
      </c>
      <c r="C746" s="1">
        <v>10128.0</v>
      </c>
      <c r="D746" s="1">
        <v>1.478909772E9</v>
      </c>
    </row>
    <row r="747">
      <c r="A747" s="1">
        <v>13038.0</v>
      </c>
      <c r="B747" s="1">
        <v>403.0</v>
      </c>
      <c r="C747" s="1">
        <v>10134.0</v>
      </c>
      <c r="D747" s="1">
        <v>1.478909778E9</v>
      </c>
    </row>
    <row r="748">
      <c r="A748" s="1">
        <v>13040.0</v>
      </c>
      <c r="B748" s="1">
        <v>403.0</v>
      </c>
      <c r="C748" s="1">
        <v>10153.0</v>
      </c>
      <c r="D748" s="1">
        <v>1.478909781E9</v>
      </c>
    </row>
    <row r="749">
      <c r="A749" s="1">
        <v>13044.0</v>
      </c>
      <c r="B749" s="1">
        <v>405.0</v>
      </c>
      <c r="C749" s="1">
        <v>10128.0</v>
      </c>
      <c r="D749" s="1">
        <v>1.478909787E9</v>
      </c>
    </row>
    <row r="750">
      <c r="A750" s="1">
        <v>13045.0</v>
      </c>
      <c r="B750" s="1">
        <v>403.0</v>
      </c>
      <c r="C750" s="1">
        <v>10134.0</v>
      </c>
      <c r="D750" s="1">
        <v>1.478909788E9</v>
      </c>
    </row>
    <row r="751">
      <c r="A751" s="1">
        <v>13048.0</v>
      </c>
      <c r="B751" s="1">
        <v>401.0</v>
      </c>
      <c r="C751" s="1">
        <v>10141.0</v>
      </c>
      <c r="D751" s="1">
        <v>1.478909805E9</v>
      </c>
    </row>
    <row r="752">
      <c r="A752" s="1">
        <v>13054.0</v>
      </c>
      <c r="B752" s="1">
        <v>404.0</v>
      </c>
      <c r="C752" s="1">
        <v>10143.0</v>
      </c>
      <c r="D752" s="1">
        <v>1.478909824E9</v>
      </c>
    </row>
    <row r="753">
      <c r="A753" s="1">
        <v>13056.0</v>
      </c>
      <c r="B753" s="1">
        <v>403.0</v>
      </c>
      <c r="C753" s="1">
        <v>10141.0</v>
      </c>
      <c r="D753" s="1">
        <v>1.47890983E9</v>
      </c>
    </row>
    <row r="754">
      <c r="A754" s="1">
        <v>13060.0</v>
      </c>
      <c r="B754" s="1">
        <v>404.0</v>
      </c>
      <c r="C754" s="1">
        <v>10126.0</v>
      </c>
      <c r="D754" s="1">
        <v>1.478909838E9</v>
      </c>
    </row>
    <row r="755">
      <c r="A755" s="1">
        <v>13062.0</v>
      </c>
      <c r="B755" s="1">
        <v>405.0</v>
      </c>
      <c r="C755" s="1">
        <v>10126.0</v>
      </c>
      <c r="D755" s="1">
        <v>1.478909842E9</v>
      </c>
    </row>
    <row r="756">
      <c r="A756" s="1">
        <v>13063.0</v>
      </c>
      <c r="B756" s="1">
        <v>404.0</v>
      </c>
      <c r="C756" s="1">
        <v>10126.0</v>
      </c>
      <c r="D756" s="1">
        <v>1.478909844E9</v>
      </c>
    </row>
    <row r="757">
      <c r="A757" s="1">
        <v>13068.0</v>
      </c>
      <c r="B757" s="1">
        <v>403.0</v>
      </c>
      <c r="C757" s="1">
        <v>10148.0</v>
      </c>
      <c r="D757" s="1">
        <v>1.478909854E9</v>
      </c>
    </row>
    <row r="758">
      <c r="A758" s="1">
        <v>13076.0</v>
      </c>
      <c r="B758" s="1">
        <v>401.0</v>
      </c>
      <c r="C758" s="1">
        <v>10148.0</v>
      </c>
      <c r="D758" s="1">
        <v>1.47890986E9</v>
      </c>
    </row>
    <row r="759">
      <c r="A759" s="1">
        <v>13077.0</v>
      </c>
      <c r="B759" s="1">
        <v>401.0</v>
      </c>
      <c r="C759" s="1">
        <v>10148.0</v>
      </c>
      <c r="D759" s="1">
        <v>1.478909862E9</v>
      </c>
    </row>
    <row r="760">
      <c r="A760" s="1">
        <v>13078.0</v>
      </c>
      <c r="B760" s="1">
        <v>403.0</v>
      </c>
      <c r="C760" s="1">
        <v>2.0</v>
      </c>
      <c r="D760" s="1">
        <v>1.478909866E9</v>
      </c>
    </row>
    <row r="761">
      <c r="A761" s="1">
        <v>13083.0</v>
      </c>
      <c r="B761" s="1">
        <v>403.0</v>
      </c>
      <c r="C761" s="1">
        <v>2.0</v>
      </c>
      <c r="D761" s="1">
        <v>1.47890987E9</v>
      </c>
    </row>
    <row r="762">
      <c r="A762" s="1">
        <v>13084.0</v>
      </c>
      <c r="B762" s="1">
        <v>404.0</v>
      </c>
      <c r="C762" s="1">
        <v>10138.0</v>
      </c>
      <c r="D762" s="1">
        <v>1.478909872E9</v>
      </c>
    </row>
    <row r="763">
      <c r="A763" s="1">
        <v>13087.0</v>
      </c>
      <c r="B763" s="1">
        <v>403.0</v>
      </c>
      <c r="C763" s="1">
        <v>2.0</v>
      </c>
      <c r="D763" s="1">
        <v>1.478909879E9</v>
      </c>
    </row>
    <row r="764">
      <c r="A764" s="1">
        <v>13090.0</v>
      </c>
      <c r="B764" s="1">
        <v>403.0</v>
      </c>
      <c r="C764" s="1">
        <v>2.0</v>
      </c>
      <c r="D764" s="1">
        <v>1.478909887E9</v>
      </c>
    </row>
    <row r="765">
      <c r="A765" s="1">
        <v>13099.0</v>
      </c>
      <c r="B765" s="1">
        <v>404.0</v>
      </c>
      <c r="C765" s="1">
        <v>10121.0</v>
      </c>
      <c r="D765" s="1">
        <v>1.478909904E9</v>
      </c>
    </row>
    <row r="766">
      <c r="A766" s="1">
        <v>13101.0</v>
      </c>
      <c r="B766" s="1">
        <v>403.0</v>
      </c>
      <c r="C766" s="1">
        <v>2.0</v>
      </c>
      <c r="D766" s="1">
        <v>1.478909913E9</v>
      </c>
    </row>
    <row r="767">
      <c r="A767" s="1">
        <v>13102.0</v>
      </c>
      <c r="B767" s="1">
        <v>403.0</v>
      </c>
      <c r="C767" s="1">
        <v>2.0</v>
      </c>
      <c r="D767" s="1">
        <v>1.478909916E9</v>
      </c>
    </row>
    <row r="768">
      <c r="A768" s="1">
        <v>13105.0</v>
      </c>
      <c r="B768" s="1">
        <v>404.0</v>
      </c>
      <c r="C768" s="1">
        <v>10126.0</v>
      </c>
      <c r="D768" s="1">
        <v>1.478909924E9</v>
      </c>
    </row>
    <row r="769">
      <c r="A769" s="1">
        <v>13110.0</v>
      </c>
      <c r="B769" s="1">
        <v>404.0</v>
      </c>
      <c r="C769" s="1">
        <v>10127.0</v>
      </c>
      <c r="D769" s="1">
        <v>1.478909928E9</v>
      </c>
    </row>
    <row r="770">
      <c r="A770" s="1">
        <v>13111.0</v>
      </c>
      <c r="B770" s="1">
        <v>403.0</v>
      </c>
      <c r="C770" s="1">
        <v>2.0</v>
      </c>
      <c r="D770" s="1">
        <v>1.478909929E9</v>
      </c>
    </row>
    <row r="771">
      <c r="A771" s="1">
        <v>13121.0</v>
      </c>
      <c r="B771" s="1">
        <v>401.0</v>
      </c>
      <c r="C771" s="1">
        <v>10148.0</v>
      </c>
      <c r="D771" s="1">
        <v>1.478909953E9</v>
      </c>
    </row>
    <row r="772">
      <c r="A772" s="1">
        <v>13126.0</v>
      </c>
      <c r="B772" s="1">
        <v>404.0</v>
      </c>
      <c r="C772" s="1">
        <v>10121.0</v>
      </c>
      <c r="D772" s="1">
        <v>1.478909955E9</v>
      </c>
    </row>
    <row r="773">
      <c r="A773" s="1">
        <v>13134.0</v>
      </c>
      <c r="B773" s="1">
        <v>401.0</v>
      </c>
      <c r="C773" s="1">
        <v>10148.0</v>
      </c>
      <c r="D773" s="1">
        <v>1.478909967E9</v>
      </c>
    </row>
    <row r="774">
      <c r="A774" s="1">
        <v>13136.0</v>
      </c>
      <c r="B774" s="1">
        <v>401.0</v>
      </c>
      <c r="C774" s="1">
        <v>10148.0</v>
      </c>
      <c r="D774" s="1">
        <v>1.478909974E9</v>
      </c>
    </row>
    <row r="775">
      <c r="A775" s="1">
        <v>13141.0</v>
      </c>
      <c r="B775" s="1">
        <v>404.0</v>
      </c>
      <c r="C775" s="1">
        <v>10138.0</v>
      </c>
      <c r="D775" s="1">
        <v>1.478909984E9</v>
      </c>
    </row>
    <row r="776">
      <c r="A776" s="1">
        <v>13144.0</v>
      </c>
      <c r="B776" s="1">
        <v>403.0</v>
      </c>
      <c r="C776" s="1">
        <v>10151.0</v>
      </c>
      <c r="D776" s="1">
        <v>1.47890999E9</v>
      </c>
    </row>
    <row r="777">
      <c r="A777" s="1">
        <v>13145.0</v>
      </c>
      <c r="B777" s="1">
        <v>404.0</v>
      </c>
      <c r="C777" s="1">
        <v>10121.0</v>
      </c>
      <c r="D777" s="1">
        <v>1.47890999E9</v>
      </c>
    </row>
    <row r="778">
      <c r="A778" s="1">
        <v>13146.0</v>
      </c>
      <c r="B778" s="1">
        <v>403.0</v>
      </c>
      <c r="C778" s="1">
        <v>10148.0</v>
      </c>
      <c r="D778" s="1">
        <v>1.478909992E9</v>
      </c>
    </row>
    <row r="779">
      <c r="A779" s="1">
        <v>13148.0</v>
      </c>
      <c r="B779" s="1">
        <v>403.0</v>
      </c>
      <c r="C779" s="1">
        <v>10148.0</v>
      </c>
      <c r="D779" s="1">
        <v>1.478909994E9</v>
      </c>
    </row>
    <row r="780">
      <c r="A780" s="1">
        <v>13154.0</v>
      </c>
      <c r="B780" s="1">
        <v>405.0</v>
      </c>
      <c r="C780" s="1">
        <v>10116.0</v>
      </c>
      <c r="D780" s="1">
        <v>1.478909998E9</v>
      </c>
    </row>
    <row r="781">
      <c r="A781" s="1">
        <v>13157.0</v>
      </c>
      <c r="B781" s="1">
        <v>401.0</v>
      </c>
      <c r="C781" s="1">
        <v>10141.0</v>
      </c>
      <c r="D781" s="1">
        <v>1.478910009E9</v>
      </c>
    </row>
    <row r="782">
      <c r="A782" s="1">
        <v>13162.0</v>
      </c>
      <c r="B782" s="1">
        <v>404.0</v>
      </c>
      <c r="C782" s="1">
        <v>10123.0</v>
      </c>
      <c r="D782" s="1">
        <v>1.478910022E9</v>
      </c>
    </row>
    <row r="783">
      <c r="A783" s="1">
        <v>13163.0</v>
      </c>
      <c r="B783" s="1">
        <v>404.0</v>
      </c>
      <c r="C783" s="1">
        <v>10123.0</v>
      </c>
      <c r="D783" s="1">
        <v>1.478910022E9</v>
      </c>
    </row>
    <row r="784">
      <c r="A784" s="1">
        <v>13166.0</v>
      </c>
      <c r="B784" s="1">
        <v>401.0</v>
      </c>
      <c r="C784" s="1">
        <v>10133.0</v>
      </c>
      <c r="D784" s="1">
        <v>1.478910026E9</v>
      </c>
    </row>
    <row r="785">
      <c r="A785" s="1">
        <v>13168.0</v>
      </c>
      <c r="B785" s="1">
        <v>404.0</v>
      </c>
      <c r="C785" s="1">
        <v>10123.0</v>
      </c>
      <c r="D785" s="1">
        <v>1.478910028E9</v>
      </c>
    </row>
    <row r="786">
      <c r="A786" s="1">
        <v>13170.0</v>
      </c>
      <c r="B786" s="1">
        <v>404.0</v>
      </c>
      <c r="C786" s="1">
        <v>10123.0</v>
      </c>
      <c r="D786" s="1">
        <v>1.478910032E9</v>
      </c>
    </row>
    <row r="787">
      <c r="A787" s="1">
        <v>13171.0</v>
      </c>
      <c r="B787" s="1">
        <v>404.0</v>
      </c>
      <c r="C787" s="1">
        <v>10123.0</v>
      </c>
      <c r="D787" s="1">
        <v>1.478910033E9</v>
      </c>
    </row>
    <row r="788">
      <c r="A788" s="1">
        <v>13183.0</v>
      </c>
      <c r="B788" s="1">
        <v>404.0</v>
      </c>
      <c r="C788" s="1">
        <v>10127.0</v>
      </c>
      <c r="D788" s="1">
        <v>1.478910046E9</v>
      </c>
    </row>
    <row r="789">
      <c r="A789" s="1">
        <v>13184.0</v>
      </c>
      <c r="B789" s="1">
        <v>403.0</v>
      </c>
      <c r="C789" s="1">
        <v>10141.0</v>
      </c>
      <c r="D789" s="1">
        <v>1.478910048E9</v>
      </c>
    </row>
    <row r="790">
      <c r="A790" s="1">
        <v>13186.0</v>
      </c>
      <c r="B790" s="1">
        <v>404.0</v>
      </c>
      <c r="C790" s="1">
        <v>10141.0</v>
      </c>
      <c r="D790" s="1">
        <v>1.478910055E9</v>
      </c>
    </row>
    <row r="791">
      <c r="A791" s="1">
        <v>13191.0</v>
      </c>
      <c r="B791" s="1">
        <v>401.0</v>
      </c>
      <c r="C791" s="1">
        <v>10133.0</v>
      </c>
      <c r="D791" s="1">
        <v>1.478910092E9</v>
      </c>
    </row>
    <row r="792">
      <c r="A792" s="1">
        <v>13200.0</v>
      </c>
      <c r="B792" s="1">
        <v>401.0</v>
      </c>
      <c r="C792" s="1">
        <v>10133.0</v>
      </c>
      <c r="D792" s="1">
        <v>1.4789101E9</v>
      </c>
    </row>
    <row r="793">
      <c r="A793" s="1">
        <v>13208.0</v>
      </c>
      <c r="B793" s="1">
        <v>403.0</v>
      </c>
      <c r="C793" s="1">
        <v>10144.0</v>
      </c>
      <c r="D793" s="1">
        <v>1.478910109E9</v>
      </c>
    </row>
    <row r="794">
      <c r="A794" s="1">
        <v>13209.0</v>
      </c>
      <c r="B794" s="1">
        <v>403.0</v>
      </c>
      <c r="C794" s="1">
        <v>10153.0</v>
      </c>
      <c r="D794" s="1">
        <v>1.478910109E9</v>
      </c>
    </row>
    <row r="795">
      <c r="A795" s="1">
        <v>13218.0</v>
      </c>
      <c r="B795" s="1">
        <v>401.0</v>
      </c>
      <c r="C795" s="1">
        <v>10148.0</v>
      </c>
      <c r="D795" s="1">
        <v>1.478910129E9</v>
      </c>
    </row>
    <row r="796">
      <c r="A796" s="1">
        <v>13224.0</v>
      </c>
      <c r="B796" s="1">
        <v>404.0</v>
      </c>
      <c r="C796" s="1">
        <v>10133.0</v>
      </c>
      <c r="D796" s="1">
        <v>1.478910137E9</v>
      </c>
    </row>
    <row r="797">
      <c r="A797" s="1">
        <v>13231.0</v>
      </c>
      <c r="B797" s="1">
        <v>403.0</v>
      </c>
      <c r="C797" s="1">
        <v>10148.0</v>
      </c>
      <c r="D797" s="1">
        <v>1.478910144E9</v>
      </c>
    </row>
    <row r="798">
      <c r="A798" s="1">
        <v>13236.0</v>
      </c>
      <c r="B798" s="1">
        <v>405.0</v>
      </c>
      <c r="C798" s="1">
        <v>10123.0</v>
      </c>
      <c r="D798" s="1">
        <v>1.478910151E9</v>
      </c>
    </row>
    <row r="799">
      <c r="A799" s="1">
        <v>13237.0</v>
      </c>
      <c r="B799" s="1">
        <v>404.0</v>
      </c>
      <c r="C799" s="1">
        <v>10148.0</v>
      </c>
      <c r="D799" s="1">
        <v>1.478910155E9</v>
      </c>
    </row>
    <row r="800">
      <c r="A800" s="1">
        <v>13242.0</v>
      </c>
      <c r="B800" s="1">
        <v>404.0</v>
      </c>
      <c r="C800" s="1">
        <v>10144.0</v>
      </c>
      <c r="D800" s="1">
        <v>1.47891016E9</v>
      </c>
    </row>
    <row r="801">
      <c r="A801" s="1">
        <v>13243.0</v>
      </c>
      <c r="B801" s="1">
        <v>403.0</v>
      </c>
      <c r="C801" s="1">
        <v>10149.0</v>
      </c>
      <c r="D801" s="1">
        <v>1.478910165E9</v>
      </c>
    </row>
    <row r="802">
      <c r="A802" s="1">
        <v>13246.0</v>
      </c>
      <c r="B802" s="1">
        <v>404.0</v>
      </c>
      <c r="C802" s="1">
        <v>10149.0</v>
      </c>
      <c r="D802" s="1">
        <v>1.478910169E9</v>
      </c>
    </row>
    <row r="803">
      <c r="A803" s="1">
        <v>13249.0</v>
      </c>
      <c r="B803" s="1">
        <v>403.0</v>
      </c>
      <c r="C803" s="1">
        <v>10149.0</v>
      </c>
      <c r="D803" s="1">
        <v>1.478910182E9</v>
      </c>
    </row>
    <row r="804">
      <c r="A804" s="1">
        <v>13252.0</v>
      </c>
      <c r="B804" s="1">
        <v>401.0</v>
      </c>
      <c r="C804" s="1">
        <v>10133.0</v>
      </c>
      <c r="D804" s="1">
        <v>1.478910191E9</v>
      </c>
    </row>
    <row r="805">
      <c r="A805" s="1">
        <v>13255.0</v>
      </c>
      <c r="B805" s="1">
        <v>401.0</v>
      </c>
      <c r="C805" s="1">
        <v>10133.0</v>
      </c>
      <c r="D805" s="1">
        <v>1.478910198E9</v>
      </c>
    </row>
    <row r="806">
      <c r="A806" s="1">
        <v>13256.0</v>
      </c>
      <c r="B806" s="1">
        <v>404.0</v>
      </c>
      <c r="C806" s="1">
        <v>10138.0</v>
      </c>
      <c r="D806" s="1">
        <v>1.478910198E9</v>
      </c>
    </row>
    <row r="807">
      <c r="A807" s="1">
        <v>13257.0</v>
      </c>
      <c r="B807" s="1">
        <v>403.0</v>
      </c>
      <c r="C807" s="1">
        <v>2.0</v>
      </c>
      <c r="D807" s="1">
        <v>1.478910203E9</v>
      </c>
    </row>
    <row r="808">
      <c r="A808" s="1">
        <v>13258.0</v>
      </c>
      <c r="B808" s="1">
        <v>403.0</v>
      </c>
      <c r="C808" s="1">
        <v>2.0</v>
      </c>
      <c r="D808" s="1">
        <v>1.478910205E9</v>
      </c>
    </row>
    <row r="809">
      <c r="A809" s="1">
        <v>13259.0</v>
      </c>
      <c r="B809" s="1">
        <v>404.0</v>
      </c>
      <c r="C809" s="1">
        <v>10151.0</v>
      </c>
      <c r="D809" s="1">
        <v>1.478910209E9</v>
      </c>
    </row>
    <row r="810">
      <c r="A810" s="1">
        <v>13272.0</v>
      </c>
      <c r="B810" s="1">
        <v>404.0</v>
      </c>
      <c r="C810" s="1">
        <v>10151.0</v>
      </c>
      <c r="D810" s="1">
        <v>1.478910235E9</v>
      </c>
    </row>
    <row r="811">
      <c r="A811" s="1">
        <v>13273.0</v>
      </c>
      <c r="B811" s="1">
        <v>405.0</v>
      </c>
      <c r="C811" s="1">
        <v>10128.0</v>
      </c>
      <c r="D811" s="1">
        <v>1.478910242E9</v>
      </c>
    </row>
    <row r="812">
      <c r="A812" s="1">
        <v>13285.0</v>
      </c>
      <c r="B812" s="1">
        <v>404.0</v>
      </c>
      <c r="C812" s="1">
        <v>10134.0</v>
      </c>
      <c r="D812" s="1">
        <v>1.478910284E9</v>
      </c>
    </row>
    <row r="813">
      <c r="A813" s="1">
        <v>13304.0</v>
      </c>
      <c r="B813" s="1">
        <v>403.0</v>
      </c>
      <c r="C813" s="1">
        <v>10144.0</v>
      </c>
      <c r="D813" s="1">
        <v>1.478910355E9</v>
      </c>
    </row>
    <row r="814">
      <c r="A814" s="1">
        <v>13314.0</v>
      </c>
      <c r="B814" s="1">
        <v>404.0</v>
      </c>
      <c r="C814" s="1">
        <v>10141.0</v>
      </c>
      <c r="D814" s="1">
        <v>1.478910382E9</v>
      </c>
    </row>
    <row r="815">
      <c r="A815" s="1">
        <v>13325.0</v>
      </c>
      <c r="B815" s="1">
        <v>404.0</v>
      </c>
      <c r="C815" s="1">
        <v>10122.0</v>
      </c>
      <c r="D815" s="1">
        <v>1.478910417E9</v>
      </c>
    </row>
    <row r="816">
      <c r="A816" s="1">
        <v>13328.0</v>
      </c>
      <c r="B816" s="1">
        <v>404.0</v>
      </c>
      <c r="C816" s="1">
        <v>10150.0</v>
      </c>
      <c r="D816" s="1">
        <v>1.478910419E9</v>
      </c>
    </row>
    <row r="817">
      <c r="A817" s="1">
        <v>13335.0</v>
      </c>
      <c r="B817" s="1">
        <v>405.0</v>
      </c>
      <c r="C817" s="1">
        <v>10150.0</v>
      </c>
      <c r="D817" s="1">
        <v>1.47891043E9</v>
      </c>
    </row>
    <row r="818">
      <c r="A818" s="1">
        <v>13344.0</v>
      </c>
      <c r="B818" s="1">
        <v>404.0</v>
      </c>
      <c r="C818" s="1">
        <v>10120.0</v>
      </c>
      <c r="D818" s="1">
        <v>1.478910443E9</v>
      </c>
    </row>
    <row r="819">
      <c r="A819" s="1">
        <v>13353.0</v>
      </c>
      <c r="B819" s="1">
        <v>403.0</v>
      </c>
      <c r="C819" s="1">
        <v>10120.0</v>
      </c>
      <c r="D819" s="1">
        <v>1.478910462E9</v>
      </c>
    </row>
    <row r="820">
      <c r="A820" s="1">
        <v>13378.0</v>
      </c>
      <c r="B820" s="1">
        <v>404.0</v>
      </c>
      <c r="C820" s="1">
        <v>10140.0</v>
      </c>
      <c r="D820" s="1">
        <v>1.478910529E9</v>
      </c>
    </row>
    <row r="821">
      <c r="A821" s="1">
        <v>13389.0</v>
      </c>
      <c r="B821" s="1">
        <v>404.0</v>
      </c>
      <c r="C821" s="1">
        <v>10133.0</v>
      </c>
      <c r="D821" s="1">
        <v>1.47891058E9</v>
      </c>
    </row>
    <row r="822">
      <c r="A822" s="1">
        <v>13392.0</v>
      </c>
      <c r="B822" s="1">
        <v>404.0</v>
      </c>
      <c r="C822" s="1">
        <v>10126.0</v>
      </c>
      <c r="D822" s="1">
        <v>1.478910588E9</v>
      </c>
    </row>
    <row r="823">
      <c r="A823" s="1">
        <v>13409.0</v>
      </c>
      <c r="B823" s="1">
        <v>405.0</v>
      </c>
      <c r="C823" s="1">
        <v>10136.0</v>
      </c>
      <c r="D823" s="1">
        <v>1.478910662E9</v>
      </c>
    </row>
    <row r="824">
      <c r="A824" s="1">
        <v>13422.0</v>
      </c>
      <c r="B824" s="1">
        <v>404.0</v>
      </c>
      <c r="C824" s="1">
        <v>10153.0</v>
      </c>
      <c r="D824" s="1">
        <v>1.478910705E9</v>
      </c>
    </row>
    <row r="825">
      <c r="A825" s="1">
        <v>13431.0</v>
      </c>
      <c r="B825" s="1">
        <v>403.0</v>
      </c>
      <c r="C825" s="1">
        <v>10149.0</v>
      </c>
      <c r="D825" s="1">
        <v>1.478910767E9</v>
      </c>
    </row>
    <row r="826">
      <c r="A826" s="1">
        <v>13437.0</v>
      </c>
      <c r="B826" s="1">
        <v>404.0</v>
      </c>
      <c r="C826" s="1">
        <v>10126.0</v>
      </c>
      <c r="D826" s="1">
        <v>1.47891079E9</v>
      </c>
    </row>
    <row r="827">
      <c r="A827" s="1">
        <v>13444.0</v>
      </c>
      <c r="B827" s="1">
        <v>404.0</v>
      </c>
      <c r="C827" s="1">
        <v>10152.0</v>
      </c>
      <c r="D827" s="1">
        <v>1.478910802E9</v>
      </c>
    </row>
    <row r="828">
      <c r="A828" s="1">
        <v>13446.0</v>
      </c>
      <c r="B828" s="1">
        <v>404.0</v>
      </c>
      <c r="C828" s="1">
        <v>10153.0</v>
      </c>
      <c r="D828" s="1">
        <v>1.478910805E9</v>
      </c>
    </row>
    <row r="829">
      <c r="A829" s="1">
        <v>13447.0</v>
      </c>
      <c r="B829" s="1">
        <v>405.0</v>
      </c>
      <c r="C829" s="1">
        <v>10152.0</v>
      </c>
      <c r="D829" s="1">
        <v>1.47891081E9</v>
      </c>
    </row>
    <row r="830">
      <c r="A830" s="1">
        <v>13450.0</v>
      </c>
      <c r="B830" s="1">
        <v>405.0</v>
      </c>
      <c r="C830" s="1">
        <v>10138.0</v>
      </c>
      <c r="D830" s="1">
        <v>1.478910817E9</v>
      </c>
    </row>
    <row r="831">
      <c r="A831" s="1">
        <v>13451.0</v>
      </c>
      <c r="B831" s="1">
        <v>401.0</v>
      </c>
      <c r="C831" s="1">
        <v>10133.0</v>
      </c>
      <c r="D831" s="1">
        <v>1.478910828E9</v>
      </c>
    </row>
    <row r="832">
      <c r="A832" s="1">
        <v>13452.0</v>
      </c>
      <c r="B832" s="1">
        <v>404.0</v>
      </c>
      <c r="C832" s="1">
        <v>10149.0</v>
      </c>
      <c r="D832" s="1">
        <v>1.478910828E9</v>
      </c>
    </row>
    <row r="833">
      <c r="A833" s="1">
        <v>13468.0</v>
      </c>
      <c r="B833" s="1">
        <v>404.0</v>
      </c>
      <c r="C833" s="1">
        <v>10133.0</v>
      </c>
      <c r="D833" s="1">
        <v>1.478910891E9</v>
      </c>
    </row>
    <row r="834">
      <c r="A834" s="1">
        <v>13471.0</v>
      </c>
      <c r="B834" s="1">
        <v>401.0</v>
      </c>
      <c r="C834" s="1">
        <v>10133.0</v>
      </c>
      <c r="D834" s="1">
        <v>1.478910913E9</v>
      </c>
    </row>
    <row r="835">
      <c r="A835" s="1">
        <v>13477.0</v>
      </c>
      <c r="B835" s="1">
        <v>401.0</v>
      </c>
      <c r="C835" s="1">
        <v>10133.0</v>
      </c>
      <c r="D835" s="1">
        <v>1.47891092E9</v>
      </c>
    </row>
    <row r="836">
      <c r="A836" s="1">
        <v>13480.0</v>
      </c>
      <c r="B836" s="1">
        <v>403.0</v>
      </c>
      <c r="C836" s="1">
        <v>10133.0</v>
      </c>
      <c r="D836" s="1">
        <v>1.478910924E9</v>
      </c>
    </row>
    <row r="837">
      <c r="A837" s="1">
        <v>13481.0</v>
      </c>
      <c r="B837" s="1">
        <v>403.0</v>
      </c>
      <c r="C837" s="1">
        <v>10133.0</v>
      </c>
      <c r="D837" s="1">
        <v>1.478910926E9</v>
      </c>
    </row>
    <row r="838">
      <c r="A838" s="1">
        <v>13500.0</v>
      </c>
      <c r="B838" s="1">
        <v>404.0</v>
      </c>
      <c r="C838" s="1">
        <v>10140.0</v>
      </c>
      <c r="D838" s="1">
        <v>1.478910973E9</v>
      </c>
    </row>
    <row r="839">
      <c r="A839" s="1">
        <v>13501.0</v>
      </c>
      <c r="B839" s="1">
        <v>404.0</v>
      </c>
      <c r="C839" s="1">
        <v>10145.0</v>
      </c>
      <c r="D839" s="1">
        <v>1.478910973E9</v>
      </c>
    </row>
    <row r="840">
      <c r="A840" s="1">
        <v>13512.0</v>
      </c>
      <c r="B840" s="1">
        <v>404.0</v>
      </c>
      <c r="C840" s="1">
        <v>10152.0</v>
      </c>
      <c r="D840" s="1">
        <v>1.478911026E9</v>
      </c>
    </row>
    <row r="841">
      <c r="A841" s="1">
        <v>13514.0</v>
      </c>
      <c r="B841" s="1">
        <v>404.0</v>
      </c>
      <c r="C841" s="1">
        <v>10152.0</v>
      </c>
      <c r="D841" s="1">
        <v>1.478911029E9</v>
      </c>
    </row>
    <row r="842">
      <c r="A842" s="1">
        <v>13531.0</v>
      </c>
      <c r="B842" s="1">
        <v>403.0</v>
      </c>
      <c r="C842" s="1">
        <v>2.0</v>
      </c>
      <c r="D842" s="1">
        <v>1.478911092E9</v>
      </c>
    </row>
    <row r="843">
      <c r="A843" s="1">
        <v>13535.0</v>
      </c>
      <c r="B843" s="1">
        <v>403.0</v>
      </c>
      <c r="C843" s="1">
        <v>10119.0</v>
      </c>
      <c r="D843" s="1">
        <v>1.478911118E9</v>
      </c>
    </row>
    <row r="844">
      <c r="A844" s="1">
        <v>13546.0</v>
      </c>
      <c r="B844" s="1">
        <v>401.0</v>
      </c>
      <c r="C844" s="1">
        <v>10141.0</v>
      </c>
      <c r="D844" s="1">
        <v>1.478911155E9</v>
      </c>
    </row>
    <row r="845">
      <c r="A845" s="1">
        <v>13549.0</v>
      </c>
      <c r="B845" s="1">
        <v>403.0</v>
      </c>
      <c r="C845" s="1">
        <v>10141.0</v>
      </c>
      <c r="D845" s="1">
        <v>1.478911165E9</v>
      </c>
    </row>
    <row r="846">
      <c r="A846" s="1">
        <v>13551.0</v>
      </c>
      <c r="B846" s="1">
        <v>404.0</v>
      </c>
      <c r="C846" s="1">
        <v>10141.0</v>
      </c>
      <c r="D846" s="1">
        <v>1.478911174E9</v>
      </c>
    </row>
    <row r="847">
      <c r="A847" s="1">
        <v>13554.0</v>
      </c>
      <c r="B847" s="1">
        <v>404.0</v>
      </c>
      <c r="C847" s="1">
        <v>10125.0</v>
      </c>
      <c r="D847" s="1">
        <v>1.478911181E9</v>
      </c>
    </row>
    <row r="848">
      <c r="A848" s="1">
        <v>13568.0</v>
      </c>
      <c r="B848" s="1">
        <v>404.0</v>
      </c>
      <c r="C848" s="1">
        <v>10141.0</v>
      </c>
      <c r="D848" s="1">
        <v>1.478911219E9</v>
      </c>
    </row>
    <row r="849">
      <c r="A849" s="1">
        <v>13570.0</v>
      </c>
      <c r="B849" s="1">
        <v>403.0</v>
      </c>
      <c r="C849" s="1">
        <v>10141.0</v>
      </c>
      <c r="D849" s="1">
        <v>1.478911229E9</v>
      </c>
    </row>
    <row r="850">
      <c r="A850" s="1">
        <v>13572.0</v>
      </c>
      <c r="B850" s="1">
        <v>403.0</v>
      </c>
      <c r="C850" s="1">
        <v>10141.0</v>
      </c>
      <c r="D850" s="1">
        <v>1.478911231E9</v>
      </c>
    </row>
    <row r="851">
      <c r="A851" s="1">
        <v>13575.0</v>
      </c>
      <c r="B851" s="1">
        <v>401.0</v>
      </c>
      <c r="C851" s="1">
        <v>10141.0</v>
      </c>
      <c r="D851" s="1">
        <v>1.478911236E9</v>
      </c>
    </row>
    <row r="852">
      <c r="A852" s="1">
        <v>13576.0</v>
      </c>
      <c r="B852" s="1">
        <v>401.0</v>
      </c>
      <c r="C852" s="1">
        <v>10141.0</v>
      </c>
      <c r="D852" s="1">
        <v>1.478911237E9</v>
      </c>
    </row>
    <row r="853">
      <c r="A853" s="1">
        <v>13577.0</v>
      </c>
      <c r="B853" s="1">
        <v>404.0</v>
      </c>
      <c r="C853" s="1">
        <v>10141.0</v>
      </c>
      <c r="D853" s="1">
        <v>1.478911245E9</v>
      </c>
    </row>
    <row r="854">
      <c r="A854" s="1">
        <v>13581.0</v>
      </c>
      <c r="B854" s="1">
        <v>404.0</v>
      </c>
      <c r="C854" s="1">
        <v>10148.0</v>
      </c>
      <c r="D854" s="1">
        <v>1.478911269E9</v>
      </c>
    </row>
    <row r="855">
      <c r="A855" s="1">
        <v>13584.0</v>
      </c>
      <c r="B855" s="1">
        <v>405.0</v>
      </c>
      <c r="C855" s="1">
        <v>10148.0</v>
      </c>
      <c r="D855" s="1">
        <v>1.47891128E9</v>
      </c>
    </row>
    <row r="856">
      <c r="A856" s="1">
        <v>13591.0</v>
      </c>
      <c r="B856" s="1">
        <v>403.0</v>
      </c>
      <c r="C856" s="1">
        <v>10119.0</v>
      </c>
      <c r="D856" s="1">
        <v>1.478911347E9</v>
      </c>
    </row>
    <row r="857">
      <c r="A857" s="1">
        <v>13593.0</v>
      </c>
      <c r="B857" s="1">
        <v>404.0</v>
      </c>
      <c r="C857" s="1">
        <v>10120.0</v>
      </c>
      <c r="D857" s="1">
        <v>1.478911383E9</v>
      </c>
    </row>
    <row r="858">
      <c r="A858" s="1">
        <v>13602.0</v>
      </c>
      <c r="B858" s="1">
        <v>401.0</v>
      </c>
      <c r="C858" s="1">
        <v>10154.0</v>
      </c>
      <c r="D858" s="1">
        <v>1.478911465E9</v>
      </c>
    </row>
    <row r="859">
      <c r="A859" s="1">
        <v>13615.0</v>
      </c>
      <c r="B859" s="1">
        <v>403.0</v>
      </c>
      <c r="C859" s="1">
        <v>10120.0</v>
      </c>
      <c r="D859" s="1">
        <v>1.478911504E9</v>
      </c>
    </row>
    <row r="860">
      <c r="A860" s="1">
        <v>13618.0</v>
      </c>
      <c r="B860" s="1">
        <v>404.0</v>
      </c>
      <c r="C860" s="1">
        <v>10125.0</v>
      </c>
      <c r="D860" s="1">
        <v>1.478911528E9</v>
      </c>
    </row>
    <row r="861">
      <c r="A861" s="1">
        <v>13647.0</v>
      </c>
      <c r="B861" s="1">
        <v>404.0</v>
      </c>
      <c r="C861" s="1">
        <v>10120.0</v>
      </c>
      <c r="D861" s="1">
        <v>1.478911977E9</v>
      </c>
    </row>
    <row r="862">
      <c r="A862" s="1">
        <v>13657.0</v>
      </c>
      <c r="B862" s="1">
        <v>401.0</v>
      </c>
      <c r="C862" s="1">
        <v>2.0</v>
      </c>
      <c r="D862" s="1">
        <v>1.478912058E9</v>
      </c>
    </row>
    <row r="863">
      <c r="A863" s="1">
        <v>13659.0</v>
      </c>
      <c r="B863" s="1">
        <v>404.0</v>
      </c>
      <c r="C863" s="1">
        <v>10120.0</v>
      </c>
      <c r="D863" s="1">
        <v>1.47891207E9</v>
      </c>
    </row>
    <row r="864">
      <c r="A864" s="1">
        <v>13670.0</v>
      </c>
      <c r="B864" s="1">
        <v>404.0</v>
      </c>
      <c r="C864" s="1">
        <v>10120.0</v>
      </c>
      <c r="D864" s="1">
        <v>1.478913146E9</v>
      </c>
    </row>
    <row r="865">
      <c r="A865" s="1">
        <v>13714.0</v>
      </c>
      <c r="B865" s="1">
        <v>404.0</v>
      </c>
      <c r="C865" s="1">
        <v>10120.0</v>
      </c>
      <c r="D865" s="1">
        <v>1.478914274E9</v>
      </c>
    </row>
    <row r="866">
      <c r="A866" s="1">
        <v>13732.0</v>
      </c>
      <c r="B866" s="1">
        <v>405.0</v>
      </c>
      <c r="C866" s="1">
        <v>10120.0</v>
      </c>
      <c r="D866" s="1">
        <v>1.478914782E9</v>
      </c>
    </row>
    <row r="867">
      <c r="A867" s="1">
        <v>13754.0</v>
      </c>
      <c r="B867" s="1">
        <v>404.0</v>
      </c>
      <c r="C867" s="1">
        <v>10145.0</v>
      </c>
      <c r="D867" s="1">
        <v>1.478916512E9</v>
      </c>
    </row>
    <row r="868">
      <c r="A868" s="1">
        <v>13757.0</v>
      </c>
      <c r="B868" s="1">
        <v>404.0</v>
      </c>
      <c r="C868" s="1">
        <v>10145.0</v>
      </c>
      <c r="D868" s="1">
        <v>1.47891652E9</v>
      </c>
    </row>
    <row r="869">
      <c r="A869" s="1">
        <v>13758.0</v>
      </c>
      <c r="B869" s="1">
        <v>404.0</v>
      </c>
      <c r="C869" s="1">
        <v>10145.0</v>
      </c>
      <c r="D869" s="1">
        <v>1.47891653E9</v>
      </c>
    </row>
    <row r="870">
      <c r="A870" s="1">
        <v>13759.0</v>
      </c>
      <c r="B870" s="1">
        <v>405.0</v>
      </c>
      <c r="C870" s="1">
        <v>10145.0</v>
      </c>
      <c r="D870" s="1">
        <v>1.478916544E9</v>
      </c>
    </row>
    <row r="871">
      <c r="A871" s="1">
        <v>13767.0</v>
      </c>
      <c r="B871" s="1">
        <v>403.0</v>
      </c>
      <c r="C871" s="1">
        <v>2.0</v>
      </c>
      <c r="D871" s="1">
        <v>1.47891662E9</v>
      </c>
    </row>
    <row r="872">
      <c r="A872" s="1">
        <v>13769.0</v>
      </c>
      <c r="B872" s="1">
        <v>405.0</v>
      </c>
      <c r="C872" s="1">
        <v>10145.0</v>
      </c>
      <c r="D872" s="1">
        <v>1.478916623E9</v>
      </c>
    </row>
    <row r="873">
      <c r="A873" s="1">
        <v>13770.0</v>
      </c>
      <c r="B873" s="1">
        <v>401.0</v>
      </c>
      <c r="C873" s="1">
        <v>10145.0</v>
      </c>
      <c r="D873" s="1">
        <v>1.478916645E9</v>
      </c>
    </row>
    <row r="874">
      <c r="A874" s="1">
        <v>13774.0</v>
      </c>
      <c r="B874" s="1">
        <v>403.0</v>
      </c>
      <c r="C874" s="1">
        <v>10145.0</v>
      </c>
      <c r="D874" s="1">
        <v>1.478916656E9</v>
      </c>
    </row>
    <row r="875">
      <c r="A875" s="1">
        <v>13780.0</v>
      </c>
      <c r="B875" s="1">
        <v>404.0</v>
      </c>
      <c r="C875" s="1">
        <v>10145.0</v>
      </c>
      <c r="D875" s="1">
        <v>1.478916679E9</v>
      </c>
    </row>
    <row r="876">
      <c r="A876" s="1">
        <v>13782.0</v>
      </c>
      <c r="B876" s="1">
        <v>404.0</v>
      </c>
      <c r="C876" s="1">
        <v>10145.0</v>
      </c>
      <c r="D876" s="1">
        <v>1.478916688E9</v>
      </c>
    </row>
    <row r="877">
      <c r="A877" s="1">
        <v>13784.0</v>
      </c>
      <c r="B877" s="1">
        <v>405.0</v>
      </c>
      <c r="C877" s="1">
        <v>10145.0</v>
      </c>
      <c r="D877" s="1">
        <v>1.47891671E9</v>
      </c>
    </row>
    <row r="878">
      <c r="A878" s="1">
        <v>13785.0</v>
      </c>
      <c r="B878" s="1">
        <v>404.0</v>
      </c>
      <c r="C878" s="1">
        <v>10145.0</v>
      </c>
      <c r="D878" s="1">
        <v>1.478916713E9</v>
      </c>
    </row>
    <row r="879">
      <c r="A879" s="1">
        <v>13788.0</v>
      </c>
      <c r="B879" s="1">
        <v>403.0</v>
      </c>
      <c r="C879" s="1">
        <v>10145.0</v>
      </c>
      <c r="D879" s="1">
        <v>1.478916736E9</v>
      </c>
    </row>
    <row r="880">
      <c r="A880" s="1">
        <v>13789.0</v>
      </c>
      <c r="B880" s="1">
        <v>404.0</v>
      </c>
      <c r="C880" s="1">
        <v>10145.0</v>
      </c>
      <c r="D880" s="1">
        <v>1.478916741E9</v>
      </c>
    </row>
    <row r="881">
      <c r="A881" s="1">
        <v>13790.0</v>
      </c>
      <c r="B881" s="1">
        <v>401.0</v>
      </c>
      <c r="C881" s="1">
        <v>2.0</v>
      </c>
      <c r="D881" s="1">
        <v>1.478916743E9</v>
      </c>
    </row>
    <row r="882">
      <c r="A882" s="1">
        <v>13792.0</v>
      </c>
      <c r="B882" s="1">
        <v>401.0</v>
      </c>
      <c r="C882" s="1">
        <v>2.0</v>
      </c>
      <c r="D882" s="1">
        <v>1.478916794E9</v>
      </c>
    </row>
    <row r="883">
      <c r="A883" s="1">
        <v>13793.0</v>
      </c>
      <c r="B883" s="1">
        <v>401.0</v>
      </c>
      <c r="C883" s="1">
        <v>2.0</v>
      </c>
      <c r="D883" s="1">
        <v>1.478916808E9</v>
      </c>
    </row>
    <row r="884">
      <c r="A884" s="1">
        <v>13794.0</v>
      </c>
      <c r="B884" s="1">
        <v>401.0</v>
      </c>
      <c r="C884" s="1">
        <v>2.0</v>
      </c>
      <c r="D884" s="1">
        <v>1.478916812E9</v>
      </c>
    </row>
    <row r="885">
      <c r="A885" s="1">
        <v>13795.0</v>
      </c>
      <c r="B885" s="1">
        <v>401.0</v>
      </c>
      <c r="C885" s="1">
        <v>2.0</v>
      </c>
      <c r="D885" s="1">
        <v>1.478916821E9</v>
      </c>
    </row>
    <row r="886">
      <c r="A886" s="1">
        <v>13796.0</v>
      </c>
      <c r="B886" s="1">
        <v>401.0</v>
      </c>
      <c r="C886" s="1">
        <v>2.0</v>
      </c>
      <c r="D886" s="1">
        <v>1.478916822E9</v>
      </c>
    </row>
    <row r="887">
      <c r="A887" s="1">
        <v>13797.0</v>
      </c>
      <c r="B887" s="1">
        <v>401.0</v>
      </c>
      <c r="C887" s="1">
        <v>2.0</v>
      </c>
      <c r="D887" s="1">
        <v>1.478916824E9</v>
      </c>
    </row>
    <row r="888">
      <c r="A888" s="1">
        <v>13798.0</v>
      </c>
      <c r="B888" s="1">
        <v>401.0</v>
      </c>
      <c r="C888" s="1">
        <v>2.0</v>
      </c>
      <c r="D888" s="1">
        <v>1.478916827E9</v>
      </c>
    </row>
    <row r="889">
      <c r="A889" s="1">
        <v>13799.0</v>
      </c>
      <c r="B889" s="1">
        <v>401.0</v>
      </c>
      <c r="C889" s="1">
        <v>2.0</v>
      </c>
      <c r="D889" s="1">
        <v>1.478916828E9</v>
      </c>
    </row>
    <row r="890">
      <c r="A890" s="1">
        <v>13800.0</v>
      </c>
      <c r="B890" s="1">
        <v>401.0</v>
      </c>
      <c r="C890" s="1">
        <v>2.0</v>
      </c>
      <c r="D890" s="1">
        <v>1.47891683E9</v>
      </c>
    </row>
    <row r="891">
      <c r="A891" s="1">
        <v>13801.0</v>
      </c>
      <c r="B891" s="1">
        <v>401.0</v>
      </c>
      <c r="C891" s="1">
        <v>2.0</v>
      </c>
      <c r="D891" s="1">
        <v>1.47891683E9</v>
      </c>
    </row>
    <row r="892">
      <c r="A892" s="1">
        <v>13802.0</v>
      </c>
      <c r="B892" s="1">
        <v>401.0</v>
      </c>
      <c r="C892" s="1">
        <v>2.0</v>
      </c>
      <c r="D892" s="1">
        <v>1.478916833E9</v>
      </c>
    </row>
    <row r="893">
      <c r="A893" s="1">
        <v>13803.0</v>
      </c>
      <c r="B893" s="1">
        <v>401.0</v>
      </c>
      <c r="C893" s="1">
        <v>2.0</v>
      </c>
      <c r="D893" s="1">
        <v>1.478916835E9</v>
      </c>
    </row>
    <row r="894">
      <c r="A894" s="1">
        <v>13804.0</v>
      </c>
      <c r="B894" s="1">
        <v>401.0</v>
      </c>
      <c r="C894" s="1">
        <v>2.0</v>
      </c>
      <c r="D894" s="1">
        <v>1.478916836E9</v>
      </c>
    </row>
    <row r="895">
      <c r="A895" s="1">
        <v>13805.0</v>
      </c>
      <c r="B895" s="1">
        <v>401.0</v>
      </c>
      <c r="C895" s="1">
        <v>2.0</v>
      </c>
      <c r="D895" s="1">
        <v>1.478916839E9</v>
      </c>
    </row>
    <row r="896">
      <c r="A896" s="1">
        <v>13807.0</v>
      </c>
      <c r="B896" s="1">
        <v>401.0</v>
      </c>
      <c r="C896" s="1">
        <v>2.0</v>
      </c>
      <c r="D896" s="1">
        <v>1.478916841E9</v>
      </c>
    </row>
    <row r="897">
      <c r="A897" s="1">
        <v>13808.0</v>
      </c>
      <c r="B897" s="1">
        <v>401.0</v>
      </c>
      <c r="C897" s="1">
        <v>2.0</v>
      </c>
      <c r="D897" s="1">
        <v>1.478916842E9</v>
      </c>
    </row>
    <row r="898">
      <c r="A898" s="1">
        <v>13809.0</v>
      </c>
      <c r="B898" s="1">
        <v>405.0</v>
      </c>
      <c r="C898" s="1">
        <v>10120.0</v>
      </c>
      <c r="D898" s="1">
        <v>1.478916843E9</v>
      </c>
    </row>
    <row r="899">
      <c r="A899" s="1">
        <v>13810.0</v>
      </c>
      <c r="B899" s="1">
        <v>401.0</v>
      </c>
      <c r="C899" s="1">
        <v>2.0</v>
      </c>
      <c r="D899" s="1">
        <v>1.478916844E9</v>
      </c>
    </row>
    <row r="900">
      <c r="A900" s="1">
        <v>13811.0</v>
      </c>
      <c r="B900" s="1">
        <v>401.0</v>
      </c>
      <c r="C900" s="1">
        <v>2.0</v>
      </c>
      <c r="D900" s="1">
        <v>1.478916845E9</v>
      </c>
    </row>
    <row r="901">
      <c r="A901" s="1">
        <v>13812.0</v>
      </c>
      <c r="B901" s="1">
        <v>401.0</v>
      </c>
      <c r="C901" s="1">
        <v>2.0</v>
      </c>
      <c r="D901" s="1">
        <v>1.478916846E9</v>
      </c>
    </row>
    <row r="902">
      <c r="A902" s="1">
        <v>13813.0</v>
      </c>
      <c r="B902" s="1">
        <v>401.0</v>
      </c>
      <c r="C902" s="1">
        <v>2.0</v>
      </c>
      <c r="D902" s="1">
        <v>1.478916848E9</v>
      </c>
    </row>
    <row r="903">
      <c r="A903" s="1">
        <v>13814.0</v>
      </c>
      <c r="B903" s="1">
        <v>401.0</v>
      </c>
      <c r="C903" s="1">
        <v>2.0</v>
      </c>
      <c r="D903" s="1">
        <v>1.478916849E9</v>
      </c>
    </row>
    <row r="904">
      <c r="A904" s="1">
        <v>13815.0</v>
      </c>
      <c r="B904" s="1">
        <v>401.0</v>
      </c>
      <c r="C904" s="1">
        <v>2.0</v>
      </c>
      <c r="D904" s="1">
        <v>1.478916851E9</v>
      </c>
    </row>
    <row r="905">
      <c r="A905" s="1">
        <v>13816.0</v>
      </c>
      <c r="B905" s="1">
        <v>401.0</v>
      </c>
      <c r="C905" s="1">
        <v>2.0</v>
      </c>
      <c r="D905" s="1">
        <v>1.478916853E9</v>
      </c>
    </row>
    <row r="906">
      <c r="A906" s="1">
        <v>13817.0</v>
      </c>
      <c r="B906" s="1">
        <v>401.0</v>
      </c>
      <c r="C906" s="1">
        <v>2.0</v>
      </c>
      <c r="D906" s="1">
        <v>1.478916855E9</v>
      </c>
    </row>
    <row r="907">
      <c r="A907" s="1">
        <v>13818.0</v>
      </c>
      <c r="B907" s="1">
        <v>401.0</v>
      </c>
      <c r="C907" s="1">
        <v>2.0</v>
      </c>
      <c r="D907" s="1">
        <v>1.478916858E9</v>
      </c>
    </row>
    <row r="908">
      <c r="A908" s="1">
        <v>13819.0</v>
      </c>
      <c r="B908" s="1">
        <v>401.0</v>
      </c>
      <c r="C908" s="1">
        <v>2.0</v>
      </c>
      <c r="D908" s="1">
        <v>1.47891686E9</v>
      </c>
    </row>
    <row r="909">
      <c r="A909" s="1">
        <v>13820.0</v>
      </c>
      <c r="B909" s="1">
        <v>401.0</v>
      </c>
      <c r="C909" s="1">
        <v>2.0</v>
      </c>
      <c r="D909" s="1">
        <v>1.478916862E9</v>
      </c>
    </row>
    <row r="910">
      <c r="A910" s="1">
        <v>13821.0</v>
      </c>
      <c r="B910" s="1">
        <v>401.0</v>
      </c>
      <c r="C910" s="1">
        <v>2.0</v>
      </c>
      <c r="D910" s="1">
        <v>1.478916863E9</v>
      </c>
    </row>
    <row r="911">
      <c r="A911" s="1">
        <v>13822.0</v>
      </c>
      <c r="B911" s="1">
        <v>401.0</v>
      </c>
      <c r="C911" s="1">
        <v>2.0</v>
      </c>
      <c r="D911" s="1">
        <v>1.478916864E9</v>
      </c>
    </row>
    <row r="912">
      <c r="A912" s="1">
        <v>13823.0</v>
      </c>
      <c r="B912" s="1">
        <v>401.0</v>
      </c>
      <c r="C912" s="1">
        <v>2.0</v>
      </c>
      <c r="D912" s="1">
        <v>1.478916866E9</v>
      </c>
    </row>
    <row r="913">
      <c r="A913" s="1">
        <v>13824.0</v>
      </c>
      <c r="B913" s="1">
        <v>401.0</v>
      </c>
      <c r="C913" s="1">
        <v>2.0</v>
      </c>
      <c r="D913" s="1">
        <v>1.478916867E9</v>
      </c>
    </row>
    <row r="914">
      <c r="A914" s="1">
        <v>13825.0</v>
      </c>
      <c r="B914" s="1">
        <v>401.0</v>
      </c>
      <c r="C914" s="1">
        <v>2.0</v>
      </c>
      <c r="D914" s="1">
        <v>1.478916869E9</v>
      </c>
    </row>
    <row r="915">
      <c r="A915" s="1">
        <v>13826.0</v>
      </c>
      <c r="B915" s="1">
        <v>401.0</v>
      </c>
      <c r="C915" s="1">
        <v>2.0</v>
      </c>
      <c r="D915" s="1">
        <v>1.478916871E9</v>
      </c>
    </row>
    <row r="916">
      <c r="A916" s="1">
        <v>13827.0</v>
      </c>
      <c r="B916" s="1">
        <v>401.0</v>
      </c>
      <c r="C916" s="1">
        <v>2.0</v>
      </c>
      <c r="D916" s="1">
        <v>1.478916874E9</v>
      </c>
    </row>
    <row r="917">
      <c r="A917" s="1">
        <v>13828.0</v>
      </c>
      <c r="B917" s="1">
        <v>401.0</v>
      </c>
      <c r="C917" s="1">
        <v>2.0</v>
      </c>
      <c r="D917" s="1">
        <v>1.478916875E9</v>
      </c>
    </row>
    <row r="918">
      <c r="A918" s="1">
        <v>13829.0</v>
      </c>
      <c r="B918" s="1">
        <v>401.0</v>
      </c>
      <c r="C918" s="1">
        <v>2.0</v>
      </c>
      <c r="D918" s="1">
        <v>1.478916877E9</v>
      </c>
    </row>
    <row r="919">
      <c r="A919" s="1">
        <v>13830.0</v>
      </c>
      <c r="B919" s="1">
        <v>401.0</v>
      </c>
      <c r="C919" s="1">
        <v>2.0</v>
      </c>
      <c r="D919" s="1">
        <v>1.47891689E9</v>
      </c>
    </row>
    <row r="920">
      <c r="A920" s="1">
        <v>13831.0</v>
      </c>
      <c r="B920" s="1">
        <v>401.0</v>
      </c>
      <c r="C920" s="1">
        <v>2.0</v>
      </c>
      <c r="D920" s="1">
        <v>1.478916907E9</v>
      </c>
    </row>
    <row r="921">
      <c r="A921" s="1">
        <v>13832.0</v>
      </c>
      <c r="B921" s="1">
        <v>401.0</v>
      </c>
      <c r="C921" s="1">
        <v>2.0</v>
      </c>
      <c r="D921" s="1">
        <v>1.478916953E9</v>
      </c>
    </row>
    <row r="922">
      <c r="A922" s="1">
        <v>13834.0</v>
      </c>
      <c r="B922" s="1">
        <v>401.0</v>
      </c>
      <c r="C922" s="1">
        <v>2.0</v>
      </c>
      <c r="D922" s="1">
        <v>1.478916971E9</v>
      </c>
    </row>
    <row r="923">
      <c r="A923" s="1">
        <v>13835.0</v>
      </c>
      <c r="B923" s="1">
        <v>401.0</v>
      </c>
      <c r="C923" s="1">
        <v>2.0</v>
      </c>
      <c r="D923" s="1">
        <v>1.478916979E9</v>
      </c>
    </row>
    <row r="924">
      <c r="A924" s="1">
        <v>13837.0</v>
      </c>
      <c r="B924" s="1">
        <v>401.0</v>
      </c>
      <c r="C924" s="1">
        <v>2.0</v>
      </c>
      <c r="D924" s="1">
        <v>1.478917022E9</v>
      </c>
    </row>
    <row r="925">
      <c r="A925" s="1">
        <v>13838.0</v>
      </c>
      <c r="B925" s="1">
        <v>401.0</v>
      </c>
      <c r="C925" s="1">
        <v>2.0</v>
      </c>
      <c r="D925" s="1">
        <v>1.478917031E9</v>
      </c>
    </row>
    <row r="926">
      <c r="A926" s="1">
        <v>13839.0</v>
      </c>
      <c r="B926" s="1">
        <v>401.0</v>
      </c>
      <c r="C926" s="1">
        <v>2.0</v>
      </c>
      <c r="D926" s="1">
        <v>1.478917038E9</v>
      </c>
    </row>
    <row r="927">
      <c r="A927" s="1">
        <v>13841.0</v>
      </c>
      <c r="B927" s="1">
        <v>401.0</v>
      </c>
      <c r="C927" s="1">
        <v>2.0</v>
      </c>
      <c r="D927" s="1">
        <v>1.478917055E9</v>
      </c>
    </row>
    <row r="928">
      <c r="A928" s="1">
        <v>13842.0</v>
      </c>
      <c r="B928" s="1">
        <v>401.0</v>
      </c>
      <c r="C928" s="1">
        <v>2.0</v>
      </c>
      <c r="D928" s="1">
        <v>1.478917058E9</v>
      </c>
    </row>
    <row r="929">
      <c r="A929" s="1">
        <v>13843.0</v>
      </c>
      <c r="B929" s="1">
        <v>401.0</v>
      </c>
      <c r="C929" s="1">
        <v>2.0</v>
      </c>
      <c r="D929" s="1">
        <v>1.478917068E9</v>
      </c>
    </row>
    <row r="930">
      <c r="A930" s="1">
        <v>13847.0</v>
      </c>
      <c r="B930" s="1">
        <v>404.0</v>
      </c>
      <c r="C930" s="1">
        <v>10145.0</v>
      </c>
      <c r="D930" s="1">
        <v>1.478917445E9</v>
      </c>
    </row>
    <row r="931">
      <c r="A931" s="1">
        <v>13849.0</v>
      </c>
      <c r="B931" s="1">
        <v>401.0</v>
      </c>
      <c r="C931" s="1">
        <v>2.0</v>
      </c>
      <c r="D931" s="1">
        <v>1.478917529E9</v>
      </c>
    </row>
    <row r="932">
      <c r="A932" s="1">
        <v>13850.0</v>
      </c>
      <c r="B932" s="1">
        <v>401.0</v>
      </c>
      <c r="C932" s="1">
        <v>2.0</v>
      </c>
      <c r="D932" s="1">
        <v>1.478917533E9</v>
      </c>
    </row>
    <row r="933">
      <c r="A933" s="1">
        <v>13851.0</v>
      </c>
      <c r="B933" s="1">
        <v>401.0</v>
      </c>
      <c r="C933" s="1">
        <v>2.0</v>
      </c>
      <c r="D933" s="1">
        <v>1.478917536E9</v>
      </c>
    </row>
    <row r="934">
      <c r="A934" s="1">
        <v>13852.0</v>
      </c>
      <c r="B934" s="1">
        <v>404.0</v>
      </c>
      <c r="C934" s="1">
        <v>10145.0</v>
      </c>
      <c r="D934" s="1">
        <v>1.478917537E9</v>
      </c>
    </row>
    <row r="935">
      <c r="A935" s="1">
        <v>13856.0</v>
      </c>
      <c r="B935" s="1">
        <v>403.0</v>
      </c>
      <c r="C935" s="1">
        <v>10145.0</v>
      </c>
      <c r="D935" s="1">
        <v>1.478917575E9</v>
      </c>
    </row>
    <row r="936">
      <c r="A936" s="1">
        <v>13857.0</v>
      </c>
      <c r="B936" s="1">
        <v>404.0</v>
      </c>
      <c r="C936" s="1">
        <v>10145.0</v>
      </c>
      <c r="D936" s="1">
        <v>1.478917579E9</v>
      </c>
    </row>
    <row r="937">
      <c r="A937" s="1">
        <v>13879.0</v>
      </c>
      <c r="B937" s="1">
        <v>405.0</v>
      </c>
      <c r="C937" s="1">
        <v>10145.0</v>
      </c>
      <c r="D937" s="1">
        <v>1.47891795E9</v>
      </c>
    </row>
    <row r="938">
      <c r="A938" s="1">
        <v>13880.0</v>
      </c>
      <c r="B938" s="1">
        <v>404.0</v>
      </c>
      <c r="C938" s="1">
        <v>10145.0</v>
      </c>
      <c r="D938" s="1">
        <v>1.47891796E9</v>
      </c>
    </row>
    <row r="939">
      <c r="A939" s="1">
        <v>13882.0</v>
      </c>
      <c r="B939" s="1">
        <v>405.0</v>
      </c>
      <c r="C939" s="1">
        <v>10145.0</v>
      </c>
      <c r="D939" s="1">
        <v>1.478917966E9</v>
      </c>
    </row>
    <row r="940">
      <c r="A940" s="1">
        <v>13885.0</v>
      </c>
      <c r="B940" s="1">
        <v>401.0</v>
      </c>
      <c r="C940" s="1">
        <v>2.0</v>
      </c>
      <c r="D940" s="1">
        <v>1.478917982E9</v>
      </c>
    </row>
    <row r="941">
      <c r="A941" s="1">
        <v>13887.0</v>
      </c>
      <c r="B941" s="1">
        <v>401.0</v>
      </c>
      <c r="C941" s="1">
        <v>2.0</v>
      </c>
      <c r="D941" s="1">
        <v>1.478917996E9</v>
      </c>
    </row>
    <row r="942">
      <c r="A942" s="1">
        <v>13891.0</v>
      </c>
      <c r="B942" s="1">
        <v>401.0</v>
      </c>
      <c r="C942" s="1">
        <v>2.0</v>
      </c>
      <c r="D942" s="1">
        <v>1.478918005E9</v>
      </c>
    </row>
    <row r="943">
      <c r="A943" s="1">
        <v>13892.0</v>
      </c>
      <c r="B943" s="1">
        <v>401.0</v>
      </c>
      <c r="C943" s="1">
        <v>2.0</v>
      </c>
      <c r="D943" s="1">
        <v>1.478918006E9</v>
      </c>
    </row>
    <row r="944">
      <c r="A944" s="1">
        <v>13893.0</v>
      </c>
      <c r="B944" s="1">
        <v>401.0</v>
      </c>
      <c r="C944" s="1">
        <v>2.0</v>
      </c>
      <c r="D944" s="1">
        <v>1.478918021E9</v>
      </c>
    </row>
    <row r="945">
      <c r="A945" s="1">
        <v>13895.0</v>
      </c>
      <c r="B945" s="1">
        <v>401.0</v>
      </c>
      <c r="C945" s="1">
        <v>2.0</v>
      </c>
      <c r="D945" s="1">
        <v>1.478918039E9</v>
      </c>
    </row>
    <row r="946">
      <c r="A946" s="1">
        <v>13896.0</v>
      </c>
      <c r="B946" s="1">
        <v>401.0</v>
      </c>
      <c r="C946" s="1">
        <v>2.0</v>
      </c>
      <c r="D946" s="1">
        <v>1.478918045E9</v>
      </c>
    </row>
    <row r="947">
      <c r="A947" s="1">
        <v>13897.0</v>
      </c>
      <c r="B947" s="1">
        <v>401.0</v>
      </c>
      <c r="C947" s="1">
        <v>2.0</v>
      </c>
      <c r="D947" s="1">
        <v>1.478918053E9</v>
      </c>
    </row>
    <row r="948">
      <c r="A948" s="1">
        <v>13901.0</v>
      </c>
      <c r="B948" s="1">
        <v>401.0</v>
      </c>
      <c r="C948" s="1">
        <v>2.0</v>
      </c>
      <c r="D948" s="1">
        <v>1.478918079E9</v>
      </c>
    </row>
    <row r="949">
      <c r="A949" s="1">
        <v>13906.0</v>
      </c>
      <c r="B949" s="1">
        <v>401.0</v>
      </c>
      <c r="C949" s="1">
        <v>2.0</v>
      </c>
      <c r="D949" s="1">
        <v>1.478918092E9</v>
      </c>
    </row>
    <row r="950">
      <c r="A950" s="1">
        <v>13907.0</v>
      </c>
      <c r="B950" s="1">
        <v>401.0</v>
      </c>
      <c r="C950" s="1">
        <v>2.0</v>
      </c>
      <c r="D950" s="1">
        <v>1.478918093E9</v>
      </c>
    </row>
    <row r="951">
      <c r="A951" s="1">
        <v>13908.0</v>
      </c>
      <c r="B951" s="1">
        <v>401.0</v>
      </c>
      <c r="C951" s="1">
        <v>2.0</v>
      </c>
      <c r="D951" s="1">
        <v>1.478918098E9</v>
      </c>
    </row>
    <row r="952">
      <c r="A952" s="1">
        <v>13909.0</v>
      </c>
      <c r="B952" s="1">
        <v>401.0</v>
      </c>
      <c r="C952" s="1">
        <v>2.0</v>
      </c>
      <c r="D952" s="1">
        <v>1.478918113E9</v>
      </c>
    </row>
    <row r="953">
      <c r="A953" s="1">
        <v>13910.0</v>
      </c>
      <c r="B953" s="1">
        <v>401.0</v>
      </c>
      <c r="C953" s="1">
        <v>2.0</v>
      </c>
      <c r="D953" s="1">
        <v>1.478918144E9</v>
      </c>
    </row>
    <row r="954">
      <c r="A954" s="1">
        <v>13912.0</v>
      </c>
      <c r="B954" s="1">
        <v>401.0</v>
      </c>
      <c r="C954" s="1">
        <v>2.0</v>
      </c>
      <c r="D954" s="1">
        <v>1.478918161E9</v>
      </c>
    </row>
    <row r="955">
      <c r="A955" s="1">
        <v>13913.0</v>
      </c>
      <c r="B955" s="1">
        <v>401.0</v>
      </c>
      <c r="C955" s="1">
        <v>2.0</v>
      </c>
      <c r="D955" s="1">
        <v>1.478918166E9</v>
      </c>
    </row>
    <row r="956">
      <c r="A956" s="1">
        <v>13922.0</v>
      </c>
      <c r="B956" s="1">
        <v>401.0</v>
      </c>
      <c r="C956" s="1">
        <v>2.0</v>
      </c>
      <c r="D956" s="1">
        <v>1.478918268E9</v>
      </c>
    </row>
    <row r="957">
      <c r="A957" s="1">
        <v>13937.0</v>
      </c>
      <c r="B957" s="1">
        <v>401.0</v>
      </c>
      <c r="C957" s="1">
        <v>2.0</v>
      </c>
      <c r="D957" s="1">
        <v>1.478918502E9</v>
      </c>
    </row>
    <row r="958">
      <c r="A958" s="1">
        <v>13950.0</v>
      </c>
      <c r="B958" s="1">
        <v>401.0</v>
      </c>
      <c r="C958" s="1">
        <v>2.0</v>
      </c>
      <c r="D958" s="1">
        <v>1.478918747E9</v>
      </c>
    </row>
    <row r="959">
      <c r="A959" s="1">
        <v>13955.0</v>
      </c>
      <c r="B959" s="1">
        <v>401.0</v>
      </c>
      <c r="C959" s="1">
        <v>2.0</v>
      </c>
      <c r="D959" s="1">
        <v>1.478918867E9</v>
      </c>
    </row>
    <row r="960">
      <c r="A960" s="1">
        <v>13956.0</v>
      </c>
      <c r="B960" s="1">
        <v>401.0</v>
      </c>
      <c r="C960" s="1">
        <v>2.0</v>
      </c>
      <c r="D960" s="1">
        <v>1.478918971E9</v>
      </c>
    </row>
    <row r="961">
      <c r="A961" s="1">
        <v>13957.0</v>
      </c>
      <c r="B961" s="1">
        <v>401.0</v>
      </c>
      <c r="C961" s="1">
        <v>2.0</v>
      </c>
      <c r="D961" s="1">
        <v>1.478918993E9</v>
      </c>
    </row>
    <row r="962">
      <c r="A962" s="1">
        <v>13959.0</v>
      </c>
      <c r="B962" s="1">
        <v>401.0</v>
      </c>
      <c r="C962" s="1">
        <v>2.0</v>
      </c>
      <c r="D962" s="1">
        <v>1.478919007E9</v>
      </c>
    </row>
    <row r="963">
      <c r="A963" s="1">
        <v>13960.0</v>
      </c>
      <c r="B963" s="1">
        <v>401.0</v>
      </c>
      <c r="C963" s="1">
        <v>2.0</v>
      </c>
      <c r="D963" s="1">
        <v>1.478919017E9</v>
      </c>
    </row>
    <row r="964">
      <c r="A964" s="1">
        <v>13966.0</v>
      </c>
      <c r="B964" s="1">
        <v>401.0</v>
      </c>
      <c r="C964" s="1">
        <v>2.0</v>
      </c>
      <c r="D964" s="1">
        <v>1.478919271E9</v>
      </c>
    </row>
    <row r="965">
      <c r="A965" s="1">
        <v>13967.0</v>
      </c>
      <c r="B965" s="1">
        <v>401.0</v>
      </c>
      <c r="C965" s="1">
        <v>2.0</v>
      </c>
      <c r="D965" s="1">
        <v>1.478919284E9</v>
      </c>
    </row>
    <row r="966">
      <c r="A966" s="1">
        <v>13968.0</v>
      </c>
      <c r="B966" s="1">
        <v>401.0</v>
      </c>
      <c r="C966" s="1">
        <v>2.0</v>
      </c>
      <c r="D966" s="1">
        <v>1.478919299E9</v>
      </c>
    </row>
    <row r="967">
      <c r="A967" s="1">
        <v>13995.0</v>
      </c>
      <c r="B967" s="1">
        <v>401.0</v>
      </c>
      <c r="C967" s="1">
        <v>2.0</v>
      </c>
      <c r="D967" s="1">
        <v>1.478919947E9</v>
      </c>
    </row>
    <row r="968">
      <c r="A968" s="1">
        <v>13996.0</v>
      </c>
      <c r="B968" s="1">
        <v>401.0</v>
      </c>
      <c r="C968" s="1">
        <v>2.0</v>
      </c>
      <c r="D968" s="1">
        <v>1.478919949E9</v>
      </c>
    </row>
    <row r="969">
      <c r="A969" s="1">
        <v>13997.0</v>
      </c>
      <c r="B969" s="1">
        <v>401.0</v>
      </c>
      <c r="C969" s="1">
        <v>2.0</v>
      </c>
      <c r="D969" s="1">
        <v>1.478919953E9</v>
      </c>
    </row>
    <row r="970">
      <c r="A970" s="1">
        <v>13998.0</v>
      </c>
      <c r="B970" s="1">
        <v>401.0</v>
      </c>
      <c r="C970" s="1">
        <v>2.0</v>
      </c>
      <c r="D970" s="1">
        <v>1.478919998E9</v>
      </c>
    </row>
    <row r="971">
      <c r="A971" s="1">
        <v>13999.0</v>
      </c>
      <c r="B971" s="1">
        <v>404.0</v>
      </c>
      <c r="C971" s="1">
        <v>10145.0</v>
      </c>
      <c r="D971" s="1">
        <v>1.478920095E9</v>
      </c>
    </row>
    <row r="972">
      <c r="A972" s="1">
        <v>14001.0</v>
      </c>
      <c r="B972" s="1">
        <v>405.0</v>
      </c>
      <c r="C972" s="1">
        <v>10145.0</v>
      </c>
      <c r="D972" s="1">
        <v>1.478920108E9</v>
      </c>
    </row>
    <row r="973">
      <c r="A973" s="1">
        <v>14002.0</v>
      </c>
      <c r="B973" s="1">
        <v>404.0</v>
      </c>
      <c r="C973" s="1">
        <v>10145.0</v>
      </c>
      <c r="D973" s="1">
        <v>1.478920198E9</v>
      </c>
    </row>
    <row r="974">
      <c r="A974" s="1">
        <v>14003.0</v>
      </c>
      <c r="B974" s="1">
        <v>405.0</v>
      </c>
      <c r="C974" s="1">
        <v>10145.0</v>
      </c>
      <c r="D974" s="1">
        <v>1.478920204E9</v>
      </c>
    </row>
    <row r="975">
      <c r="A975" s="1">
        <v>14009.0</v>
      </c>
      <c r="B975" s="1">
        <v>405.0</v>
      </c>
      <c r="C975" s="1">
        <v>10145.0</v>
      </c>
      <c r="D975" s="1">
        <v>1.478920837E9</v>
      </c>
    </row>
    <row r="976">
      <c r="A976" s="1">
        <v>14011.0</v>
      </c>
      <c r="B976" s="1">
        <v>401.0</v>
      </c>
      <c r="C976" s="1">
        <v>2.0</v>
      </c>
      <c r="D976" s="1">
        <v>1.478920913E9</v>
      </c>
    </row>
    <row r="977">
      <c r="A977" s="1">
        <v>14012.0</v>
      </c>
      <c r="B977" s="1">
        <v>401.0</v>
      </c>
      <c r="C977" s="1">
        <v>2.0</v>
      </c>
      <c r="D977" s="1">
        <v>1.478920914E9</v>
      </c>
    </row>
    <row r="978">
      <c r="A978" s="1">
        <v>14014.0</v>
      </c>
      <c r="B978" s="1">
        <v>404.0</v>
      </c>
      <c r="C978" s="1">
        <v>10145.0</v>
      </c>
      <c r="D978" s="1">
        <v>1.478920963E9</v>
      </c>
    </row>
    <row r="979">
      <c r="A979" s="1">
        <v>14016.0</v>
      </c>
      <c r="B979" s="1">
        <v>403.0</v>
      </c>
      <c r="C979" s="1">
        <v>10145.0</v>
      </c>
      <c r="D979" s="1">
        <v>1.478920971E9</v>
      </c>
    </row>
    <row r="980">
      <c r="A980" s="1">
        <v>14017.0</v>
      </c>
      <c r="B980" s="1">
        <v>401.0</v>
      </c>
      <c r="C980" s="1">
        <v>10145.0</v>
      </c>
      <c r="D980" s="1">
        <v>1.478920974E9</v>
      </c>
    </row>
    <row r="981">
      <c r="A981" s="1">
        <v>14022.0</v>
      </c>
      <c r="B981" s="1">
        <v>401.0</v>
      </c>
      <c r="C981" s="1">
        <v>2.0</v>
      </c>
      <c r="D981" s="1">
        <v>1.478921028E9</v>
      </c>
    </row>
    <row r="982">
      <c r="A982" s="1">
        <v>14027.0</v>
      </c>
      <c r="B982" s="1">
        <v>401.0</v>
      </c>
      <c r="C982" s="1">
        <v>2.0</v>
      </c>
      <c r="D982" s="1">
        <v>1.478921103E9</v>
      </c>
    </row>
    <row r="983">
      <c r="A983" s="1">
        <v>14029.0</v>
      </c>
      <c r="B983" s="1">
        <v>401.0</v>
      </c>
      <c r="C983" s="1">
        <v>2.0</v>
      </c>
      <c r="D983" s="1">
        <v>1.478921128E9</v>
      </c>
    </row>
    <row r="984">
      <c r="A984" s="1">
        <v>14030.0</v>
      </c>
      <c r="B984" s="1">
        <v>401.0</v>
      </c>
      <c r="C984" s="1">
        <v>2.0</v>
      </c>
      <c r="D984" s="1">
        <v>1.478921163E9</v>
      </c>
    </row>
    <row r="985">
      <c r="A985" s="1">
        <v>14031.0</v>
      </c>
      <c r="B985" s="1">
        <v>401.0</v>
      </c>
      <c r="C985" s="1">
        <v>2.0</v>
      </c>
      <c r="D985" s="1">
        <v>1.478921172E9</v>
      </c>
    </row>
    <row r="986">
      <c r="A986" s="1">
        <v>14032.0</v>
      </c>
      <c r="B986" s="1">
        <v>401.0</v>
      </c>
      <c r="C986" s="1">
        <v>2.0</v>
      </c>
      <c r="D986" s="1">
        <v>1.478921194E9</v>
      </c>
    </row>
    <row r="987">
      <c r="A987" s="1">
        <v>14033.0</v>
      </c>
      <c r="B987" s="1">
        <v>401.0</v>
      </c>
      <c r="C987" s="1">
        <v>2.0</v>
      </c>
      <c r="D987" s="1">
        <v>1.47892122E9</v>
      </c>
    </row>
    <row r="988">
      <c r="A988" s="1">
        <v>14040.0</v>
      </c>
      <c r="B988" s="1">
        <v>401.0</v>
      </c>
      <c r="C988" s="1">
        <v>2.0</v>
      </c>
      <c r="D988" s="1">
        <v>1.478921322E9</v>
      </c>
    </row>
    <row r="989">
      <c r="A989" s="1">
        <v>14043.0</v>
      </c>
      <c r="B989" s="1">
        <v>401.0</v>
      </c>
      <c r="C989" s="1">
        <v>2.0</v>
      </c>
      <c r="D989" s="1">
        <v>1.478921352E9</v>
      </c>
    </row>
    <row r="990">
      <c r="A990" s="1">
        <v>14044.0</v>
      </c>
      <c r="B990" s="1">
        <v>401.0</v>
      </c>
      <c r="C990" s="1">
        <v>2.0</v>
      </c>
      <c r="D990" s="1">
        <v>1.478921504E9</v>
      </c>
    </row>
    <row r="991">
      <c r="A991" s="1">
        <v>14045.0</v>
      </c>
      <c r="B991" s="1">
        <v>401.0</v>
      </c>
      <c r="C991" s="1">
        <v>2.0</v>
      </c>
      <c r="D991" s="1">
        <v>1.478921514E9</v>
      </c>
    </row>
    <row r="992">
      <c r="A992" s="1">
        <v>14049.0</v>
      </c>
      <c r="B992" s="1">
        <v>404.0</v>
      </c>
      <c r="C992" s="1">
        <v>2.0</v>
      </c>
      <c r="D992" s="1">
        <v>1.478921652E9</v>
      </c>
    </row>
    <row r="993">
      <c r="A993" s="1">
        <v>14050.0</v>
      </c>
      <c r="B993" s="1">
        <v>404.0</v>
      </c>
      <c r="C993" s="1">
        <v>2.0</v>
      </c>
      <c r="D993" s="1">
        <v>1.478921676E9</v>
      </c>
    </row>
    <row r="994">
      <c r="A994" s="1">
        <v>14051.0</v>
      </c>
      <c r="B994" s="1">
        <v>404.0</v>
      </c>
      <c r="C994" s="1">
        <v>2.0</v>
      </c>
      <c r="D994" s="1">
        <v>1.478921729E9</v>
      </c>
    </row>
    <row r="995">
      <c r="A995" s="1">
        <v>14052.0</v>
      </c>
      <c r="B995" s="1">
        <v>404.0</v>
      </c>
      <c r="C995" s="1">
        <v>2.0</v>
      </c>
      <c r="D995" s="1">
        <v>1.478921752E9</v>
      </c>
    </row>
    <row r="996">
      <c r="A996" s="1">
        <v>14053.0</v>
      </c>
      <c r="B996" s="1">
        <v>404.0</v>
      </c>
      <c r="C996" s="1">
        <v>2.0</v>
      </c>
      <c r="D996" s="1">
        <v>1.478921787E9</v>
      </c>
    </row>
    <row r="997">
      <c r="A997" s="1">
        <v>14054.0</v>
      </c>
      <c r="B997" s="1">
        <v>401.0</v>
      </c>
      <c r="C997" s="1">
        <v>2.0</v>
      </c>
      <c r="D997" s="1">
        <v>1.478921815E9</v>
      </c>
    </row>
    <row r="998">
      <c r="A998" s="1">
        <v>14058.0</v>
      </c>
      <c r="B998" s="1">
        <v>401.0</v>
      </c>
      <c r="C998" s="1">
        <v>2.0</v>
      </c>
      <c r="D998" s="1">
        <v>1.478921866E9</v>
      </c>
    </row>
    <row r="999">
      <c r="A999" s="1">
        <v>14061.0</v>
      </c>
      <c r="B999" s="1">
        <v>401.0</v>
      </c>
      <c r="C999" s="1">
        <v>2.0</v>
      </c>
      <c r="D999" s="1">
        <v>1.478922454E9</v>
      </c>
    </row>
    <row r="1000">
      <c r="A1000" s="1">
        <v>14062.0</v>
      </c>
      <c r="B1000" s="1">
        <v>401.0</v>
      </c>
      <c r="C1000" s="1">
        <v>2.0</v>
      </c>
      <c r="D1000" s="1">
        <v>1.47892246E9</v>
      </c>
    </row>
    <row r="1001">
      <c r="A1001" s="1">
        <v>14073.0</v>
      </c>
      <c r="B1001" s="1">
        <v>401.0</v>
      </c>
      <c r="C1001" s="1">
        <v>2.0</v>
      </c>
      <c r="D1001" s="1">
        <v>1.47892313E9</v>
      </c>
    </row>
    <row r="1002">
      <c r="A1002" s="1">
        <v>14078.0</v>
      </c>
      <c r="B1002" s="1">
        <v>401.0</v>
      </c>
      <c r="C1002" s="1">
        <v>2.0</v>
      </c>
      <c r="D1002" s="1">
        <v>1.478925285E9</v>
      </c>
    </row>
    <row r="1003">
      <c r="A1003" s="1">
        <v>14080.0</v>
      </c>
      <c r="B1003" s="1">
        <v>401.0</v>
      </c>
      <c r="C1003" s="1">
        <v>2.0</v>
      </c>
      <c r="D1003" s="1">
        <v>1.478925318E9</v>
      </c>
    </row>
    <row r="1004">
      <c r="A1004" s="1">
        <v>14081.0</v>
      </c>
      <c r="B1004" s="1">
        <v>401.0</v>
      </c>
      <c r="C1004" s="1">
        <v>2.0</v>
      </c>
      <c r="D1004" s="1">
        <v>1.47892532E9</v>
      </c>
    </row>
    <row r="1005">
      <c r="A1005" s="1">
        <v>14084.0</v>
      </c>
      <c r="B1005" s="1">
        <v>401.0</v>
      </c>
      <c r="C1005" s="1">
        <v>2.0</v>
      </c>
      <c r="D1005" s="1">
        <v>1.478926611E9</v>
      </c>
    </row>
    <row r="1006">
      <c r="A1006" s="1">
        <v>14086.0</v>
      </c>
      <c r="B1006" s="1">
        <v>401.0</v>
      </c>
      <c r="C1006" s="1">
        <v>2.0</v>
      </c>
      <c r="D1006" s="1">
        <v>1.47892729E9</v>
      </c>
    </row>
    <row r="1007">
      <c r="A1007" s="1">
        <v>14099.0</v>
      </c>
      <c r="B1007" s="1">
        <v>401.0</v>
      </c>
      <c r="C1007" s="1">
        <v>2.0</v>
      </c>
      <c r="D1007" s="1">
        <v>1.478927455E9</v>
      </c>
    </row>
    <row r="1008">
      <c r="A1008" s="1">
        <v>14101.0</v>
      </c>
      <c r="B1008" s="1">
        <v>401.0</v>
      </c>
      <c r="C1008" s="1">
        <v>2.0</v>
      </c>
      <c r="D1008" s="1">
        <v>1.478927494E9</v>
      </c>
    </row>
    <row r="1009">
      <c r="A1009" s="1">
        <v>14103.0</v>
      </c>
      <c r="B1009" s="1">
        <v>401.0</v>
      </c>
      <c r="C1009" s="1">
        <v>2.0</v>
      </c>
      <c r="D1009" s="1">
        <v>1.478927524E9</v>
      </c>
    </row>
    <row r="1010">
      <c r="A1010" s="1">
        <v>14104.0</v>
      </c>
      <c r="B1010" s="1">
        <v>401.0</v>
      </c>
      <c r="C1010" s="1">
        <v>2.0</v>
      </c>
      <c r="D1010" s="1">
        <v>1.478927526E9</v>
      </c>
    </row>
    <row r="1011">
      <c r="A1011" s="1">
        <v>14105.0</v>
      </c>
      <c r="B1011" s="1">
        <v>401.0</v>
      </c>
      <c r="C1011" s="1">
        <v>2.0</v>
      </c>
      <c r="D1011" s="1">
        <v>1.478927536E9</v>
      </c>
    </row>
    <row r="1012">
      <c r="A1012" s="1">
        <v>14108.0</v>
      </c>
      <c r="B1012" s="1">
        <v>401.0</v>
      </c>
      <c r="C1012" s="1">
        <v>2.0</v>
      </c>
      <c r="D1012" s="1">
        <v>1.478927685E9</v>
      </c>
    </row>
    <row r="1013">
      <c r="A1013" s="1">
        <v>14109.0</v>
      </c>
      <c r="B1013" s="1">
        <v>401.0</v>
      </c>
      <c r="C1013" s="1">
        <v>2.0</v>
      </c>
      <c r="D1013" s="1">
        <v>1.478927694E9</v>
      </c>
    </row>
    <row r="1014">
      <c r="A1014" s="1">
        <v>14111.0</v>
      </c>
      <c r="B1014" s="1">
        <v>401.0</v>
      </c>
      <c r="C1014" s="1">
        <v>2.0</v>
      </c>
      <c r="D1014" s="1">
        <v>1.478929004E9</v>
      </c>
    </row>
    <row r="1015">
      <c r="A1015" s="1">
        <v>14114.0</v>
      </c>
      <c r="B1015" s="1">
        <v>401.0</v>
      </c>
      <c r="C1015" s="1">
        <v>2.0</v>
      </c>
      <c r="D1015" s="1">
        <v>1.478929425E9</v>
      </c>
    </row>
    <row r="1016">
      <c r="A1016" s="1">
        <v>14115.0</v>
      </c>
      <c r="B1016" s="1">
        <v>401.0</v>
      </c>
      <c r="C1016" s="1">
        <v>2.0</v>
      </c>
      <c r="D1016" s="1">
        <v>1.478929425E9</v>
      </c>
    </row>
    <row r="1017">
      <c r="A1017" s="1">
        <v>14116.0</v>
      </c>
      <c r="B1017" s="1">
        <v>401.0</v>
      </c>
      <c r="C1017" s="1">
        <v>2.0</v>
      </c>
      <c r="D1017" s="1">
        <v>1.478929427E9</v>
      </c>
    </row>
    <row r="1018">
      <c r="A1018" s="1">
        <v>14117.0</v>
      </c>
      <c r="B1018" s="1">
        <v>401.0</v>
      </c>
      <c r="C1018" s="1">
        <v>2.0</v>
      </c>
      <c r="D1018" s="1">
        <v>1.478929428E9</v>
      </c>
    </row>
    <row r="1019">
      <c r="A1019" s="1">
        <v>14118.0</v>
      </c>
      <c r="B1019" s="1">
        <v>401.0</v>
      </c>
      <c r="C1019" s="1">
        <v>2.0</v>
      </c>
      <c r="D1019" s="1">
        <v>1.47892943E9</v>
      </c>
    </row>
    <row r="1020">
      <c r="A1020" s="1">
        <v>14119.0</v>
      </c>
      <c r="B1020" s="1">
        <v>401.0</v>
      </c>
      <c r="C1020" s="1">
        <v>2.0</v>
      </c>
      <c r="D1020" s="1">
        <v>1.47892943E9</v>
      </c>
    </row>
    <row r="1021">
      <c r="A1021" s="1">
        <v>14120.0</v>
      </c>
      <c r="B1021" s="1">
        <v>401.0</v>
      </c>
      <c r="C1021" s="1">
        <v>2.0</v>
      </c>
      <c r="D1021" s="1">
        <v>1.478929433E9</v>
      </c>
    </row>
    <row r="1022">
      <c r="A1022" s="1">
        <v>14121.0</v>
      </c>
      <c r="B1022" s="1">
        <v>401.0</v>
      </c>
      <c r="C1022" s="1">
        <v>2.0</v>
      </c>
      <c r="D1022" s="1">
        <v>1.478929433E9</v>
      </c>
    </row>
    <row r="1023">
      <c r="A1023" s="1">
        <v>14122.0</v>
      </c>
      <c r="B1023" s="1">
        <v>401.0</v>
      </c>
      <c r="C1023" s="1">
        <v>2.0</v>
      </c>
      <c r="D1023" s="1">
        <v>1.478929435E9</v>
      </c>
    </row>
    <row r="1024">
      <c r="A1024" s="1">
        <v>14123.0</v>
      </c>
      <c r="B1024" s="1">
        <v>401.0</v>
      </c>
      <c r="C1024" s="1">
        <v>2.0</v>
      </c>
      <c r="D1024" s="1">
        <v>1.478929438E9</v>
      </c>
    </row>
    <row r="1025">
      <c r="A1025" s="1">
        <v>14125.0</v>
      </c>
      <c r="B1025" s="1">
        <v>401.0</v>
      </c>
      <c r="C1025" s="1">
        <v>2.0</v>
      </c>
      <c r="D1025" s="1">
        <v>1.478929462E9</v>
      </c>
    </row>
    <row r="1026">
      <c r="A1026" s="1">
        <v>14134.0</v>
      </c>
      <c r="B1026" s="1">
        <v>401.0</v>
      </c>
      <c r="C1026" s="1">
        <v>2.0</v>
      </c>
      <c r="D1026" s="1">
        <v>1.478930427E9</v>
      </c>
    </row>
    <row r="1027">
      <c r="A1027" s="1">
        <v>14147.0</v>
      </c>
      <c r="B1027" s="1">
        <v>401.0</v>
      </c>
      <c r="C1027" s="1">
        <v>2.0</v>
      </c>
      <c r="D1027" s="1">
        <v>1.478930497E9</v>
      </c>
    </row>
    <row r="1028">
      <c r="A1028" s="1">
        <v>14149.0</v>
      </c>
      <c r="B1028" s="1">
        <v>401.0</v>
      </c>
      <c r="C1028" s="1">
        <v>2.0</v>
      </c>
      <c r="D1028" s="1">
        <v>1.478930584E9</v>
      </c>
    </row>
    <row r="1029">
      <c r="A1029" s="1">
        <v>14160.0</v>
      </c>
      <c r="B1029" s="1">
        <v>401.0</v>
      </c>
      <c r="C1029" s="1">
        <v>2.0</v>
      </c>
      <c r="D1029" s="1">
        <v>1.478930899E9</v>
      </c>
    </row>
    <row r="1030">
      <c r="A1030" s="1">
        <v>14161.0</v>
      </c>
      <c r="B1030" s="1">
        <v>401.0</v>
      </c>
      <c r="C1030" s="1">
        <v>2.0</v>
      </c>
      <c r="D1030" s="1">
        <v>1.478930953E9</v>
      </c>
    </row>
    <row r="1031">
      <c r="A1031" s="1">
        <v>14162.0</v>
      </c>
      <c r="B1031" s="1">
        <v>401.0</v>
      </c>
      <c r="C1031" s="1">
        <v>2.0</v>
      </c>
      <c r="D1031" s="1">
        <v>1.478930954E9</v>
      </c>
    </row>
    <row r="1032">
      <c r="A1032" s="1">
        <v>14163.0</v>
      </c>
      <c r="B1032" s="1">
        <v>401.0</v>
      </c>
      <c r="C1032" s="1">
        <v>2.0</v>
      </c>
      <c r="D1032" s="1">
        <v>1.478930964E9</v>
      </c>
    </row>
    <row r="1033">
      <c r="A1033" s="1">
        <v>14168.0</v>
      </c>
      <c r="B1033" s="1">
        <v>401.0</v>
      </c>
      <c r="C1033" s="1">
        <v>2.0</v>
      </c>
      <c r="D1033" s="1">
        <v>1.478931559E9</v>
      </c>
    </row>
    <row r="1034">
      <c r="A1034" s="1">
        <v>14176.0</v>
      </c>
      <c r="B1034" s="1">
        <v>401.0</v>
      </c>
      <c r="C1034" s="1">
        <v>2.0</v>
      </c>
      <c r="D1034" s="1">
        <v>1.478931636E9</v>
      </c>
    </row>
    <row r="1035">
      <c r="A1035" s="1">
        <v>14191.0</v>
      </c>
      <c r="B1035" s="1">
        <v>401.0</v>
      </c>
      <c r="C1035" s="1">
        <v>2.0</v>
      </c>
      <c r="D1035" s="1">
        <v>1.478931966E9</v>
      </c>
    </row>
    <row r="1036">
      <c r="A1036" s="1">
        <v>14206.0</v>
      </c>
      <c r="B1036" s="1">
        <v>401.0</v>
      </c>
      <c r="C1036" s="1">
        <v>2.0</v>
      </c>
      <c r="D1036" s="1">
        <v>1.478933195E9</v>
      </c>
    </row>
    <row r="1037">
      <c r="A1037" s="1">
        <v>14219.0</v>
      </c>
      <c r="B1037" s="1">
        <v>401.0</v>
      </c>
      <c r="C1037" s="1">
        <v>2.0</v>
      </c>
      <c r="D1037" s="1">
        <v>1.478933241E9</v>
      </c>
    </row>
    <row r="1038">
      <c r="A1038" s="1">
        <v>14229.0</v>
      </c>
      <c r="B1038" s="1">
        <v>401.0</v>
      </c>
      <c r="C1038" s="1">
        <v>2.0</v>
      </c>
      <c r="D1038" s="1">
        <v>1.478933302E9</v>
      </c>
    </row>
    <row r="1039">
      <c r="A1039" s="1">
        <v>14239.0</v>
      </c>
      <c r="B1039" s="1">
        <v>401.0</v>
      </c>
      <c r="C1039" s="1">
        <v>2.0</v>
      </c>
      <c r="D1039" s="1">
        <v>1.478933819E9</v>
      </c>
    </row>
    <row r="1040">
      <c r="A1040" s="1">
        <v>14241.0</v>
      </c>
      <c r="B1040" s="1">
        <v>401.0</v>
      </c>
      <c r="C1040" s="1">
        <v>2.0</v>
      </c>
      <c r="D1040" s="1">
        <v>1.478933883E9</v>
      </c>
    </row>
    <row r="1041">
      <c r="A1041" s="1">
        <v>14243.0</v>
      </c>
      <c r="B1041" s="1">
        <v>401.0</v>
      </c>
      <c r="C1041" s="1">
        <v>2.0</v>
      </c>
      <c r="D1041" s="1">
        <v>1.478934405E9</v>
      </c>
    </row>
    <row r="1042">
      <c r="A1042" s="1">
        <v>14244.0</v>
      </c>
      <c r="B1042" s="1">
        <v>401.0</v>
      </c>
      <c r="C1042" s="1">
        <v>2.0</v>
      </c>
      <c r="D1042" s="1">
        <v>1.478934456E9</v>
      </c>
    </row>
    <row r="1043">
      <c r="A1043" s="1">
        <v>14245.0</v>
      </c>
      <c r="B1043" s="1">
        <v>401.0</v>
      </c>
      <c r="C1043" s="1">
        <v>2.0</v>
      </c>
      <c r="D1043" s="1">
        <v>1.478934463E9</v>
      </c>
    </row>
    <row r="1044">
      <c r="A1044" s="1">
        <v>14246.0</v>
      </c>
      <c r="B1044" s="1">
        <v>401.0</v>
      </c>
      <c r="C1044" s="1">
        <v>2.0</v>
      </c>
      <c r="D1044" s="1">
        <v>1.478934465E9</v>
      </c>
    </row>
    <row r="1045">
      <c r="A1045" s="1">
        <v>14249.0</v>
      </c>
      <c r="B1045" s="1">
        <v>401.0</v>
      </c>
      <c r="C1045" s="1">
        <v>2.0</v>
      </c>
      <c r="D1045" s="1">
        <v>1.478934769E9</v>
      </c>
    </row>
    <row r="1046">
      <c r="A1046" s="1">
        <v>14250.0</v>
      </c>
      <c r="B1046" s="1">
        <v>401.0</v>
      </c>
      <c r="C1046" s="1">
        <v>2.0</v>
      </c>
      <c r="D1046" s="1">
        <v>1.478934772E9</v>
      </c>
    </row>
    <row r="1047">
      <c r="A1047" s="1">
        <v>14251.0</v>
      </c>
      <c r="B1047" s="1">
        <v>401.0</v>
      </c>
      <c r="C1047" s="1">
        <v>2.0</v>
      </c>
      <c r="D1047" s="1">
        <v>1.478934773E9</v>
      </c>
    </row>
    <row r="1048">
      <c r="A1048" s="1">
        <v>14252.0</v>
      </c>
      <c r="B1048" s="1">
        <v>401.0</v>
      </c>
      <c r="C1048" s="1">
        <v>2.0</v>
      </c>
      <c r="D1048" s="1">
        <v>1.478934786E9</v>
      </c>
    </row>
    <row r="1049">
      <c r="A1049" s="1">
        <v>14263.0</v>
      </c>
      <c r="B1049" s="1">
        <v>401.0</v>
      </c>
      <c r="C1049" s="1">
        <v>2.0</v>
      </c>
      <c r="D1049" s="1">
        <v>1.478934911E9</v>
      </c>
    </row>
    <row r="1050">
      <c r="A1050" s="1">
        <v>14264.0</v>
      </c>
      <c r="B1050" s="1">
        <v>401.0</v>
      </c>
      <c r="C1050" s="1">
        <v>2.0</v>
      </c>
      <c r="D1050" s="1">
        <v>1.478935006E9</v>
      </c>
    </row>
    <row r="1051">
      <c r="A1051" s="1">
        <v>14265.0</v>
      </c>
      <c r="B1051" s="1">
        <v>401.0</v>
      </c>
      <c r="C1051" s="1">
        <v>2.0</v>
      </c>
      <c r="D1051" s="1">
        <v>1.47893502E9</v>
      </c>
    </row>
    <row r="1052">
      <c r="A1052" s="1">
        <v>14267.0</v>
      </c>
      <c r="B1052" s="1">
        <v>401.0</v>
      </c>
      <c r="C1052" s="1">
        <v>2.0</v>
      </c>
      <c r="D1052" s="1">
        <v>1.478935042E9</v>
      </c>
    </row>
    <row r="1053">
      <c r="A1053" s="1">
        <v>14268.0</v>
      </c>
      <c r="B1053" s="1">
        <v>401.0</v>
      </c>
      <c r="C1053" s="1">
        <v>2.0</v>
      </c>
      <c r="D1053" s="1">
        <v>1.478935048E9</v>
      </c>
    </row>
    <row r="1054">
      <c r="A1054" s="1">
        <v>14270.0</v>
      </c>
      <c r="B1054" s="1">
        <v>401.0</v>
      </c>
      <c r="C1054" s="1">
        <v>2.0</v>
      </c>
      <c r="D1054" s="1">
        <v>1.478935199E9</v>
      </c>
    </row>
    <row r="1055">
      <c r="A1055" s="1">
        <v>14272.0</v>
      </c>
      <c r="B1055" s="1">
        <v>401.0</v>
      </c>
      <c r="C1055" s="1">
        <v>2.0</v>
      </c>
      <c r="D1055" s="1">
        <v>1.4789355E9</v>
      </c>
    </row>
    <row r="1056">
      <c r="A1056" s="1">
        <v>14288.0</v>
      </c>
      <c r="B1056" s="1">
        <v>401.0</v>
      </c>
      <c r="C1056" s="1">
        <v>2.0</v>
      </c>
      <c r="D1056" s="1">
        <v>1.478935731E9</v>
      </c>
    </row>
    <row r="1057">
      <c r="A1057" s="1">
        <v>14289.0</v>
      </c>
      <c r="B1057" s="1">
        <v>401.0</v>
      </c>
      <c r="C1057" s="1">
        <v>2.0</v>
      </c>
      <c r="D1057" s="1">
        <v>1.478935764E9</v>
      </c>
    </row>
    <row r="1058">
      <c r="A1058" s="1">
        <v>14290.0</v>
      </c>
      <c r="B1058" s="1">
        <v>401.0</v>
      </c>
      <c r="C1058" s="1">
        <v>2.0</v>
      </c>
      <c r="D1058" s="1">
        <v>1.478935766E9</v>
      </c>
    </row>
    <row r="1059">
      <c r="A1059" s="1">
        <v>14291.0</v>
      </c>
      <c r="B1059" s="1">
        <v>401.0</v>
      </c>
      <c r="C1059" s="1">
        <v>2.0</v>
      </c>
      <c r="D1059" s="1">
        <v>1.478935909E9</v>
      </c>
    </row>
    <row r="1060">
      <c r="A1060" s="1">
        <v>14294.0</v>
      </c>
      <c r="B1060" s="1">
        <v>401.0</v>
      </c>
      <c r="C1060" s="1">
        <v>2.0</v>
      </c>
      <c r="D1060" s="1">
        <v>1.478936032E9</v>
      </c>
    </row>
    <row r="1061">
      <c r="A1061" s="1">
        <v>14323.0</v>
      </c>
      <c r="B1061" s="1">
        <v>401.0</v>
      </c>
      <c r="C1061" s="1">
        <v>2.0</v>
      </c>
      <c r="D1061" s="1">
        <v>1.478936307E9</v>
      </c>
    </row>
    <row r="1062">
      <c r="A1062" s="1">
        <v>14324.0</v>
      </c>
      <c r="B1062" s="1">
        <v>401.0</v>
      </c>
      <c r="C1062" s="1">
        <v>2.0</v>
      </c>
      <c r="D1062" s="1">
        <v>1.478936723E9</v>
      </c>
    </row>
    <row r="1063">
      <c r="A1063" s="1">
        <v>14328.0</v>
      </c>
      <c r="B1063" s="1">
        <v>401.0</v>
      </c>
      <c r="C1063" s="1">
        <v>2.0</v>
      </c>
      <c r="D1063" s="1">
        <v>1.4789369E9</v>
      </c>
    </row>
    <row r="1064">
      <c r="A1064" s="1">
        <v>14331.0</v>
      </c>
      <c r="B1064" s="1">
        <v>401.0</v>
      </c>
      <c r="C1064" s="1">
        <v>2.0</v>
      </c>
      <c r="D1064" s="1">
        <v>1.478937044E9</v>
      </c>
    </row>
    <row r="1065">
      <c r="A1065" s="1">
        <v>14332.0</v>
      </c>
      <c r="B1065" s="1">
        <v>401.0</v>
      </c>
      <c r="C1065" s="1">
        <v>2.0</v>
      </c>
      <c r="D1065" s="1">
        <v>1.47893705E9</v>
      </c>
    </row>
    <row r="1066">
      <c r="A1066" s="1">
        <v>14333.0</v>
      </c>
      <c r="B1066" s="1">
        <v>401.0</v>
      </c>
      <c r="C1066" s="1">
        <v>2.0</v>
      </c>
      <c r="D1066" s="1">
        <v>1.478937051E9</v>
      </c>
    </row>
    <row r="1067">
      <c r="A1067" s="1">
        <v>14334.0</v>
      </c>
      <c r="B1067" s="1">
        <v>401.0</v>
      </c>
      <c r="C1067" s="1">
        <v>2.0</v>
      </c>
      <c r="D1067" s="1">
        <v>1.478937053E9</v>
      </c>
    </row>
    <row r="1068">
      <c r="A1068" s="1">
        <v>14335.0</v>
      </c>
      <c r="B1068" s="1">
        <v>401.0</v>
      </c>
      <c r="C1068" s="1">
        <v>2.0</v>
      </c>
      <c r="D1068" s="1">
        <v>1.478937054E9</v>
      </c>
    </row>
    <row r="1069">
      <c r="A1069" s="1">
        <v>14336.0</v>
      </c>
      <c r="B1069" s="1">
        <v>401.0</v>
      </c>
      <c r="C1069" s="1">
        <v>2.0</v>
      </c>
      <c r="D1069" s="1">
        <v>1.478937056E9</v>
      </c>
    </row>
    <row r="1070">
      <c r="A1070" s="1">
        <v>14337.0</v>
      </c>
      <c r="B1070" s="1">
        <v>401.0</v>
      </c>
      <c r="C1070" s="1">
        <v>2.0</v>
      </c>
      <c r="D1070" s="1">
        <v>1.478937058E9</v>
      </c>
    </row>
    <row r="1071">
      <c r="A1071" s="1">
        <v>14338.0</v>
      </c>
      <c r="B1071" s="1">
        <v>401.0</v>
      </c>
      <c r="C1071" s="1">
        <v>2.0</v>
      </c>
      <c r="D1071" s="1">
        <v>1.478937058E9</v>
      </c>
    </row>
    <row r="1072">
      <c r="A1072" s="1">
        <v>14344.0</v>
      </c>
      <c r="B1072" s="1">
        <v>401.0</v>
      </c>
      <c r="C1072" s="1">
        <v>2.0</v>
      </c>
      <c r="D1072" s="1">
        <v>1.478937289E9</v>
      </c>
    </row>
    <row r="1073">
      <c r="A1073" s="1">
        <v>14345.0</v>
      </c>
      <c r="B1073" s="1">
        <v>401.0</v>
      </c>
      <c r="C1073" s="1">
        <v>2.0</v>
      </c>
      <c r="D1073" s="1">
        <v>1.47893729E9</v>
      </c>
    </row>
    <row r="1074">
      <c r="A1074" s="1">
        <v>14346.0</v>
      </c>
      <c r="B1074" s="1">
        <v>401.0</v>
      </c>
      <c r="C1074" s="1">
        <v>2.0</v>
      </c>
      <c r="D1074" s="1">
        <v>1.47893729E9</v>
      </c>
    </row>
    <row r="1075">
      <c r="A1075" s="1">
        <v>14347.0</v>
      </c>
      <c r="B1075" s="1">
        <v>401.0</v>
      </c>
      <c r="C1075" s="1">
        <v>2.0</v>
      </c>
      <c r="D1075" s="1">
        <v>1.478937297E9</v>
      </c>
    </row>
    <row r="1076">
      <c r="A1076" s="1">
        <v>14349.0</v>
      </c>
      <c r="B1076" s="1">
        <v>401.0</v>
      </c>
      <c r="C1076" s="1">
        <v>2.0</v>
      </c>
      <c r="D1076" s="1">
        <v>1.478937305E9</v>
      </c>
    </row>
    <row r="1077">
      <c r="A1077" s="1">
        <v>14350.0</v>
      </c>
      <c r="B1077" s="1">
        <v>401.0</v>
      </c>
      <c r="C1077" s="1">
        <v>2.0</v>
      </c>
      <c r="D1077" s="1">
        <v>1.478937314E9</v>
      </c>
    </row>
    <row r="1078">
      <c r="A1078" s="1">
        <v>14354.0</v>
      </c>
      <c r="B1078" s="1">
        <v>401.0</v>
      </c>
      <c r="C1078" s="1">
        <v>2.0</v>
      </c>
      <c r="D1078" s="1">
        <v>1.478937653E9</v>
      </c>
    </row>
    <row r="1079">
      <c r="A1079" s="1">
        <v>14355.0</v>
      </c>
      <c r="B1079" s="1">
        <v>401.0</v>
      </c>
      <c r="C1079" s="1">
        <v>2.0</v>
      </c>
      <c r="D1079" s="1">
        <v>1.478937662E9</v>
      </c>
    </row>
    <row r="1080">
      <c r="A1080" s="1">
        <v>14358.0</v>
      </c>
      <c r="B1080" s="1">
        <v>401.0</v>
      </c>
      <c r="C1080" s="1">
        <v>2.0</v>
      </c>
      <c r="D1080" s="1">
        <v>1.478937697E9</v>
      </c>
    </row>
    <row r="1081">
      <c r="A1081" s="1">
        <v>14362.0</v>
      </c>
      <c r="B1081" s="1">
        <v>403.0</v>
      </c>
      <c r="C1081" s="1">
        <v>2.0</v>
      </c>
      <c r="D1081" s="1">
        <v>1.478937949E9</v>
      </c>
    </row>
    <row r="1082">
      <c r="A1082" s="1">
        <v>14365.0</v>
      </c>
      <c r="B1082" s="1">
        <v>401.0</v>
      </c>
      <c r="C1082" s="1">
        <v>2.0</v>
      </c>
      <c r="D1082" s="1">
        <v>1.478938277E9</v>
      </c>
    </row>
    <row r="1083">
      <c r="A1083" s="1">
        <v>14376.0</v>
      </c>
      <c r="B1083" s="1">
        <v>401.0</v>
      </c>
      <c r="C1083" s="1">
        <v>2.0</v>
      </c>
      <c r="D1083" s="1">
        <v>1.478938381E9</v>
      </c>
    </row>
    <row r="1084">
      <c r="A1084" s="1">
        <v>14387.0</v>
      </c>
      <c r="B1084" s="1">
        <v>403.0</v>
      </c>
      <c r="C1084" s="1">
        <v>2.0</v>
      </c>
      <c r="D1084" s="1">
        <v>1.478938878E9</v>
      </c>
    </row>
    <row r="1085">
      <c r="A1085" s="1">
        <v>14389.0</v>
      </c>
      <c r="B1085" s="1">
        <v>403.0</v>
      </c>
      <c r="C1085" s="1">
        <v>2.0</v>
      </c>
      <c r="D1085" s="1">
        <v>1.47893982E9</v>
      </c>
    </row>
    <row r="1086">
      <c r="A1086" s="1">
        <v>14390.0</v>
      </c>
      <c r="B1086" s="1">
        <v>404.0</v>
      </c>
      <c r="C1086" s="1">
        <v>2.0</v>
      </c>
      <c r="D1086" s="1">
        <v>1.478939825E9</v>
      </c>
    </row>
    <row r="1087">
      <c r="A1087" s="1">
        <v>14393.0</v>
      </c>
      <c r="B1087" s="1">
        <v>405.0</v>
      </c>
      <c r="C1087" s="1">
        <v>2.0</v>
      </c>
      <c r="D1087" s="1">
        <v>1.478939852E9</v>
      </c>
    </row>
    <row r="1088">
      <c r="A1088" s="1">
        <v>14395.0</v>
      </c>
      <c r="B1088" s="1">
        <v>405.0</v>
      </c>
      <c r="C1088" s="1">
        <v>2.0</v>
      </c>
      <c r="D1088" s="1">
        <v>1.478939869E9</v>
      </c>
    </row>
    <row r="1089">
      <c r="A1089" s="1">
        <v>14399.0</v>
      </c>
      <c r="B1089" s="1">
        <v>403.0</v>
      </c>
      <c r="C1089" s="1">
        <v>2.0</v>
      </c>
      <c r="D1089" s="1">
        <v>1.47894005E9</v>
      </c>
    </row>
    <row r="1090">
      <c r="A1090" s="1">
        <v>14402.0</v>
      </c>
      <c r="B1090" s="1">
        <v>403.0</v>
      </c>
      <c r="C1090" s="1">
        <v>2.0</v>
      </c>
      <c r="D1090" s="1">
        <v>1.478940102E9</v>
      </c>
    </row>
    <row r="1091">
      <c r="A1091" s="1">
        <v>14403.0</v>
      </c>
      <c r="B1091" s="1">
        <v>403.0</v>
      </c>
      <c r="C1091" s="1">
        <v>2.0</v>
      </c>
      <c r="D1091" s="1">
        <v>1.478940206E9</v>
      </c>
    </row>
    <row r="1092">
      <c r="A1092" s="1">
        <v>14408.0</v>
      </c>
      <c r="B1092" s="1">
        <v>403.0</v>
      </c>
      <c r="C1092" s="1">
        <v>2.0</v>
      </c>
      <c r="D1092" s="1">
        <v>1.478940413E9</v>
      </c>
    </row>
    <row r="1093">
      <c r="A1093" s="1">
        <v>14409.0</v>
      </c>
      <c r="B1093" s="1">
        <v>403.0</v>
      </c>
      <c r="C1093" s="1">
        <v>2.0</v>
      </c>
      <c r="D1093" s="1">
        <v>1.478940414E9</v>
      </c>
    </row>
    <row r="1094">
      <c r="A1094" s="1">
        <v>14413.0</v>
      </c>
      <c r="B1094" s="1">
        <v>403.0</v>
      </c>
      <c r="C1094" s="1">
        <v>2.0</v>
      </c>
      <c r="D1094" s="1">
        <v>1.478940612E9</v>
      </c>
    </row>
    <row r="1095">
      <c r="A1095" s="1">
        <v>14414.0</v>
      </c>
      <c r="B1095" s="1">
        <v>403.0</v>
      </c>
      <c r="C1095" s="1">
        <v>2.0</v>
      </c>
      <c r="D1095" s="1">
        <v>1.478940618E9</v>
      </c>
    </row>
    <row r="1096">
      <c r="A1096" s="1">
        <v>14423.0</v>
      </c>
      <c r="B1096" s="1">
        <v>403.0</v>
      </c>
      <c r="C1096" s="1">
        <v>2.0</v>
      </c>
      <c r="D1096" s="1">
        <v>1.47894069E9</v>
      </c>
    </row>
    <row r="1097">
      <c r="A1097" s="1">
        <v>14429.0</v>
      </c>
      <c r="B1097" s="1">
        <v>401.0</v>
      </c>
      <c r="C1097" s="1">
        <v>2.0</v>
      </c>
      <c r="D1097" s="1">
        <v>1.47894089E9</v>
      </c>
    </row>
    <row r="1098">
      <c r="A1098" s="1">
        <v>14432.0</v>
      </c>
      <c r="B1098" s="1">
        <v>403.0</v>
      </c>
      <c r="C1098" s="1">
        <v>2.0</v>
      </c>
      <c r="D1098" s="1">
        <v>1.478940949E9</v>
      </c>
    </row>
    <row r="1099">
      <c r="A1099" s="1">
        <v>14439.0</v>
      </c>
      <c r="B1099" s="1">
        <v>403.0</v>
      </c>
      <c r="C1099" s="1">
        <v>10135.0</v>
      </c>
      <c r="D1099" s="1">
        <v>1.478955548E9</v>
      </c>
    </row>
    <row r="1100">
      <c r="A1100" s="1">
        <v>14441.0</v>
      </c>
      <c r="B1100" s="1">
        <v>403.0</v>
      </c>
      <c r="C1100" s="1">
        <v>10135.0</v>
      </c>
      <c r="D1100" s="1">
        <v>1.478955731E9</v>
      </c>
    </row>
    <row r="1101">
      <c r="A1101" s="1">
        <v>14442.0</v>
      </c>
      <c r="B1101" s="1">
        <v>403.0</v>
      </c>
      <c r="C1101" s="1">
        <v>10135.0</v>
      </c>
      <c r="D1101" s="1">
        <v>1.478955784E9</v>
      </c>
    </row>
    <row r="1102">
      <c r="A1102" s="1">
        <v>14443.0</v>
      </c>
      <c r="B1102" s="1">
        <v>403.0</v>
      </c>
      <c r="C1102" s="1">
        <v>10135.0</v>
      </c>
      <c r="D1102" s="1">
        <v>1.478955788E9</v>
      </c>
    </row>
    <row r="1103">
      <c r="A1103" s="1">
        <v>14445.0</v>
      </c>
      <c r="B1103" s="1">
        <v>401.0</v>
      </c>
      <c r="C1103" s="1">
        <v>10135.0</v>
      </c>
      <c r="D1103" s="1">
        <v>1.478955795E9</v>
      </c>
    </row>
    <row r="1104">
      <c r="A1104" s="1">
        <v>14447.0</v>
      </c>
      <c r="B1104" s="1">
        <v>401.0</v>
      </c>
      <c r="C1104" s="1">
        <v>10135.0</v>
      </c>
      <c r="D1104" s="1">
        <v>1.478955828E9</v>
      </c>
    </row>
    <row r="1105">
      <c r="A1105" s="1">
        <v>14448.0</v>
      </c>
      <c r="B1105" s="1">
        <v>401.0</v>
      </c>
      <c r="C1105" s="1">
        <v>10135.0</v>
      </c>
      <c r="D1105" s="1">
        <v>1.478955833E9</v>
      </c>
    </row>
    <row r="1106">
      <c r="A1106" s="1">
        <v>14450.0</v>
      </c>
      <c r="B1106" s="1">
        <v>403.0</v>
      </c>
      <c r="C1106" s="1">
        <v>10135.0</v>
      </c>
      <c r="D1106" s="1">
        <v>1.478955842E9</v>
      </c>
    </row>
    <row r="1107">
      <c r="A1107" s="1">
        <v>14451.0</v>
      </c>
      <c r="B1107" s="1">
        <v>403.0</v>
      </c>
      <c r="C1107" s="1">
        <v>10135.0</v>
      </c>
      <c r="D1107" s="1">
        <v>1.478955856E9</v>
      </c>
    </row>
    <row r="1108">
      <c r="A1108" s="1">
        <v>14453.0</v>
      </c>
      <c r="B1108" s="1">
        <v>401.0</v>
      </c>
      <c r="C1108" s="1">
        <v>10135.0</v>
      </c>
      <c r="D1108" s="1">
        <v>1.478955862E9</v>
      </c>
    </row>
    <row r="1109">
      <c r="A1109" s="1">
        <v>14465.0</v>
      </c>
      <c r="B1109" s="1">
        <v>403.0</v>
      </c>
      <c r="C1109" s="1">
        <v>10135.0</v>
      </c>
      <c r="D1109" s="1">
        <v>1.478955933E9</v>
      </c>
    </row>
    <row r="1110">
      <c r="A1110" s="1">
        <v>14482.0</v>
      </c>
      <c r="B1110" s="1">
        <v>401.0</v>
      </c>
      <c r="C1110" s="1">
        <v>10135.0</v>
      </c>
      <c r="D1110" s="1">
        <v>1.478956328E9</v>
      </c>
    </row>
    <row r="1111">
      <c r="A1111" s="1">
        <v>14485.0</v>
      </c>
      <c r="B1111" s="1">
        <v>404.0</v>
      </c>
      <c r="C1111" s="1">
        <v>10135.0</v>
      </c>
      <c r="D1111" s="1">
        <v>1.47895634E9</v>
      </c>
    </row>
    <row r="1112">
      <c r="A1112" s="1">
        <v>14488.0</v>
      </c>
      <c r="B1112" s="1">
        <v>405.0</v>
      </c>
      <c r="C1112" s="1">
        <v>10135.0</v>
      </c>
      <c r="D1112" s="1">
        <v>1.478956813E9</v>
      </c>
    </row>
    <row r="1113">
      <c r="A1113" s="1">
        <v>14490.0</v>
      </c>
      <c r="B1113" s="1">
        <v>404.0</v>
      </c>
      <c r="C1113" s="1">
        <v>10135.0</v>
      </c>
      <c r="D1113" s="1">
        <v>1.478957064E9</v>
      </c>
    </row>
    <row r="1114">
      <c r="A1114" s="1">
        <v>14491.0</v>
      </c>
      <c r="B1114" s="1">
        <v>401.0</v>
      </c>
      <c r="C1114" s="1">
        <v>10135.0</v>
      </c>
      <c r="D1114" s="1">
        <v>1.478957379E9</v>
      </c>
    </row>
    <row r="1115">
      <c r="A1115" s="1">
        <v>14493.0</v>
      </c>
      <c r="B1115" s="1">
        <v>405.0</v>
      </c>
      <c r="C1115" s="1">
        <v>10135.0</v>
      </c>
      <c r="D1115" s="1">
        <v>1.478958335E9</v>
      </c>
    </row>
    <row r="1116">
      <c r="A1116" s="1">
        <v>14499.0</v>
      </c>
      <c r="B1116" s="1">
        <v>401.0</v>
      </c>
      <c r="C1116" s="1">
        <v>2.0</v>
      </c>
      <c r="D1116" s="1">
        <v>1.478961178E9</v>
      </c>
    </row>
    <row r="1117">
      <c r="A1117" s="1">
        <v>14500.0</v>
      </c>
      <c r="B1117" s="1">
        <v>401.0</v>
      </c>
      <c r="C1117" s="1">
        <v>2.0</v>
      </c>
      <c r="D1117" s="1">
        <v>1.478961182E9</v>
      </c>
    </row>
    <row r="1118">
      <c r="A1118" s="1">
        <v>14505.0</v>
      </c>
      <c r="B1118" s="1">
        <v>403.0</v>
      </c>
      <c r="C1118" s="1">
        <v>2.0</v>
      </c>
      <c r="D1118" s="1">
        <v>1.47896197E9</v>
      </c>
    </row>
    <row r="1119">
      <c r="A1119" s="1">
        <v>14514.0</v>
      </c>
      <c r="B1119" s="1">
        <v>403.0</v>
      </c>
      <c r="C1119" s="1">
        <v>2.0</v>
      </c>
      <c r="D1119" s="1">
        <v>1.478962583E9</v>
      </c>
    </row>
    <row r="1120">
      <c r="A1120" s="1">
        <v>14515.0</v>
      </c>
      <c r="B1120" s="1">
        <v>403.0</v>
      </c>
      <c r="C1120" s="1">
        <v>2.0</v>
      </c>
      <c r="D1120" s="1">
        <v>1.478962592E9</v>
      </c>
    </row>
    <row r="1121">
      <c r="A1121" s="1">
        <v>14517.0</v>
      </c>
      <c r="B1121" s="1">
        <v>403.0</v>
      </c>
      <c r="C1121" s="1">
        <v>2.0</v>
      </c>
      <c r="D1121" s="1">
        <v>1.478962617E9</v>
      </c>
    </row>
    <row r="1122">
      <c r="A1122" s="1">
        <v>14518.0</v>
      </c>
      <c r="B1122" s="1">
        <v>403.0</v>
      </c>
      <c r="C1122" s="1">
        <v>2.0</v>
      </c>
      <c r="D1122" s="1">
        <v>1.478963286E9</v>
      </c>
    </row>
    <row r="1123">
      <c r="A1123" s="1">
        <v>14519.0</v>
      </c>
      <c r="B1123" s="1">
        <v>403.0</v>
      </c>
      <c r="C1123" s="1">
        <v>2.0</v>
      </c>
      <c r="D1123" s="1">
        <v>1.478963287E9</v>
      </c>
    </row>
    <row r="1124">
      <c r="A1124" s="1">
        <v>14520.0</v>
      </c>
      <c r="B1124" s="1">
        <v>403.0</v>
      </c>
      <c r="C1124" s="1">
        <v>2.0</v>
      </c>
      <c r="D1124" s="1">
        <v>1.478963287E9</v>
      </c>
    </row>
    <row r="1125">
      <c r="A1125" s="1">
        <v>14521.0</v>
      </c>
      <c r="B1125" s="1">
        <v>403.0</v>
      </c>
      <c r="C1125" s="1">
        <v>2.0</v>
      </c>
      <c r="D1125" s="1">
        <v>1.478963288E9</v>
      </c>
    </row>
    <row r="1126">
      <c r="A1126" s="1">
        <v>14522.0</v>
      </c>
      <c r="B1126" s="1">
        <v>403.0</v>
      </c>
      <c r="C1126" s="1">
        <v>2.0</v>
      </c>
      <c r="D1126" s="1">
        <v>1.47896329E9</v>
      </c>
    </row>
    <row r="1127">
      <c r="A1127" s="1">
        <v>14523.0</v>
      </c>
      <c r="B1127" s="1">
        <v>403.0</v>
      </c>
      <c r="C1127" s="1">
        <v>2.0</v>
      </c>
      <c r="D1127" s="1">
        <v>1.478963291E9</v>
      </c>
    </row>
    <row r="1128">
      <c r="A1128" s="1">
        <v>14524.0</v>
      </c>
      <c r="B1128" s="1">
        <v>403.0</v>
      </c>
      <c r="C1128" s="1">
        <v>2.0</v>
      </c>
      <c r="D1128" s="1">
        <v>1.478963292E9</v>
      </c>
    </row>
    <row r="1129">
      <c r="A1129" s="1">
        <v>14525.0</v>
      </c>
      <c r="B1129" s="1">
        <v>403.0</v>
      </c>
      <c r="C1129" s="1">
        <v>2.0</v>
      </c>
      <c r="D1129" s="1">
        <v>1.478963295E9</v>
      </c>
    </row>
    <row r="1130">
      <c r="A1130" s="1">
        <v>14526.0</v>
      </c>
      <c r="B1130" s="1">
        <v>403.0</v>
      </c>
      <c r="C1130" s="1">
        <v>2.0</v>
      </c>
      <c r="D1130" s="1">
        <v>1.478963297E9</v>
      </c>
    </row>
    <row r="1131">
      <c r="A1131" s="1">
        <v>14527.0</v>
      </c>
      <c r="B1131" s="1">
        <v>403.0</v>
      </c>
      <c r="C1131" s="1">
        <v>2.0</v>
      </c>
      <c r="D1131" s="1">
        <v>1.478963299E9</v>
      </c>
    </row>
    <row r="1132">
      <c r="A1132" s="1">
        <v>14528.0</v>
      </c>
      <c r="B1132" s="1">
        <v>403.0</v>
      </c>
      <c r="C1132" s="1">
        <v>2.0</v>
      </c>
      <c r="D1132" s="1">
        <v>1.478963302E9</v>
      </c>
    </row>
    <row r="1133">
      <c r="A1133" s="1">
        <v>14529.0</v>
      </c>
      <c r="B1133" s="1">
        <v>403.0</v>
      </c>
      <c r="C1133" s="1">
        <v>2.0</v>
      </c>
      <c r="D1133" s="1">
        <v>1.478963304E9</v>
      </c>
    </row>
    <row r="1134">
      <c r="A1134" s="1">
        <v>14530.0</v>
      </c>
      <c r="B1134" s="1">
        <v>403.0</v>
      </c>
      <c r="C1134" s="1">
        <v>2.0</v>
      </c>
      <c r="D1134" s="1">
        <v>1.478963305E9</v>
      </c>
    </row>
    <row r="1135">
      <c r="A1135" s="1">
        <v>14531.0</v>
      </c>
      <c r="B1135" s="1">
        <v>403.0</v>
      </c>
      <c r="C1135" s="1">
        <v>2.0</v>
      </c>
      <c r="D1135" s="1">
        <v>1.478963307E9</v>
      </c>
    </row>
    <row r="1136">
      <c r="A1136" s="1">
        <v>14533.0</v>
      </c>
      <c r="B1136" s="1">
        <v>403.0</v>
      </c>
      <c r="C1136" s="1">
        <v>2.0</v>
      </c>
      <c r="D1136" s="1">
        <v>1.478963321E9</v>
      </c>
    </row>
    <row r="1137">
      <c r="A1137" s="1">
        <v>14535.0</v>
      </c>
      <c r="B1137" s="1">
        <v>403.0</v>
      </c>
      <c r="C1137" s="1">
        <v>2.0</v>
      </c>
      <c r="D1137" s="1">
        <v>1.478963336E9</v>
      </c>
    </row>
    <row r="1138">
      <c r="A1138" s="1">
        <v>14537.0</v>
      </c>
      <c r="B1138" s="1">
        <v>403.0</v>
      </c>
      <c r="C1138" s="1">
        <v>2.0</v>
      </c>
      <c r="D1138" s="1">
        <v>1.478963346E9</v>
      </c>
    </row>
    <row r="1139">
      <c r="A1139" s="1">
        <v>14557.0</v>
      </c>
      <c r="B1139" s="1">
        <v>403.0</v>
      </c>
      <c r="C1139" s="1">
        <v>2.0</v>
      </c>
      <c r="D1139" s="1">
        <v>1.478964508E9</v>
      </c>
    </row>
    <row r="1140">
      <c r="A1140" s="1">
        <v>14561.0</v>
      </c>
      <c r="B1140" s="1">
        <v>404.0</v>
      </c>
      <c r="C1140" s="1">
        <v>10144.0</v>
      </c>
      <c r="D1140" s="1">
        <v>1.478964527E9</v>
      </c>
    </row>
    <row r="1141">
      <c r="A1141" s="1">
        <v>14563.0</v>
      </c>
      <c r="B1141" s="1">
        <v>404.0</v>
      </c>
      <c r="C1141" s="1">
        <v>10144.0</v>
      </c>
      <c r="D1141" s="1">
        <v>1.478964538E9</v>
      </c>
    </row>
    <row r="1142">
      <c r="A1142" s="1">
        <v>14570.0</v>
      </c>
      <c r="B1142" s="1">
        <v>403.0</v>
      </c>
      <c r="C1142" s="1">
        <v>10144.0</v>
      </c>
      <c r="D1142" s="1">
        <v>1.478964896E9</v>
      </c>
    </row>
    <row r="1143">
      <c r="A1143" s="1">
        <v>14572.0</v>
      </c>
      <c r="B1143" s="1">
        <v>403.0</v>
      </c>
      <c r="C1143" s="1">
        <v>2.0</v>
      </c>
      <c r="D1143" s="1">
        <v>1.478965164E9</v>
      </c>
    </row>
    <row r="1144">
      <c r="A1144" s="1">
        <v>14573.0</v>
      </c>
      <c r="B1144" s="1">
        <v>403.0</v>
      </c>
      <c r="C1144" s="1">
        <v>2.0</v>
      </c>
      <c r="D1144" s="1">
        <v>1.47896517E9</v>
      </c>
    </row>
    <row r="1145">
      <c r="A1145" s="1">
        <v>14576.0</v>
      </c>
      <c r="B1145" s="1">
        <v>403.0</v>
      </c>
      <c r="C1145" s="1">
        <v>2.0</v>
      </c>
      <c r="D1145" s="1">
        <v>1.47896521E9</v>
      </c>
    </row>
    <row r="1146">
      <c r="A1146" s="1">
        <v>14577.0</v>
      </c>
      <c r="B1146" s="1">
        <v>403.0</v>
      </c>
      <c r="C1146" s="1">
        <v>2.0</v>
      </c>
      <c r="D1146" s="1">
        <v>1.478965214E9</v>
      </c>
    </row>
    <row r="1147">
      <c r="A1147" s="1">
        <v>14579.0</v>
      </c>
      <c r="B1147" s="1">
        <v>403.0</v>
      </c>
      <c r="C1147" s="1">
        <v>2.0</v>
      </c>
      <c r="D1147" s="1">
        <v>1.478965235E9</v>
      </c>
    </row>
    <row r="1148">
      <c r="A1148" s="1">
        <v>14580.0</v>
      </c>
      <c r="B1148" s="1">
        <v>403.0</v>
      </c>
      <c r="C1148" s="1">
        <v>2.0</v>
      </c>
      <c r="D1148" s="1">
        <v>1.478965243E9</v>
      </c>
    </row>
    <row r="1149">
      <c r="A1149" s="1">
        <v>14581.0</v>
      </c>
      <c r="B1149" s="1">
        <v>403.0</v>
      </c>
      <c r="C1149" s="1">
        <v>2.0</v>
      </c>
      <c r="D1149" s="1">
        <v>1.478965248E9</v>
      </c>
    </row>
    <row r="1150">
      <c r="A1150" s="1">
        <v>14582.0</v>
      </c>
      <c r="B1150" s="1">
        <v>403.0</v>
      </c>
      <c r="C1150" s="1">
        <v>2.0</v>
      </c>
      <c r="D1150" s="1">
        <v>1.478965255E9</v>
      </c>
    </row>
    <row r="1151">
      <c r="A1151" s="1">
        <v>14583.0</v>
      </c>
      <c r="B1151" s="1">
        <v>403.0</v>
      </c>
      <c r="C1151" s="1">
        <v>2.0</v>
      </c>
      <c r="D1151" s="1">
        <v>1.478965266E9</v>
      </c>
    </row>
    <row r="1152">
      <c r="A1152" s="1">
        <v>14584.0</v>
      </c>
      <c r="B1152" s="1">
        <v>403.0</v>
      </c>
      <c r="C1152" s="1">
        <v>2.0</v>
      </c>
      <c r="D1152" s="1">
        <v>1.478965273E9</v>
      </c>
    </row>
    <row r="1153">
      <c r="A1153" s="1">
        <v>14597.0</v>
      </c>
      <c r="B1153" s="1">
        <v>403.0</v>
      </c>
      <c r="C1153" s="1">
        <v>2.0</v>
      </c>
      <c r="D1153" s="1">
        <v>1.478965906E9</v>
      </c>
    </row>
    <row r="1154">
      <c r="A1154" s="1">
        <v>14598.0</v>
      </c>
      <c r="B1154" s="1">
        <v>403.0</v>
      </c>
      <c r="C1154" s="1">
        <v>2.0</v>
      </c>
      <c r="D1154" s="1">
        <v>1.47896591E9</v>
      </c>
    </row>
    <row r="1155">
      <c r="A1155" s="1">
        <v>14608.0</v>
      </c>
      <c r="B1155" s="1">
        <v>403.0</v>
      </c>
      <c r="C1155" s="1">
        <v>2.0</v>
      </c>
      <c r="D1155" s="1">
        <v>1.478966145E9</v>
      </c>
    </row>
    <row r="1156">
      <c r="A1156" s="1">
        <v>14609.0</v>
      </c>
      <c r="B1156" s="1">
        <v>403.0</v>
      </c>
      <c r="C1156" s="1">
        <v>2.0</v>
      </c>
      <c r="D1156" s="1">
        <v>1.478966146E9</v>
      </c>
    </row>
    <row r="1157">
      <c r="A1157" s="1">
        <v>14610.0</v>
      </c>
      <c r="B1157" s="1">
        <v>403.0</v>
      </c>
      <c r="C1157" s="1">
        <v>2.0</v>
      </c>
      <c r="D1157" s="1">
        <v>1.478966147E9</v>
      </c>
    </row>
    <row r="1158">
      <c r="A1158" s="1">
        <v>14611.0</v>
      </c>
      <c r="B1158" s="1">
        <v>403.0</v>
      </c>
      <c r="C1158" s="1">
        <v>2.0</v>
      </c>
      <c r="D1158" s="1">
        <v>1.478966148E9</v>
      </c>
    </row>
    <row r="1159">
      <c r="A1159" s="1">
        <v>14612.0</v>
      </c>
      <c r="B1159" s="1">
        <v>403.0</v>
      </c>
      <c r="C1159" s="1">
        <v>2.0</v>
      </c>
      <c r="D1159" s="1">
        <v>1.478966151E9</v>
      </c>
    </row>
    <row r="1160">
      <c r="A1160" s="1">
        <v>14613.0</v>
      </c>
      <c r="B1160" s="1">
        <v>403.0</v>
      </c>
      <c r="C1160" s="1">
        <v>2.0</v>
      </c>
      <c r="D1160" s="1">
        <v>1.478966152E9</v>
      </c>
    </row>
    <row r="1161">
      <c r="A1161" s="1">
        <v>14614.0</v>
      </c>
      <c r="B1161" s="1">
        <v>403.0</v>
      </c>
      <c r="C1161" s="1">
        <v>2.0</v>
      </c>
      <c r="D1161" s="1">
        <v>1.478966152E9</v>
      </c>
    </row>
    <row r="1162">
      <c r="A1162" s="1">
        <v>14615.0</v>
      </c>
      <c r="B1162" s="1">
        <v>403.0</v>
      </c>
      <c r="C1162" s="1">
        <v>2.0</v>
      </c>
      <c r="D1162" s="1">
        <v>1.478966156E9</v>
      </c>
    </row>
    <row r="1163">
      <c r="A1163" s="1">
        <v>14616.0</v>
      </c>
      <c r="B1163" s="1">
        <v>403.0</v>
      </c>
      <c r="C1163" s="1">
        <v>2.0</v>
      </c>
      <c r="D1163" s="1">
        <v>1.478966156E9</v>
      </c>
    </row>
    <row r="1164">
      <c r="A1164" s="1">
        <v>14617.0</v>
      </c>
      <c r="B1164" s="1">
        <v>403.0</v>
      </c>
      <c r="C1164" s="1">
        <v>2.0</v>
      </c>
      <c r="D1164" s="1">
        <v>1.478966159E9</v>
      </c>
    </row>
    <row r="1165">
      <c r="A1165" s="1">
        <v>14618.0</v>
      </c>
      <c r="B1165" s="1">
        <v>403.0</v>
      </c>
      <c r="C1165" s="1">
        <v>2.0</v>
      </c>
      <c r="D1165" s="1">
        <v>1.478966161E9</v>
      </c>
    </row>
    <row r="1166">
      <c r="A1166" s="1">
        <v>14619.0</v>
      </c>
      <c r="B1166" s="1">
        <v>403.0</v>
      </c>
      <c r="C1166" s="1">
        <v>2.0</v>
      </c>
      <c r="D1166" s="1">
        <v>1.478966164E9</v>
      </c>
    </row>
    <row r="1167">
      <c r="A1167" s="1">
        <v>14620.0</v>
      </c>
      <c r="B1167" s="1">
        <v>403.0</v>
      </c>
      <c r="C1167" s="1">
        <v>2.0</v>
      </c>
      <c r="D1167" s="1">
        <v>1.478966166E9</v>
      </c>
    </row>
    <row r="1168">
      <c r="A1168" s="1">
        <v>14621.0</v>
      </c>
      <c r="B1168" s="1">
        <v>403.0</v>
      </c>
      <c r="C1168" s="1">
        <v>2.0</v>
      </c>
      <c r="D1168" s="1">
        <v>1.478966562E9</v>
      </c>
    </row>
    <row r="1169">
      <c r="A1169" s="1">
        <v>14622.0</v>
      </c>
      <c r="B1169" s="1">
        <v>403.0</v>
      </c>
      <c r="C1169" s="1">
        <v>2.0</v>
      </c>
      <c r="D1169" s="1">
        <v>1.478966565E9</v>
      </c>
    </row>
    <row r="1170">
      <c r="A1170" s="1">
        <v>14623.0</v>
      </c>
      <c r="B1170" s="1">
        <v>403.0</v>
      </c>
      <c r="C1170" s="1">
        <v>2.0</v>
      </c>
      <c r="D1170" s="1">
        <v>1.478966571E9</v>
      </c>
    </row>
    <row r="1171">
      <c r="A1171" s="1">
        <v>14693.0</v>
      </c>
      <c r="B1171" s="1">
        <v>405.0</v>
      </c>
      <c r="C1171" s="1">
        <v>10144.0</v>
      </c>
      <c r="D1171" s="1">
        <v>1.478968353E9</v>
      </c>
    </row>
    <row r="1172">
      <c r="A1172" s="1">
        <v>14695.0</v>
      </c>
      <c r="B1172" s="1">
        <v>403.0</v>
      </c>
      <c r="C1172" s="1">
        <v>2.0</v>
      </c>
      <c r="D1172" s="1">
        <v>1.478969608E9</v>
      </c>
    </row>
    <row r="1173">
      <c r="A1173" s="1">
        <v>14706.0</v>
      </c>
      <c r="B1173" s="1">
        <v>403.0</v>
      </c>
      <c r="C1173" s="1">
        <v>2.0</v>
      </c>
      <c r="D1173" s="1">
        <v>1.478970217E9</v>
      </c>
    </row>
    <row r="1174">
      <c r="A1174" s="1">
        <v>14726.0</v>
      </c>
      <c r="B1174" s="1">
        <v>403.0</v>
      </c>
      <c r="C1174" s="1">
        <v>2.0</v>
      </c>
      <c r="D1174" s="1">
        <v>1.478970589E9</v>
      </c>
    </row>
    <row r="1175">
      <c r="A1175" s="1">
        <v>14727.0</v>
      </c>
      <c r="B1175" s="1">
        <v>403.0</v>
      </c>
      <c r="C1175" s="1">
        <v>2.0</v>
      </c>
      <c r="D1175" s="1">
        <v>1.478970595E9</v>
      </c>
    </row>
    <row r="1176">
      <c r="A1176" s="1">
        <v>14738.0</v>
      </c>
      <c r="B1176" s="1">
        <v>403.0</v>
      </c>
      <c r="C1176" s="1">
        <v>2.0</v>
      </c>
      <c r="D1176" s="1">
        <v>1.478970787E9</v>
      </c>
    </row>
    <row r="1177">
      <c r="A1177" s="1">
        <v>14750.0</v>
      </c>
      <c r="B1177" s="1">
        <v>403.0</v>
      </c>
      <c r="C1177" s="1">
        <v>2.0</v>
      </c>
      <c r="D1177" s="1">
        <v>1.478971015E9</v>
      </c>
    </row>
    <row r="1178">
      <c r="A1178" s="1">
        <v>14762.0</v>
      </c>
      <c r="B1178" s="1">
        <v>403.0</v>
      </c>
      <c r="C1178" s="1">
        <v>2.0</v>
      </c>
      <c r="D1178" s="1">
        <v>1.478971169E9</v>
      </c>
    </row>
    <row r="1179">
      <c r="A1179" s="1">
        <v>14766.0</v>
      </c>
      <c r="B1179" s="1">
        <v>403.0</v>
      </c>
      <c r="C1179" s="1">
        <v>2.0</v>
      </c>
      <c r="D1179" s="1">
        <v>1.478971404E9</v>
      </c>
    </row>
    <row r="1180">
      <c r="A1180" s="1">
        <v>14786.0</v>
      </c>
      <c r="B1180" s="1">
        <v>403.0</v>
      </c>
      <c r="C1180" s="1">
        <v>2.0</v>
      </c>
      <c r="D1180" s="1">
        <v>1.478971874E9</v>
      </c>
    </row>
    <row r="1181">
      <c r="A1181" s="1">
        <v>14808.0</v>
      </c>
      <c r="B1181" s="1">
        <v>405.0</v>
      </c>
      <c r="C1181" s="1">
        <v>10144.0</v>
      </c>
      <c r="D1181" s="1">
        <v>1.478972361E9</v>
      </c>
    </row>
    <row r="1182">
      <c r="A1182" s="1">
        <v>14810.0</v>
      </c>
      <c r="B1182" s="1">
        <v>403.0</v>
      </c>
      <c r="C1182" s="1">
        <v>2.0</v>
      </c>
      <c r="D1182" s="1">
        <v>1.47897238E9</v>
      </c>
    </row>
    <row r="1183">
      <c r="A1183" s="1">
        <v>14830.0</v>
      </c>
      <c r="B1183" s="1">
        <v>403.0</v>
      </c>
      <c r="C1183" s="1">
        <v>2.0</v>
      </c>
      <c r="D1183" s="1">
        <v>1.478972815E9</v>
      </c>
    </row>
    <row r="1184">
      <c r="A1184" s="1">
        <v>14841.0</v>
      </c>
      <c r="B1184" s="1">
        <v>403.0</v>
      </c>
      <c r="C1184" s="1">
        <v>2.0</v>
      </c>
      <c r="D1184" s="1">
        <v>1.478973567E9</v>
      </c>
    </row>
    <row r="1185">
      <c r="A1185" s="1">
        <v>14851.0</v>
      </c>
      <c r="B1185" s="1">
        <v>404.0</v>
      </c>
      <c r="C1185" s="1">
        <v>2.0</v>
      </c>
      <c r="D1185" s="1">
        <v>1.478973841E9</v>
      </c>
    </row>
    <row r="1186">
      <c r="A1186" s="1">
        <v>14854.0</v>
      </c>
      <c r="B1186" s="1">
        <v>404.0</v>
      </c>
      <c r="C1186" s="1">
        <v>2.0</v>
      </c>
      <c r="D1186" s="1">
        <v>1.478974344E9</v>
      </c>
    </row>
    <row r="1187">
      <c r="A1187" s="1">
        <v>14855.0</v>
      </c>
      <c r="B1187" s="1">
        <v>404.0</v>
      </c>
      <c r="C1187" s="1">
        <v>2.0</v>
      </c>
      <c r="D1187" s="1">
        <v>1.478974385E9</v>
      </c>
    </row>
    <row r="1188">
      <c r="A1188" s="1">
        <v>14856.0</v>
      </c>
      <c r="B1188" s="1">
        <v>404.0</v>
      </c>
      <c r="C1188" s="1">
        <v>2.0</v>
      </c>
      <c r="D1188" s="1">
        <v>1.478974393E9</v>
      </c>
    </row>
    <row r="1189">
      <c r="A1189" s="1">
        <v>14857.0</v>
      </c>
      <c r="B1189" s="1">
        <v>404.0</v>
      </c>
      <c r="C1189" s="1">
        <v>2.0</v>
      </c>
      <c r="D1189" s="1">
        <v>1.478974393E9</v>
      </c>
    </row>
    <row r="1190">
      <c r="A1190" s="1">
        <v>14858.0</v>
      </c>
      <c r="B1190" s="1">
        <v>404.0</v>
      </c>
      <c r="C1190" s="1">
        <v>2.0</v>
      </c>
      <c r="D1190" s="1">
        <v>1.478974395E9</v>
      </c>
    </row>
    <row r="1191">
      <c r="A1191" s="1">
        <v>14859.0</v>
      </c>
      <c r="B1191" s="1">
        <v>404.0</v>
      </c>
      <c r="C1191" s="1">
        <v>2.0</v>
      </c>
      <c r="D1191" s="1">
        <v>1.478974592E9</v>
      </c>
    </row>
    <row r="1192">
      <c r="A1192" s="1">
        <v>14860.0</v>
      </c>
      <c r="B1192" s="1">
        <v>404.0</v>
      </c>
      <c r="C1192" s="1">
        <v>2.0</v>
      </c>
      <c r="D1192" s="1">
        <v>1.478974739E9</v>
      </c>
    </row>
    <row r="1193">
      <c r="A1193" s="1">
        <v>14861.0</v>
      </c>
      <c r="B1193" s="1">
        <v>404.0</v>
      </c>
      <c r="C1193" s="1">
        <v>2.0</v>
      </c>
      <c r="D1193" s="1">
        <v>1.478974784E9</v>
      </c>
    </row>
    <row r="1194">
      <c r="A1194" s="1">
        <v>14862.0</v>
      </c>
      <c r="B1194" s="1">
        <v>404.0</v>
      </c>
      <c r="C1194" s="1">
        <v>2.0</v>
      </c>
      <c r="D1194" s="1">
        <v>1.47897482E9</v>
      </c>
    </row>
    <row r="1195">
      <c r="A1195" s="1">
        <v>14876.0</v>
      </c>
      <c r="B1195" s="1">
        <v>404.0</v>
      </c>
      <c r="C1195" s="1">
        <v>2.0</v>
      </c>
      <c r="D1195" s="1">
        <v>1.478976732E9</v>
      </c>
    </row>
    <row r="1196">
      <c r="A1196" s="1">
        <v>14877.0</v>
      </c>
      <c r="B1196" s="1">
        <v>404.0</v>
      </c>
      <c r="C1196" s="1">
        <v>2.0</v>
      </c>
      <c r="D1196" s="1">
        <v>1.478976936E9</v>
      </c>
    </row>
    <row r="1197">
      <c r="A1197" s="1">
        <v>14878.0</v>
      </c>
      <c r="B1197" s="1">
        <v>404.0</v>
      </c>
      <c r="C1197" s="1">
        <v>2.0</v>
      </c>
      <c r="D1197" s="1">
        <v>1.478976946E9</v>
      </c>
    </row>
    <row r="1198">
      <c r="A1198" s="1">
        <v>14879.0</v>
      </c>
      <c r="B1198" s="1">
        <v>404.0</v>
      </c>
      <c r="C1198" s="1">
        <v>2.0</v>
      </c>
      <c r="D1198" s="1">
        <v>1.478977019E9</v>
      </c>
    </row>
    <row r="1199">
      <c r="A1199" s="1">
        <v>14880.0</v>
      </c>
      <c r="B1199" s="1">
        <v>404.0</v>
      </c>
      <c r="C1199" s="1">
        <v>2.0</v>
      </c>
      <c r="D1199" s="1">
        <v>1.478977022E9</v>
      </c>
    </row>
    <row r="1200">
      <c r="A1200" s="1">
        <v>14881.0</v>
      </c>
      <c r="B1200" s="1">
        <v>404.0</v>
      </c>
      <c r="C1200" s="1">
        <v>2.0</v>
      </c>
      <c r="D1200" s="1">
        <v>1.478977027E9</v>
      </c>
    </row>
    <row r="1201">
      <c r="A1201" s="1">
        <v>14882.0</v>
      </c>
      <c r="B1201" s="1">
        <v>404.0</v>
      </c>
      <c r="C1201" s="1">
        <v>2.0</v>
      </c>
      <c r="D1201" s="1">
        <v>1.478977077E9</v>
      </c>
    </row>
    <row r="1202">
      <c r="A1202" s="1">
        <v>14883.0</v>
      </c>
      <c r="B1202" s="1">
        <v>404.0</v>
      </c>
      <c r="C1202" s="1">
        <v>2.0</v>
      </c>
      <c r="D1202" s="1">
        <v>1.478977086E9</v>
      </c>
    </row>
    <row r="1203">
      <c r="A1203" s="1">
        <v>14884.0</v>
      </c>
      <c r="B1203" s="1">
        <v>404.0</v>
      </c>
      <c r="C1203" s="1">
        <v>2.0</v>
      </c>
      <c r="D1203" s="1">
        <v>1.478977088E9</v>
      </c>
    </row>
    <row r="1204">
      <c r="A1204" s="1">
        <v>14885.0</v>
      </c>
      <c r="B1204" s="1">
        <v>404.0</v>
      </c>
      <c r="C1204" s="1">
        <v>2.0</v>
      </c>
      <c r="D1204" s="1">
        <v>1.478977095E9</v>
      </c>
    </row>
    <row r="1205">
      <c r="A1205" s="1">
        <v>14909.0</v>
      </c>
      <c r="B1205" s="1">
        <v>404.0</v>
      </c>
      <c r="C1205" s="1">
        <v>2.0</v>
      </c>
      <c r="D1205" s="1">
        <v>1.478978207E9</v>
      </c>
    </row>
    <row r="1206">
      <c r="A1206" s="1">
        <v>14910.0</v>
      </c>
      <c r="B1206" s="1">
        <v>404.0</v>
      </c>
      <c r="C1206" s="1">
        <v>2.0</v>
      </c>
      <c r="D1206" s="1">
        <v>1.478978219E9</v>
      </c>
    </row>
    <row r="1207">
      <c r="A1207" s="1">
        <v>14911.0</v>
      </c>
      <c r="B1207" s="1">
        <v>404.0</v>
      </c>
      <c r="C1207" s="1">
        <v>2.0</v>
      </c>
      <c r="D1207" s="1">
        <v>1.478978222E9</v>
      </c>
    </row>
    <row r="1208">
      <c r="A1208" s="1">
        <v>14912.0</v>
      </c>
      <c r="B1208" s="1">
        <v>404.0</v>
      </c>
      <c r="C1208" s="1">
        <v>2.0</v>
      </c>
      <c r="D1208" s="1">
        <v>1.478978242E9</v>
      </c>
    </row>
    <row r="1209">
      <c r="A1209" s="1">
        <v>14913.0</v>
      </c>
      <c r="B1209" s="1">
        <v>404.0</v>
      </c>
      <c r="C1209" s="1">
        <v>2.0</v>
      </c>
      <c r="D1209" s="1">
        <v>1.478978259E9</v>
      </c>
    </row>
    <row r="1210">
      <c r="A1210" s="1">
        <v>14914.0</v>
      </c>
      <c r="B1210" s="1">
        <v>404.0</v>
      </c>
      <c r="C1210" s="1">
        <v>2.0</v>
      </c>
      <c r="D1210" s="1">
        <v>1.478978352E9</v>
      </c>
    </row>
    <row r="1211">
      <c r="A1211" s="1">
        <v>14937.0</v>
      </c>
      <c r="B1211" s="1">
        <v>404.0</v>
      </c>
      <c r="C1211" s="1">
        <v>2.0</v>
      </c>
      <c r="D1211" s="1">
        <v>1.478980776E9</v>
      </c>
    </row>
    <row r="1212">
      <c r="A1212" s="1">
        <v>14938.0</v>
      </c>
      <c r="B1212" s="1">
        <v>404.0</v>
      </c>
      <c r="C1212" s="1">
        <v>2.0</v>
      </c>
      <c r="D1212" s="1">
        <v>1.478980787E9</v>
      </c>
    </row>
    <row r="1213">
      <c r="A1213" s="1">
        <v>14944.0</v>
      </c>
      <c r="B1213" s="1">
        <v>404.0</v>
      </c>
      <c r="C1213" s="1">
        <v>2.0</v>
      </c>
      <c r="D1213" s="1">
        <v>1.478981904E9</v>
      </c>
    </row>
    <row r="1214">
      <c r="A1214" s="1">
        <v>14946.0</v>
      </c>
      <c r="B1214" s="1">
        <v>404.0</v>
      </c>
      <c r="C1214" s="1">
        <v>2.0</v>
      </c>
      <c r="D1214" s="1">
        <v>1.478982E9</v>
      </c>
    </row>
    <row r="1215">
      <c r="A1215" s="1">
        <v>14960.0</v>
      </c>
      <c r="B1215" s="1">
        <v>404.0</v>
      </c>
      <c r="C1215" s="1">
        <v>2.0</v>
      </c>
      <c r="D1215" s="1">
        <v>1.478983036E9</v>
      </c>
    </row>
    <row r="1216">
      <c r="A1216" s="1">
        <v>14965.0</v>
      </c>
      <c r="B1216" s="1">
        <v>404.0</v>
      </c>
      <c r="C1216" s="1">
        <v>2.0</v>
      </c>
      <c r="D1216" s="1">
        <v>1.478983506E9</v>
      </c>
    </row>
    <row r="1217">
      <c r="A1217" s="1">
        <v>14966.0</v>
      </c>
      <c r="B1217" s="1">
        <v>404.0</v>
      </c>
      <c r="C1217" s="1">
        <v>2.0</v>
      </c>
      <c r="D1217" s="1">
        <v>1.478983529E9</v>
      </c>
    </row>
    <row r="1218">
      <c r="A1218" s="1">
        <v>14967.0</v>
      </c>
      <c r="B1218" s="1">
        <v>404.0</v>
      </c>
      <c r="C1218" s="1">
        <v>2.0</v>
      </c>
      <c r="D1218" s="1">
        <v>1.478983532E9</v>
      </c>
    </row>
    <row r="1219">
      <c r="A1219" s="1">
        <v>14984.0</v>
      </c>
      <c r="B1219" s="1">
        <v>404.0</v>
      </c>
      <c r="C1219" s="1">
        <v>2.0</v>
      </c>
      <c r="D1219" s="1">
        <v>1.478984025E9</v>
      </c>
    </row>
    <row r="1220">
      <c r="A1220" s="1">
        <v>14989.0</v>
      </c>
      <c r="B1220" s="1">
        <v>404.0</v>
      </c>
      <c r="C1220" s="1">
        <v>2.0</v>
      </c>
      <c r="D1220" s="1">
        <v>1.478985472E9</v>
      </c>
    </row>
    <row r="1221">
      <c r="A1221" s="1">
        <v>14991.0</v>
      </c>
      <c r="B1221" s="1">
        <v>403.0</v>
      </c>
      <c r="C1221" s="1">
        <v>2.0</v>
      </c>
      <c r="D1221" s="1">
        <v>1.47898549E9</v>
      </c>
    </row>
    <row r="1222">
      <c r="A1222" s="1">
        <v>14992.0</v>
      </c>
      <c r="B1222" s="1">
        <v>404.0</v>
      </c>
      <c r="C1222" s="1">
        <v>2.0</v>
      </c>
      <c r="D1222" s="1">
        <v>1.478985503E9</v>
      </c>
    </row>
    <row r="1223">
      <c r="A1223" s="1">
        <v>14993.0</v>
      </c>
      <c r="B1223" s="1">
        <v>404.0</v>
      </c>
      <c r="C1223" s="1">
        <v>2.0</v>
      </c>
      <c r="D1223" s="1">
        <v>1.478985527E9</v>
      </c>
    </row>
    <row r="1224">
      <c r="A1224" s="1">
        <v>14994.0</v>
      </c>
      <c r="B1224" s="1">
        <v>404.0</v>
      </c>
      <c r="C1224" s="1">
        <v>2.0</v>
      </c>
      <c r="D1224" s="1">
        <v>1.478985531E9</v>
      </c>
    </row>
    <row r="1225">
      <c r="A1225" s="1">
        <v>14995.0</v>
      </c>
      <c r="B1225" s="1">
        <v>404.0</v>
      </c>
      <c r="C1225" s="1">
        <v>2.0</v>
      </c>
      <c r="D1225" s="1">
        <v>1.478985535E9</v>
      </c>
    </row>
    <row r="1226">
      <c r="A1226" s="1">
        <v>14996.0</v>
      </c>
      <c r="B1226" s="1">
        <v>404.0</v>
      </c>
      <c r="C1226" s="1">
        <v>2.0</v>
      </c>
      <c r="D1226" s="1">
        <v>1.478985541E9</v>
      </c>
    </row>
    <row r="1227">
      <c r="A1227" s="1">
        <v>14997.0</v>
      </c>
      <c r="B1227" s="1">
        <v>404.0</v>
      </c>
      <c r="C1227" s="1">
        <v>2.0</v>
      </c>
      <c r="D1227" s="1">
        <v>1.478985551E9</v>
      </c>
    </row>
    <row r="1228">
      <c r="A1228" s="1">
        <v>14998.0</v>
      </c>
      <c r="B1228" s="1">
        <v>404.0</v>
      </c>
      <c r="C1228" s="1">
        <v>2.0</v>
      </c>
      <c r="D1228" s="1">
        <v>1.478985584E9</v>
      </c>
    </row>
    <row r="1229">
      <c r="A1229" s="1">
        <v>14999.0</v>
      </c>
      <c r="B1229" s="1">
        <v>404.0</v>
      </c>
      <c r="C1229" s="1">
        <v>2.0</v>
      </c>
      <c r="D1229" s="1">
        <v>1.478985603E9</v>
      </c>
    </row>
    <row r="1230">
      <c r="A1230" s="1">
        <v>15000.0</v>
      </c>
      <c r="B1230" s="1">
        <v>404.0</v>
      </c>
      <c r="C1230" s="1">
        <v>2.0</v>
      </c>
      <c r="D1230" s="1">
        <v>1.478985619E9</v>
      </c>
    </row>
    <row r="1231">
      <c r="A1231" s="1">
        <v>15001.0</v>
      </c>
      <c r="B1231" s="1">
        <v>404.0</v>
      </c>
      <c r="C1231" s="1">
        <v>2.0</v>
      </c>
      <c r="D1231" s="1">
        <v>1.478985625E9</v>
      </c>
    </row>
    <row r="1232">
      <c r="A1232" s="1">
        <v>15002.0</v>
      </c>
      <c r="B1232" s="1">
        <v>404.0</v>
      </c>
      <c r="C1232" s="1">
        <v>2.0</v>
      </c>
      <c r="D1232" s="1">
        <v>1.478985634E9</v>
      </c>
    </row>
    <row r="1233">
      <c r="A1233" s="1">
        <v>15003.0</v>
      </c>
      <c r="B1233" s="1">
        <v>404.0</v>
      </c>
      <c r="C1233" s="1">
        <v>2.0</v>
      </c>
      <c r="D1233" s="1">
        <v>1.478985641E9</v>
      </c>
    </row>
    <row r="1234">
      <c r="A1234" s="1">
        <v>15004.0</v>
      </c>
      <c r="B1234" s="1">
        <v>404.0</v>
      </c>
      <c r="C1234" s="1">
        <v>2.0</v>
      </c>
      <c r="D1234" s="1">
        <v>1.478985644E9</v>
      </c>
    </row>
    <row r="1235">
      <c r="A1235" s="1">
        <v>15014.0</v>
      </c>
      <c r="B1235" s="1">
        <v>404.0</v>
      </c>
      <c r="C1235" s="1">
        <v>2.0</v>
      </c>
      <c r="D1235" s="1">
        <v>1.478986806E9</v>
      </c>
    </row>
    <row r="1236">
      <c r="A1236" s="1">
        <v>15015.0</v>
      </c>
      <c r="B1236" s="1">
        <v>404.0</v>
      </c>
      <c r="C1236" s="1">
        <v>2.0</v>
      </c>
      <c r="D1236" s="1">
        <v>1.47898681E9</v>
      </c>
    </row>
    <row r="1237">
      <c r="A1237" s="1">
        <v>15016.0</v>
      </c>
      <c r="B1237" s="1">
        <v>404.0</v>
      </c>
      <c r="C1237" s="1">
        <v>2.0</v>
      </c>
      <c r="D1237" s="1">
        <v>1.478986815E9</v>
      </c>
    </row>
    <row r="1238">
      <c r="A1238" s="1">
        <v>15017.0</v>
      </c>
      <c r="B1238" s="1">
        <v>404.0</v>
      </c>
      <c r="C1238" s="1">
        <v>2.0</v>
      </c>
      <c r="D1238" s="1">
        <v>1.478986823E9</v>
      </c>
    </row>
    <row r="1239">
      <c r="A1239" s="1">
        <v>15018.0</v>
      </c>
      <c r="B1239" s="1">
        <v>404.0</v>
      </c>
      <c r="C1239" s="1">
        <v>2.0</v>
      </c>
      <c r="D1239" s="1">
        <v>1.478986835E9</v>
      </c>
    </row>
    <row r="1240">
      <c r="A1240" s="1">
        <v>15019.0</v>
      </c>
      <c r="B1240" s="1">
        <v>404.0</v>
      </c>
      <c r="C1240" s="1">
        <v>2.0</v>
      </c>
      <c r="D1240" s="1">
        <v>1.478986847E9</v>
      </c>
    </row>
    <row r="1241">
      <c r="A1241" s="1">
        <v>15020.0</v>
      </c>
      <c r="B1241" s="1">
        <v>404.0</v>
      </c>
      <c r="C1241" s="1">
        <v>2.0</v>
      </c>
      <c r="D1241" s="1">
        <v>1.478986853E9</v>
      </c>
    </row>
    <row r="1242">
      <c r="A1242" s="1">
        <v>15021.0</v>
      </c>
      <c r="B1242" s="1">
        <v>404.0</v>
      </c>
      <c r="C1242" s="1">
        <v>2.0</v>
      </c>
      <c r="D1242" s="1">
        <v>1.478986869E9</v>
      </c>
    </row>
    <row r="1243">
      <c r="A1243" s="1">
        <v>15023.0</v>
      </c>
      <c r="B1243" s="1">
        <v>404.0</v>
      </c>
      <c r="C1243" s="1">
        <v>2.0</v>
      </c>
      <c r="D1243" s="1">
        <v>1.478986886E9</v>
      </c>
    </row>
    <row r="1244">
      <c r="A1244" s="1">
        <v>15025.0</v>
      </c>
      <c r="B1244" s="1">
        <v>404.0</v>
      </c>
      <c r="C1244" s="1">
        <v>2.0</v>
      </c>
      <c r="D1244" s="1">
        <v>1.478986895E9</v>
      </c>
    </row>
    <row r="1245">
      <c r="A1245" s="1">
        <v>15026.0</v>
      </c>
      <c r="B1245" s="1">
        <v>404.0</v>
      </c>
      <c r="C1245" s="1">
        <v>2.0</v>
      </c>
      <c r="D1245" s="1">
        <v>1.478986898E9</v>
      </c>
    </row>
    <row r="1246">
      <c r="A1246" s="1">
        <v>15036.0</v>
      </c>
      <c r="B1246" s="1">
        <v>404.0</v>
      </c>
      <c r="C1246" s="1">
        <v>2.0</v>
      </c>
      <c r="D1246" s="1">
        <v>1.478987716E9</v>
      </c>
    </row>
    <row r="1247">
      <c r="A1247" s="1">
        <v>15037.0</v>
      </c>
      <c r="B1247" s="1">
        <v>404.0</v>
      </c>
      <c r="C1247" s="1">
        <v>2.0</v>
      </c>
      <c r="D1247" s="1">
        <v>1.478987722E9</v>
      </c>
    </row>
    <row r="1248">
      <c r="A1248" s="1">
        <v>15047.0</v>
      </c>
      <c r="B1248" s="1">
        <v>404.0</v>
      </c>
      <c r="C1248" s="1">
        <v>2.0</v>
      </c>
      <c r="D1248" s="1">
        <v>1.478988411E9</v>
      </c>
    </row>
    <row r="1249">
      <c r="A1249" s="1">
        <v>15074.0</v>
      </c>
      <c r="B1249" s="1">
        <v>404.0</v>
      </c>
      <c r="C1249" s="1">
        <v>2.0</v>
      </c>
      <c r="D1249" s="1">
        <v>1.478990236E9</v>
      </c>
    </row>
    <row r="1250">
      <c r="A1250" s="1">
        <v>15078.0</v>
      </c>
      <c r="B1250" s="1">
        <v>404.0</v>
      </c>
      <c r="C1250" s="1">
        <v>2.0</v>
      </c>
      <c r="D1250" s="1">
        <v>1.478990539E9</v>
      </c>
    </row>
    <row r="1251">
      <c r="A1251" s="1">
        <v>15080.0</v>
      </c>
      <c r="B1251" s="1">
        <v>404.0</v>
      </c>
      <c r="C1251" s="1">
        <v>2.0</v>
      </c>
      <c r="D1251" s="1">
        <v>1.478990559E9</v>
      </c>
    </row>
    <row r="1252">
      <c r="A1252" s="1">
        <v>15086.0</v>
      </c>
      <c r="B1252" s="1">
        <v>404.0</v>
      </c>
      <c r="C1252" s="1">
        <v>2.0</v>
      </c>
      <c r="D1252" s="1">
        <v>1.478990623E9</v>
      </c>
    </row>
    <row r="1253">
      <c r="A1253" s="1">
        <v>15090.0</v>
      </c>
      <c r="B1253" s="1">
        <v>404.0</v>
      </c>
      <c r="C1253" s="1">
        <v>2.0</v>
      </c>
      <c r="D1253" s="1">
        <v>1.478990885E9</v>
      </c>
    </row>
    <row r="1254">
      <c r="A1254" s="1">
        <v>15092.0</v>
      </c>
      <c r="B1254" s="1">
        <v>404.0</v>
      </c>
      <c r="C1254" s="1">
        <v>2.0</v>
      </c>
      <c r="D1254" s="1">
        <v>1.478990899E9</v>
      </c>
    </row>
    <row r="1255">
      <c r="A1255" s="1">
        <v>15101.0</v>
      </c>
      <c r="B1255" s="1">
        <v>404.0</v>
      </c>
      <c r="C1255" s="1">
        <v>2.0</v>
      </c>
      <c r="D1255" s="1">
        <v>1.478993995E9</v>
      </c>
    </row>
    <row r="1256">
      <c r="A1256" s="1">
        <v>15108.0</v>
      </c>
      <c r="B1256" s="1">
        <v>404.0</v>
      </c>
      <c r="C1256" s="1">
        <v>2.0</v>
      </c>
      <c r="D1256" s="1">
        <v>1.478995716E9</v>
      </c>
    </row>
    <row r="1257">
      <c r="A1257" s="1">
        <v>15110.0</v>
      </c>
      <c r="B1257" s="1">
        <v>404.0</v>
      </c>
      <c r="C1257" s="1">
        <v>2.0</v>
      </c>
      <c r="D1257" s="1">
        <v>1.478995724E9</v>
      </c>
    </row>
    <row r="1258">
      <c r="A1258" s="1">
        <v>15188.0</v>
      </c>
      <c r="B1258" s="1">
        <v>404.0</v>
      </c>
      <c r="C1258" s="1">
        <v>2.0</v>
      </c>
      <c r="D1258" s="1">
        <v>1.479003852E9</v>
      </c>
    </row>
    <row r="1259">
      <c r="A1259" s="1">
        <v>15200.0</v>
      </c>
      <c r="B1259" s="1">
        <v>405.0</v>
      </c>
      <c r="C1259" s="1">
        <v>2.0</v>
      </c>
      <c r="D1259" s="1">
        <v>1.479004639E9</v>
      </c>
    </row>
    <row r="1260">
      <c r="A1260" s="1">
        <v>15201.0</v>
      </c>
      <c r="B1260" s="1">
        <v>405.0</v>
      </c>
      <c r="C1260" s="1">
        <v>2.0</v>
      </c>
      <c r="D1260" s="1">
        <v>1.479004645E9</v>
      </c>
    </row>
    <row r="1261">
      <c r="A1261" s="1">
        <v>15202.0</v>
      </c>
      <c r="B1261" s="1">
        <v>405.0</v>
      </c>
      <c r="C1261" s="1">
        <v>2.0</v>
      </c>
      <c r="D1261" s="1">
        <v>1.47900465E9</v>
      </c>
    </row>
    <row r="1262">
      <c r="A1262" s="1">
        <v>15203.0</v>
      </c>
      <c r="B1262" s="1">
        <v>405.0</v>
      </c>
      <c r="C1262" s="1">
        <v>2.0</v>
      </c>
      <c r="D1262" s="1">
        <v>1.479004658E9</v>
      </c>
    </row>
    <row r="1263">
      <c r="A1263" s="1">
        <v>15204.0</v>
      </c>
      <c r="B1263" s="1">
        <v>405.0</v>
      </c>
      <c r="C1263" s="1">
        <v>2.0</v>
      </c>
      <c r="D1263" s="1">
        <v>1.479004667E9</v>
      </c>
    </row>
    <row r="1264">
      <c r="A1264" s="1">
        <v>15205.0</v>
      </c>
      <c r="B1264" s="1">
        <v>405.0</v>
      </c>
      <c r="C1264" s="1">
        <v>2.0</v>
      </c>
      <c r="D1264" s="1">
        <v>1.479004675E9</v>
      </c>
    </row>
    <row r="1265">
      <c r="A1265" s="1">
        <v>15206.0</v>
      </c>
      <c r="B1265" s="1">
        <v>405.0</v>
      </c>
      <c r="C1265" s="1">
        <v>2.0</v>
      </c>
      <c r="D1265" s="1">
        <v>1.479004685E9</v>
      </c>
    </row>
    <row r="1266">
      <c r="A1266" s="1">
        <v>15214.0</v>
      </c>
      <c r="B1266" s="1">
        <v>405.0</v>
      </c>
      <c r="C1266" s="1">
        <v>2.0</v>
      </c>
      <c r="D1266" s="1">
        <v>1.479004848E9</v>
      </c>
    </row>
    <row r="1267">
      <c r="A1267" s="1">
        <v>15215.0</v>
      </c>
      <c r="B1267" s="1">
        <v>405.0</v>
      </c>
      <c r="C1267" s="1">
        <v>2.0</v>
      </c>
      <c r="D1267" s="1">
        <v>1.479004869E9</v>
      </c>
    </row>
    <row r="1268">
      <c r="A1268" s="1">
        <v>15216.0</v>
      </c>
      <c r="B1268" s="1">
        <v>405.0</v>
      </c>
      <c r="C1268" s="1">
        <v>2.0</v>
      </c>
      <c r="D1268" s="1">
        <v>1.479004872E9</v>
      </c>
    </row>
    <row r="1269">
      <c r="A1269" s="1">
        <v>15217.0</v>
      </c>
      <c r="B1269" s="1">
        <v>405.0</v>
      </c>
      <c r="C1269" s="1">
        <v>2.0</v>
      </c>
      <c r="D1269" s="1">
        <v>1.479004894E9</v>
      </c>
    </row>
    <row r="1270">
      <c r="A1270" s="1">
        <v>15218.0</v>
      </c>
      <c r="B1270" s="1">
        <v>405.0</v>
      </c>
      <c r="C1270" s="1">
        <v>2.0</v>
      </c>
      <c r="D1270" s="1">
        <v>1.479004905E9</v>
      </c>
    </row>
    <row r="1271">
      <c r="A1271" s="1">
        <v>15219.0</v>
      </c>
      <c r="B1271" s="1">
        <v>405.0</v>
      </c>
      <c r="C1271" s="1">
        <v>2.0</v>
      </c>
      <c r="D1271" s="1">
        <v>1.479004913E9</v>
      </c>
    </row>
    <row r="1272">
      <c r="A1272" s="1">
        <v>15220.0</v>
      </c>
      <c r="B1272" s="1">
        <v>405.0</v>
      </c>
      <c r="C1272" s="1">
        <v>2.0</v>
      </c>
      <c r="D1272" s="1">
        <v>1.479005293E9</v>
      </c>
    </row>
    <row r="1273">
      <c r="A1273" s="1">
        <v>15223.0</v>
      </c>
      <c r="B1273" s="1">
        <v>405.0</v>
      </c>
      <c r="C1273" s="1">
        <v>2.0</v>
      </c>
      <c r="D1273" s="1">
        <v>1.479005698E9</v>
      </c>
    </row>
    <row r="1274">
      <c r="A1274" s="1">
        <v>15225.0</v>
      </c>
      <c r="B1274" s="1">
        <v>405.0</v>
      </c>
      <c r="C1274" s="1">
        <v>2.0</v>
      </c>
      <c r="D1274" s="1">
        <v>1.479005741E9</v>
      </c>
    </row>
    <row r="1275">
      <c r="A1275" s="1">
        <v>15226.0</v>
      </c>
      <c r="B1275" s="1">
        <v>405.0</v>
      </c>
      <c r="C1275" s="1">
        <v>2.0</v>
      </c>
      <c r="D1275" s="1">
        <v>1.479005758E9</v>
      </c>
    </row>
    <row r="1276">
      <c r="A1276" s="1">
        <v>15227.0</v>
      </c>
      <c r="B1276" s="1">
        <v>405.0</v>
      </c>
      <c r="C1276" s="1">
        <v>2.0</v>
      </c>
      <c r="D1276" s="1">
        <v>1.47900583E9</v>
      </c>
    </row>
    <row r="1277">
      <c r="A1277" s="1">
        <v>15228.0</v>
      </c>
      <c r="B1277" s="1">
        <v>404.0</v>
      </c>
      <c r="C1277" s="1">
        <v>2.0</v>
      </c>
      <c r="D1277" s="1">
        <v>1.479005895E9</v>
      </c>
    </row>
    <row r="1278">
      <c r="A1278" s="1">
        <v>15229.0</v>
      </c>
      <c r="B1278" s="1">
        <v>405.0</v>
      </c>
      <c r="C1278" s="1">
        <v>2.0</v>
      </c>
      <c r="D1278" s="1">
        <v>1.479006077E9</v>
      </c>
    </row>
    <row r="1279">
      <c r="A1279" s="1">
        <v>15232.0</v>
      </c>
      <c r="B1279" s="1">
        <v>405.0</v>
      </c>
      <c r="C1279" s="1">
        <v>2.0</v>
      </c>
      <c r="D1279" s="1">
        <v>1.479006287E9</v>
      </c>
    </row>
    <row r="1280">
      <c r="A1280" s="1">
        <v>15234.0</v>
      </c>
      <c r="B1280" s="1">
        <v>405.0</v>
      </c>
      <c r="C1280" s="1">
        <v>2.0</v>
      </c>
      <c r="D1280" s="1">
        <v>1.479006379E9</v>
      </c>
    </row>
    <row r="1281">
      <c r="A1281" s="1">
        <v>15235.0</v>
      </c>
      <c r="B1281" s="1">
        <v>405.0</v>
      </c>
      <c r="C1281" s="1">
        <v>2.0</v>
      </c>
      <c r="D1281" s="1">
        <v>1.479006382E9</v>
      </c>
    </row>
    <row r="1282">
      <c r="A1282" s="1">
        <v>15236.0</v>
      </c>
      <c r="B1282" s="1">
        <v>405.0</v>
      </c>
      <c r="C1282" s="1">
        <v>2.0</v>
      </c>
      <c r="D1282" s="1">
        <v>1.479006391E9</v>
      </c>
    </row>
    <row r="1283">
      <c r="A1283" s="1">
        <v>15237.0</v>
      </c>
      <c r="B1283" s="1">
        <v>405.0</v>
      </c>
      <c r="C1283" s="1">
        <v>2.0</v>
      </c>
      <c r="D1283" s="1">
        <v>1.479006406E9</v>
      </c>
    </row>
    <row r="1284">
      <c r="A1284" s="1">
        <v>15238.0</v>
      </c>
      <c r="B1284" s="1">
        <v>404.0</v>
      </c>
      <c r="C1284" s="1">
        <v>2.0</v>
      </c>
      <c r="D1284" s="1">
        <v>1.479006525E9</v>
      </c>
    </row>
    <row r="1285">
      <c r="A1285" s="1">
        <v>15239.0</v>
      </c>
      <c r="B1285" s="1">
        <v>405.0</v>
      </c>
      <c r="C1285" s="1">
        <v>2.0</v>
      </c>
      <c r="D1285" s="1">
        <v>1.479006534E9</v>
      </c>
    </row>
    <row r="1286">
      <c r="A1286" s="1">
        <v>15254.0</v>
      </c>
      <c r="B1286" s="1">
        <v>405.0</v>
      </c>
      <c r="C1286" s="1">
        <v>2.0</v>
      </c>
      <c r="D1286" s="1">
        <v>1.479006801E9</v>
      </c>
    </row>
    <row r="1287">
      <c r="A1287" s="1">
        <v>15256.0</v>
      </c>
      <c r="B1287" s="1">
        <v>405.0</v>
      </c>
      <c r="C1287" s="1">
        <v>2.0</v>
      </c>
      <c r="D1287" s="1">
        <v>1.479006904E9</v>
      </c>
    </row>
    <row r="1288">
      <c r="A1288" s="1">
        <v>15257.0</v>
      </c>
      <c r="B1288" s="1">
        <v>405.0</v>
      </c>
      <c r="C1288" s="1">
        <v>2.0</v>
      </c>
      <c r="D1288" s="1">
        <v>1.479006911E9</v>
      </c>
    </row>
    <row r="1289">
      <c r="A1289" s="1">
        <v>15258.0</v>
      </c>
      <c r="B1289" s="1">
        <v>405.0</v>
      </c>
      <c r="C1289" s="1">
        <v>2.0</v>
      </c>
      <c r="D1289" s="1">
        <v>1.479006915E9</v>
      </c>
    </row>
    <row r="1290">
      <c r="A1290" s="1">
        <v>15259.0</v>
      </c>
      <c r="B1290" s="1">
        <v>405.0</v>
      </c>
      <c r="C1290" s="1">
        <v>2.0</v>
      </c>
      <c r="D1290" s="1">
        <v>1.479007039E9</v>
      </c>
    </row>
    <row r="1291">
      <c r="A1291" s="1">
        <v>15261.0</v>
      </c>
      <c r="B1291" s="1">
        <v>405.0</v>
      </c>
      <c r="C1291" s="1">
        <v>2.0</v>
      </c>
      <c r="D1291" s="1">
        <v>1.479008002E9</v>
      </c>
    </row>
    <row r="1292">
      <c r="A1292" s="1">
        <v>15262.0</v>
      </c>
      <c r="B1292" s="1">
        <v>405.0</v>
      </c>
      <c r="C1292" s="1">
        <v>2.0</v>
      </c>
      <c r="D1292" s="1">
        <v>1.479008007E9</v>
      </c>
    </row>
    <row r="1293">
      <c r="A1293" s="1">
        <v>15265.0</v>
      </c>
      <c r="B1293" s="1">
        <v>405.0</v>
      </c>
      <c r="C1293" s="1">
        <v>2.0</v>
      </c>
      <c r="D1293" s="1">
        <v>1.479008061E9</v>
      </c>
    </row>
    <row r="1294">
      <c r="A1294" s="1">
        <v>15266.0</v>
      </c>
      <c r="B1294" s="1">
        <v>405.0</v>
      </c>
      <c r="C1294" s="1">
        <v>2.0</v>
      </c>
      <c r="D1294" s="1">
        <v>1.479009989E9</v>
      </c>
    </row>
    <row r="1295">
      <c r="A1295" s="1">
        <v>15271.0</v>
      </c>
      <c r="B1295" s="1">
        <v>405.0</v>
      </c>
      <c r="C1295" s="1">
        <v>2.0</v>
      </c>
      <c r="D1295" s="1">
        <v>1.47901041E9</v>
      </c>
    </row>
    <row r="1296">
      <c r="A1296" s="1">
        <v>15293.0</v>
      </c>
      <c r="B1296" s="1">
        <v>404.0</v>
      </c>
      <c r="C1296" s="1">
        <v>2.0</v>
      </c>
      <c r="D1296" s="1">
        <v>1.479011513E9</v>
      </c>
    </row>
    <row r="1297">
      <c r="A1297" s="1">
        <v>15314.0</v>
      </c>
      <c r="B1297" s="1">
        <v>405.0</v>
      </c>
      <c r="C1297" s="1">
        <v>2.0</v>
      </c>
      <c r="D1297" s="1">
        <v>1.479013567E9</v>
      </c>
    </row>
    <row r="1298">
      <c r="A1298" s="1">
        <v>15315.0</v>
      </c>
      <c r="B1298" s="1">
        <v>405.0</v>
      </c>
      <c r="C1298" s="1">
        <v>2.0</v>
      </c>
      <c r="D1298" s="1">
        <v>1.479014046E9</v>
      </c>
    </row>
    <row r="1299">
      <c r="A1299" s="1">
        <v>15316.0</v>
      </c>
      <c r="B1299" s="1">
        <v>405.0</v>
      </c>
      <c r="C1299" s="1">
        <v>2.0</v>
      </c>
      <c r="D1299" s="1">
        <v>1.479014049E9</v>
      </c>
    </row>
    <row r="1300">
      <c r="A1300" s="1">
        <v>15321.0</v>
      </c>
      <c r="B1300" s="1">
        <v>405.0</v>
      </c>
      <c r="C1300" s="1">
        <v>2.0</v>
      </c>
      <c r="D1300" s="1">
        <v>1.479014933E9</v>
      </c>
    </row>
    <row r="1301">
      <c r="A1301" s="1">
        <v>15322.0</v>
      </c>
      <c r="B1301" s="1">
        <v>405.0</v>
      </c>
      <c r="C1301" s="1">
        <v>2.0</v>
      </c>
      <c r="D1301" s="1">
        <v>1.479014939E9</v>
      </c>
    </row>
    <row r="1302">
      <c r="A1302" s="1">
        <v>15354.0</v>
      </c>
      <c r="B1302" s="1">
        <v>405.0</v>
      </c>
      <c r="C1302" s="1">
        <v>2.0</v>
      </c>
      <c r="D1302" s="1">
        <v>1.479016801E9</v>
      </c>
    </row>
    <row r="1303">
      <c r="A1303" s="1">
        <v>15356.0</v>
      </c>
      <c r="B1303" s="1">
        <v>405.0</v>
      </c>
      <c r="C1303" s="1">
        <v>2.0</v>
      </c>
      <c r="D1303" s="1">
        <v>1.479016809E9</v>
      </c>
    </row>
    <row r="1304">
      <c r="A1304" s="1">
        <v>15357.0</v>
      </c>
      <c r="B1304" s="1">
        <v>405.0</v>
      </c>
      <c r="C1304" s="1">
        <v>2.0</v>
      </c>
      <c r="D1304" s="1">
        <v>1.479016896E9</v>
      </c>
    </row>
    <row r="1305">
      <c r="A1305" s="1">
        <v>15385.0</v>
      </c>
      <c r="B1305" s="1">
        <v>404.0</v>
      </c>
      <c r="C1305" s="1">
        <v>10126.0</v>
      </c>
      <c r="D1305" s="1">
        <v>1.479032882E9</v>
      </c>
    </row>
    <row r="1306">
      <c r="A1306" s="1">
        <v>15388.0</v>
      </c>
      <c r="B1306" s="1">
        <v>404.0</v>
      </c>
      <c r="C1306" s="1">
        <v>10126.0</v>
      </c>
      <c r="D1306" s="1">
        <v>1.479032894E9</v>
      </c>
    </row>
    <row r="1307">
      <c r="A1307" s="1">
        <v>15397.0</v>
      </c>
      <c r="B1307" s="1">
        <v>404.0</v>
      </c>
      <c r="C1307" s="1">
        <v>10126.0</v>
      </c>
      <c r="D1307" s="1">
        <v>1.47905531E9</v>
      </c>
    </row>
    <row r="1308">
      <c r="A1308" s="1">
        <v>15451.0</v>
      </c>
      <c r="B1308" s="1">
        <v>403.0</v>
      </c>
      <c r="C1308" s="1">
        <v>2.0</v>
      </c>
      <c r="D1308" s="1">
        <v>1.479065413E9</v>
      </c>
    </row>
    <row r="1309">
      <c r="A1309" s="1">
        <v>15462.0</v>
      </c>
      <c r="B1309" s="1">
        <v>401.0</v>
      </c>
      <c r="C1309" s="1">
        <v>2.0</v>
      </c>
      <c r="D1309" s="1">
        <v>1.479072034E9</v>
      </c>
    </row>
    <row r="1310">
      <c r="A1310" s="1">
        <v>15515.0</v>
      </c>
      <c r="B1310" s="1">
        <v>405.0</v>
      </c>
      <c r="C1310" s="1">
        <v>10150.0</v>
      </c>
      <c r="D1310" s="1">
        <v>1.479075849E9</v>
      </c>
    </row>
    <row r="1311">
      <c r="A1311" s="1">
        <v>15578.0</v>
      </c>
      <c r="B1311" s="1">
        <v>403.0</v>
      </c>
      <c r="C1311" s="1">
        <v>10146.0</v>
      </c>
      <c r="D1311" s="1">
        <v>1.479090808E9</v>
      </c>
    </row>
    <row r="1312">
      <c r="A1312" s="1">
        <v>15582.0</v>
      </c>
      <c r="B1312" s="1">
        <v>404.0</v>
      </c>
      <c r="C1312" s="1">
        <v>10146.0</v>
      </c>
      <c r="D1312" s="1">
        <v>1.47909084E9</v>
      </c>
    </row>
    <row r="1313">
      <c r="A1313" s="1">
        <v>15594.0</v>
      </c>
      <c r="B1313" s="1">
        <v>404.0</v>
      </c>
      <c r="C1313" s="1">
        <v>10146.0</v>
      </c>
      <c r="D1313" s="1">
        <v>1.479091338E9</v>
      </c>
    </row>
    <row r="1314">
      <c r="A1314" s="1">
        <v>15607.0</v>
      </c>
      <c r="B1314" s="1">
        <v>404.0</v>
      </c>
      <c r="C1314" s="1">
        <v>10146.0</v>
      </c>
      <c r="D1314" s="1">
        <v>1.479092515E9</v>
      </c>
    </row>
    <row r="1315">
      <c r="A1315" s="1">
        <v>15723.0</v>
      </c>
      <c r="B1315" s="1">
        <v>404.0</v>
      </c>
      <c r="C1315" s="1">
        <v>10135.0</v>
      </c>
      <c r="D1315" s="1">
        <v>1.479125871E9</v>
      </c>
    </row>
    <row r="1316">
      <c r="A1316" s="1">
        <v>15731.0</v>
      </c>
      <c r="B1316" s="1">
        <v>404.0</v>
      </c>
      <c r="C1316" s="1">
        <v>2.0</v>
      </c>
      <c r="D1316" s="1">
        <v>1.479138305E9</v>
      </c>
    </row>
    <row r="1317">
      <c r="A1317" s="1">
        <v>15732.0</v>
      </c>
      <c r="B1317" s="1">
        <v>404.0</v>
      </c>
      <c r="C1317" s="1">
        <v>2.0</v>
      </c>
      <c r="D1317" s="1">
        <v>1.479138312E9</v>
      </c>
    </row>
    <row r="1318">
      <c r="A1318" s="1">
        <v>15750.0</v>
      </c>
      <c r="B1318" s="1">
        <v>404.0</v>
      </c>
      <c r="C1318" s="1">
        <v>10126.0</v>
      </c>
      <c r="D1318" s="1">
        <v>1.479143311E9</v>
      </c>
    </row>
    <row r="1319">
      <c r="A1319" s="1">
        <v>15752.0</v>
      </c>
      <c r="B1319" s="1">
        <v>404.0</v>
      </c>
      <c r="C1319" s="1">
        <v>10126.0</v>
      </c>
      <c r="D1319" s="1">
        <v>1.47914374E9</v>
      </c>
    </row>
    <row r="1320">
      <c r="A1320" s="1">
        <v>15753.0</v>
      </c>
      <c r="B1320" s="1">
        <v>405.0</v>
      </c>
      <c r="C1320" s="1">
        <v>10126.0</v>
      </c>
      <c r="D1320" s="1">
        <v>1.479143747E9</v>
      </c>
    </row>
    <row r="1321">
      <c r="A1321" s="1">
        <v>15757.0</v>
      </c>
      <c r="B1321" s="1">
        <v>404.0</v>
      </c>
      <c r="C1321" s="1">
        <v>10126.0</v>
      </c>
      <c r="D1321" s="1">
        <v>1.479143825E9</v>
      </c>
    </row>
    <row r="1322">
      <c r="A1322" s="1">
        <v>15759.0</v>
      </c>
      <c r="B1322" s="1">
        <v>404.0</v>
      </c>
      <c r="C1322" s="1">
        <v>10126.0</v>
      </c>
      <c r="D1322" s="1">
        <v>1.479144151E9</v>
      </c>
    </row>
    <row r="1323">
      <c r="A1323" s="1">
        <v>15769.0</v>
      </c>
      <c r="B1323" s="1">
        <v>404.0</v>
      </c>
      <c r="C1323" s="1">
        <v>10126.0</v>
      </c>
      <c r="D1323" s="1">
        <v>1.479144448E9</v>
      </c>
    </row>
    <row r="1324">
      <c r="A1324" s="1">
        <v>15771.0</v>
      </c>
      <c r="B1324" s="1">
        <v>404.0</v>
      </c>
      <c r="C1324" s="1">
        <v>10126.0</v>
      </c>
      <c r="D1324" s="1">
        <v>1.479144616E9</v>
      </c>
    </row>
    <row r="1325">
      <c r="A1325" s="1">
        <v>15772.0</v>
      </c>
      <c r="B1325" s="1">
        <v>405.0</v>
      </c>
      <c r="C1325" s="1">
        <v>10126.0</v>
      </c>
      <c r="D1325" s="1">
        <v>1.479144684E9</v>
      </c>
    </row>
    <row r="1326">
      <c r="A1326" s="1">
        <v>15779.0</v>
      </c>
      <c r="B1326" s="1">
        <v>404.0</v>
      </c>
      <c r="C1326" s="1">
        <v>10126.0</v>
      </c>
      <c r="D1326" s="1">
        <v>1.479145036E9</v>
      </c>
    </row>
    <row r="1327">
      <c r="A1327" s="1">
        <v>15801.0</v>
      </c>
      <c r="B1327" s="1">
        <v>403.0</v>
      </c>
      <c r="C1327" s="1">
        <v>10126.0</v>
      </c>
      <c r="D1327" s="1">
        <v>1.479145653E9</v>
      </c>
    </row>
    <row r="1328">
      <c r="A1328" s="1">
        <v>15802.0</v>
      </c>
      <c r="B1328" s="1">
        <v>403.0</v>
      </c>
      <c r="C1328" s="1">
        <v>10126.0</v>
      </c>
      <c r="D1328" s="1">
        <v>1.47914566E9</v>
      </c>
    </row>
    <row r="1329">
      <c r="A1329" s="1">
        <v>15815.0</v>
      </c>
      <c r="B1329" s="1">
        <v>405.0</v>
      </c>
      <c r="C1329" s="1">
        <v>10126.0</v>
      </c>
      <c r="D1329" s="1">
        <v>1.479145945E9</v>
      </c>
    </row>
    <row r="1330">
      <c r="A1330" s="1">
        <v>15828.0</v>
      </c>
      <c r="B1330" s="1">
        <v>404.0</v>
      </c>
      <c r="C1330" s="1">
        <v>10126.0</v>
      </c>
      <c r="D1330" s="1">
        <v>1.479146359E9</v>
      </c>
    </row>
    <row r="1331">
      <c r="A1331" s="1">
        <v>15865.0</v>
      </c>
      <c r="B1331" s="1">
        <v>401.0</v>
      </c>
      <c r="C1331" s="1">
        <v>10135.0</v>
      </c>
      <c r="D1331" s="1">
        <v>1.479149819E9</v>
      </c>
    </row>
    <row r="1332">
      <c r="A1332" s="1">
        <v>15881.0</v>
      </c>
      <c r="B1332" s="1">
        <v>404.0</v>
      </c>
      <c r="C1332" s="1">
        <v>10116.0</v>
      </c>
      <c r="D1332" s="1">
        <v>1.479155853E9</v>
      </c>
    </row>
    <row r="1333">
      <c r="A1333" s="1">
        <v>15890.0</v>
      </c>
      <c r="B1333" s="1">
        <v>401.0</v>
      </c>
      <c r="C1333" s="1">
        <v>10116.0</v>
      </c>
      <c r="D1333" s="1">
        <v>1.479157291E9</v>
      </c>
    </row>
    <row r="1334">
      <c r="A1334" s="1">
        <v>15907.0</v>
      </c>
      <c r="B1334" s="1">
        <v>401.0</v>
      </c>
      <c r="C1334" s="1">
        <v>10116.0</v>
      </c>
      <c r="D1334" s="1">
        <v>1.479158284E9</v>
      </c>
    </row>
    <row r="1335">
      <c r="A1335" s="1">
        <v>15930.0</v>
      </c>
      <c r="B1335" s="1">
        <v>405.0</v>
      </c>
      <c r="C1335" s="1">
        <v>10116.0</v>
      </c>
      <c r="D1335" s="1">
        <v>1.479158858E9</v>
      </c>
    </row>
    <row r="1336">
      <c r="A1336" s="1">
        <v>15931.0</v>
      </c>
      <c r="B1336" s="1">
        <v>404.0</v>
      </c>
      <c r="C1336" s="1">
        <v>10116.0</v>
      </c>
      <c r="D1336" s="1">
        <v>1.479159287E9</v>
      </c>
    </row>
    <row r="1337">
      <c r="A1337" s="1">
        <v>15933.0</v>
      </c>
      <c r="B1337" s="1">
        <v>404.0</v>
      </c>
      <c r="C1337" s="1">
        <v>10116.0</v>
      </c>
      <c r="D1337" s="1">
        <v>1.479159513E9</v>
      </c>
    </row>
    <row r="1338">
      <c r="A1338" s="1">
        <v>16167.0</v>
      </c>
      <c r="B1338" s="1">
        <v>404.0</v>
      </c>
      <c r="C1338" s="1">
        <v>10146.0</v>
      </c>
      <c r="D1338" s="1">
        <v>1.479224393E9</v>
      </c>
    </row>
    <row r="1339">
      <c r="A1339" s="1">
        <v>16172.0</v>
      </c>
      <c r="B1339" s="1">
        <v>404.0</v>
      </c>
      <c r="C1339" s="1">
        <v>10135.0</v>
      </c>
      <c r="D1339" s="1">
        <v>1.479242487E9</v>
      </c>
    </row>
    <row r="1340">
      <c r="A1340" s="1">
        <v>16173.0</v>
      </c>
      <c r="B1340" s="1">
        <v>404.0</v>
      </c>
      <c r="C1340" s="1">
        <v>10135.0</v>
      </c>
      <c r="D1340" s="1">
        <v>1.479242754E9</v>
      </c>
    </row>
    <row r="1341">
      <c r="A1341" s="1">
        <v>16174.0</v>
      </c>
      <c r="B1341" s="1">
        <v>404.0</v>
      </c>
      <c r="C1341" s="1">
        <v>10135.0</v>
      </c>
      <c r="D1341" s="1">
        <v>1.479242764E9</v>
      </c>
    </row>
    <row r="1342">
      <c r="A1342" s="1">
        <v>16175.0</v>
      </c>
      <c r="B1342" s="1">
        <v>404.0</v>
      </c>
      <c r="C1342" s="1">
        <v>10135.0</v>
      </c>
      <c r="D1342" s="1">
        <v>1.479244755E9</v>
      </c>
    </row>
    <row r="1343">
      <c r="A1343" s="1">
        <v>16180.0</v>
      </c>
      <c r="B1343" s="1">
        <v>404.0</v>
      </c>
      <c r="C1343" s="1">
        <v>10149.0</v>
      </c>
      <c r="D1343" s="1">
        <v>1.479247263E9</v>
      </c>
    </row>
    <row r="1344">
      <c r="A1344" s="1">
        <v>16181.0</v>
      </c>
      <c r="B1344" s="1">
        <v>403.0</v>
      </c>
      <c r="C1344" s="1">
        <v>10149.0</v>
      </c>
      <c r="D1344" s="1">
        <v>1.479247351E9</v>
      </c>
    </row>
    <row r="1345">
      <c r="A1345" s="1">
        <v>16183.0</v>
      </c>
      <c r="B1345" s="1">
        <v>405.0</v>
      </c>
      <c r="C1345" s="1">
        <v>10149.0</v>
      </c>
      <c r="D1345" s="1">
        <v>1.47924738E9</v>
      </c>
    </row>
    <row r="1346">
      <c r="A1346" s="1">
        <v>16189.0</v>
      </c>
      <c r="B1346" s="1">
        <v>405.0</v>
      </c>
      <c r="C1346" s="1">
        <v>10149.0</v>
      </c>
      <c r="D1346" s="1">
        <v>1.479247414E9</v>
      </c>
    </row>
    <row r="1347">
      <c r="A1347" s="1">
        <v>16190.0</v>
      </c>
      <c r="B1347" s="1">
        <v>404.0</v>
      </c>
      <c r="C1347" s="1">
        <v>10149.0</v>
      </c>
      <c r="D1347" s="1">
        <v>1.479248028E9</v>
      </c>
    </row>
    <row r="1348">
      <c r="A1348" s="1">
        <v>16196.0</v>
      </c>
      <c r="B1348" s="1">
        <v>401.0</v>
      </c>
      <c r="C1348" s="1">
        <v>10149.0</v>
      </c>
      <c r="D1348" s="1">
        <v>1.479248297E9</v>
      </c>
    </row>
    <row r="1349">
      <c r="A1349" s="1">
        <v>16204.0</v>
      </c>
      <c r="B1349" s="1">
        <v>403.0</v>
      </c>
      <c r="C1349" s="1">
        <v>10132.0</v>
      </c>
      <c r="D1349" s="1">
        <v>1.479248495E9</v>
      </c>
    </row>
    <row r="1350">
      <c r="A1350" s="1">
        <v>16207.0</v>
      </c>
      <c r="B1350" s="1">
        <v>404.0</v>
      </c>
      <c r="C1350" s="1">
        <v>10132.0</v>
      </c>
      <c r="D1350" s="1">
        <v>1.479248553E9</v>
      </c>
    </row>
    <row r="1351">
      <c r="A1351" s="1">
        <v>16208.0</v>
      </c>
      <c r="B1351" s="1">
        <v>403.0</v>
      </c>
      <c r="C1351" s="1">
        <v>10149.0</v>
      </c>
      <c r="D1351" s="1">
        <v>1.479248593E9</v>
      </c>
    </row>
    <row r="1352">
      <c r="A1352" s="1">
        <v>16209.0</v>
      </c>
      <c r="B1352" s="1">
        <v>401.0</v>
      </c>
      <c r="C1352" s="1">
        <v>10149.0</v>
      </c>
      <c r="D1352" s="1">
        <v>1.479248595E9</v>
      </c>
    </row>
    <row r="1353">
      <c r="A1353" s="1">
        <v>16210.0</v>
      </c>
      <c r="B1353" s="1">
        <v>403.0</v>
      </c>
      <c r="C1353" s="1">
        <v>10149.0</v>
      </c>
      <c r="D1353" s="1">
        <v>1.479248597E9</v>
      </c>
    </row>
    <row r="1354">
      <c r="A1354" s="1">
        <v>16211.0</v>
      </c>
      <c r="B1354" s="1">
        <v>404.0</v>
      </c>
      <c r="C1354" s="1">
        <v>10149.0</v>
      </c>
      <c r="D1354" s="1">
        <v>1.479248599E9</v>
      </c>
    </row>
    <row r="1355">
      <c r="A1355" s="1">
        <v>16218.0</v>
      </c>
      <c r="B1355" s="1">
        <v>403.0</v>
      </c>
      <c r="C1355" s="1">
        <v>10149.0</v>
      </c>
      <c r="D1355" s="1">
        <v>1.479248666E9</v>
      </c>
    </row>
    <row r="1356">
      <c r="A1356" s="1">
        <v>16219.0</v>
      </c>
      <c r="B1356" s="1">
        <v>401.0</v>
      </c>
      <c r="C1356" s="1">
        <v>10149.0</v>
      </c>
      <c r="D1356" s="1">
        <v>1.479248668E9</v>
      </c>
    </row>
    <row r="1357">
      <c r="A1357" s="1">
        <v>16223.0</v>
      </c>
      <c r="B1357" s="1">
        <v>403.0</v>
      </c>
      <c r="C1357" s="1">
        <v>10149.0</v>
      </c>
      <c r="D1357" s="1">
        <v>1.479248686E9</v>
      </c>
    </row>
    <row r="1358">
      <c r="A1358" s="1">
        <v>16227.0</v>
      </c>
      <c r="B1358" s="1">
        <v>404.0</v>
      </c>
      <c r="C1358" s="1">
        <v>10149.0</v>
      </c>
      <c r="D1358" s="1">
        <v>1.479248695E9</v>
      </c>
    </row>
    <row r="1359">
      <c r="A1359" s="1">
        <v>16229.0</v>
      </c>
      <c r="B1359" s="1">
        <v>404.0</v>
      </c>
      <c r="C1359" s="1">
        <v>10132.0</v>
      </c>
      <c r="D1359" s="1">
        <v>1.479248747E9</v>
      </c>
    </row>
    <row r="1360">
      <c r="A1360" s="1">
        <v>16235.0</v>
      </c>
      <c r="B1360" s="1">
        <v>404.0</v>
      </c>
      <c r="C1360" s="1">
        <v>10132.0</v>
      </c>
      <c r="D1360" s="1">
        <v>1.479248926E9</v>
      </c>
    </row>
    <row r="1361">
      <c r="A1361" s="1">
        <v>16239.0</v>
      </c>
      <c r="B1361" s="1">
        <v>404.0</v>
      </c>
      <c r="C1361" s="1">
        <v>10132.0</v>
      </c>
      <c r="D1361" s="1">
        <v>1.479248942E9</v>
      </c>
    </row>
    <row r="1362">
      <c r="A1362" s="1">
        <v>16240.0</v>
      </c>
      <c r="B1362" s="1">
        <v>405.0</v>
      </c>
      <c r="C1362" s="1">
        <v>10132.0</v>
      </c>
      <c r="D1362" s="1">
        <v>1.47924895E9</v>
      </c>
    </row>
    <row r="1363">
      <c r="A1363" s="1">
        <v>16244.0</v>
      </c>
      <c r="B1363" s="1">
        <v>404.0</v>
      </c>
      <c r="C1363" s="1">
        <v>10146.0</v>
      </c>
      <c r="D1363" s="1">
        <v>1.479248989E9</v>
      </c>
    </row>
    <row r="1364">
      <c r="A1364" s="1">
        <v>16255.0</v>
      </c>
      <c r="B1364" s="1">
        <v>405.0</v>
      </c>
      <c r="C1364" s="1">
        <v>10135.0</v>
      </c>
      <c r="D1364" s="1">
        <v>1.479249674E9</v>
      </c>
    </row>
    <row r="1365">
      <c r="A1365" s="1">
        <v>16258.0</v>
      </c>
      <c r="B1365" s="1">
        <v>403.0</v>
      </c>
      <c r="C1365" s="1">
        <v>10146.0</v>
      </c>
      <c r="D1365" s="1">
        <v>1.479250048E9</v>
      </c>
    </row>
    <row r="1366">
      <c r="A1366" s="1">
        <v>16261.0</v>
      </c>
      <c r="B1366" s="1">
        <v>403.0</v>
      </c>
      <c r="C1366" s="1">
        <v>10146.0</v>
      </c>
      <c r="D1366" s="1">
        <v>1.479250076E9</v>
      </c>
    </row>
    <row r="1367">
      <c r="A1367" s="1">
        <v>16272.0</v>
      </c>
      <c r="B1367" s="1">
        <v>405.0</v>
      </c>
      <c r="C1367" s="1">
        <v>10146.0</v>
      </c>
      <c r="D1367" s="1">
        <v>1.479250175E9</v>
      </c>
    </row>
    <row r="1368">
      <c r="A1368" s="1">
        <v>16373.0</v>
      </c>
      <c r="B1368" s="1">
        <v>404.0</v>
      </c>
      <c r="C1368" s="1">
        <v>10141.0</v>
      </c>
      <c r="D1368" s="1">
        <v>1.479254899E9</v>
      </c>
    </row>
    <row r="1369">
      <c r="A1369" s="1">
        <v>16374.0</v>
      </c>
      <c r="B1369" s="1">
        <v>404.0</v>
      </c>
      <c r="C1369" s="1">
        <v>10141.0</v>
      </c>
      <c r="D1369" s="1">
        <v>1.479254905E9</v>
      </c>
    </row>
    <row r="1370">
      <c r="A1370" s="1">
        <v>16380.0</v>
      </c>
      <c r="B1370" s="1">
        <v>405.0</v>
      </c>
      <c r="C1370" s="1">
        <v>10141.0</v>
      </c>
      <c r="D1370" s="1">
        <v>1.479254973E9</v>
      </c>
    </row>
    <row r="1371">
      <c r="A1371" s="1">
        <v>16475.0</v>
      </c>
      <c r="B1371" s="1">
        <v>405.0</v>
      </c>
      <c r="C1371" s="1">
        <v>10146.0</v>
      </c>
      <c r="D1371" s="1">
        <v>1.479258195E9</v>
      </c>
    </row>
    <row r="1372">
      <c r="A1372" s="1">
        <v>16486.0</v>
      </c>
      <c r="B1372" s="1">
        <v>405.0</v>
      </c>
      <c r="C1372" s="1">
        <v>10146.0</v>
      </c>
      <c r="D1372" s="1">
        <v>1.479258576E9</v>
      </c>
    </row>
    <row r="1373">
      <c r="A1373" s="1">
        <v>16847.0</v>
      </c>
      <c r="B1373" s="1">
        <v>403.0</v>
      </c>
      <c r="C1373" s="1">
        <v>10119.0</v>
      </c>
      <c r="D1373" s="1">
        <v>1.47926811E9</v>
      </c>
    </row>
    <row r="1374">
      <c r="A1374" s="1">
        <v>16849.0</v>
      </c>
      <c r="B1374" s="1">
        <v>404.0</v>
      </c>
      <c r="C1374" s="1">
        <v>10119.0</v>
      </c>
      <c r="D1374" s="1">
        <v>1.479268116E9</v>
      </c>
    </row>
    <row r="1375">
      <c r="A1375" s="1">
        <v>16851.0</v>
      </c>
      <c r="B1375" s="1">
        <v>405.0</v>
      </c>
      <c r="C1375" s="1">
        <v>10119.0</v>
      </c>
      <c r="D1375" s="1">
        <v>1.47926812E9</v>
      </c>
    </row>
    <row r="1376">
      <c r="A1376" s="1">
        <v>16853.0</v>
      </c>
      <c r="B1376" s="1">
        <v>401.0</v>
      </c>
      <c r="C1376" s="1">
        <v>10119.0</v>
      </c>
      <c r="D1376" s="1">
        <v>1.479268127E9</v>
      </c>
    </row>
    <row r="1377">
      <c r="A1377" s="1">
        <v>16861.0</v>
      </c>
      <c r="B1377" s="1">
        <v>404.0</v>
      </c>
      <c r="C1377" s="1">
        <v>10148.0</v>
      </c>
      <c r="D1377" s="1">
        <v>1.479268357E9</v>
      </c>
    </row>
    <row r="1378">
      <c r="A1378" s="1">
        <v>17100.0</v>
      </c>
      <c r="B1378" s="1">
        <v>404.0</v>
      </c>
      <c r="C1378" s="1">
        <v>10135.0</v>
      </c>
      <c r="D1378" s="1">
        <v>1.479299958E9</v>
      </c>
    </row>
    <row r="1379">
      <c r="A1379" s="1">
        <v>17101.0</v>
      </c>
      <c r="B1379" s="1">
        <v>404.0</v>
      </c>
      <c r="C1379" s="1">
        <v>10135.0</v>
      </c>
      <c r="D1379" s="1">
        <v>1.479299978E9</v>
      </c>
    </row>
    <row r="1380">
      <c r="A1380" s="1">
        <v>17102.0</v>
      </c>
      <c r="B1380" s="1">
        <v>404.0</v>
      </c>
      <c r="C1380" s="1">
        <v>10135.0</v>
      </c>
      <c r="D1380" s="1">
        <v>1.479300001E9</v>
      </c>
    </row>
    <row r="1381">
      <c r="A1381" s="1">
        <v>17103.0</v>
      </c>
      <c r="B1381" s="1">
        <v>404.0</v>
      </c>
      <c r="C1381" s="1">
        <v>10135.0</v>
      </c>
      <c r="D1381" s="1">
        <v>1.479300105E9</v>
      </c>
    </row>
    <row r="1382">
      <c r="A1382" s="1">
        <v>17110.0</v>
      </c>
      <c r="B1382" s="1">
        <v>404.0</v>
      </c>
      <c r="C1382" s="1">
        <v>10127.0</v>
      </c>
      <c r="D1382" s="1">
        <v>1.479308423E9</v>
      </c>
    </row>
    <row r="1383">
      <c r="A1383" s="1">
        <v>17112.0</v>
      </c>
      <c r="B1383" s="1">
        <v>404.0</v>
      </c>
      <c r="C1383" s="1">
        <v>10127.0</v>
      </c>
      <c r="D1383" s="1">
        <v>1.479309144E9</v>
      </c>
    </row>
    <row r="1384">
      <c r="A1384" s="1">
        <v>17113.0</v>
      </c>
      <c r="B1384" s="1">
        <v>403.0</v>
      </c>
      <c r="C1384" s="1">
        <v>10127.0</v>
      </c>
      <c r="D1384" s="1">
        <v>1.479309172E9</v>
      </c>
    </row>
    <row r="1385">
      <c r="A1385" s="1">
        <v>17128.0</v>
      </c>
      <c r="B1385" s="1">
        <v>401.0</v>
      </c>
      <c r="C1385" s="1">
        <v>10127.0</v>
      </c>
      <c r="D1385" s="1">
        <v>1.479309271E9</v>
      </c>
    </row>
    <row r="1386">
      <c r="A1386" s="1">
        <v>17130.0</v>
      </c>
      <c r="B1386" s="1">
        <v>403.0</v>
      </c>
      <c r="C1386" s="1">
        <v>10127.0</v>
      </c>
      <c r="D1386" s="1">
        <v>1.479309292E9</v>
      </c>
    </row>
    <row r="1387">
      <c r="A1387" s="1">
        <v>17132.0</v>
      </c>
      <c r="B1387" s="1">
        <v>401.0</v>
      </c>
      <c r="C1387" s="1">
        <v>10127.0</v>
      </c>
      <c r="D1387" s="1">
        <v>1.479309307E9</v>
      </c>
    </row>
    <row r="1388">
      <c r="A1388" s="1">
        <v>17134.0</v>
      </c>
      <c r="B1388" s="1">
        <v>403.0</v>
      </c>
      <c r="C1388" s="1">
        <v>10127.0</v>
      </c>
      <c r="D1388" s="1">
        <v>1.47930932E9</v>
      </c>
    </row>
    <row r="1389">
      <c r="A1389" s="1">
        <v>17137.0</v>
      </c>
      <c r="B1389" s="1">
        <v>403.0</v>
      </c>
      <c r="C1389" s="1">
        <v>10127.0</v>
      </c>
      <c r="D1389" s="1">
        <v>1.479309345E9</v>
      </c>
    </row>
    <row r="1390">
      <c r="A1390" s="1">
        <v>17141.0</v>
      </c>
      <c r="B1390" s="1">
        <v>403.0</v>
      </c>
      <c r="C1390" s="1">
        <v>10127.0</v>
      </c>
      <c r="D1390" s="1">
        <v>1.479309462E9</v>
      </c>
    </row>
    <row r="1391">
      <c r="A1391" s="1">
        <v>17143.0</v>
      </c>
      <c r="B1391" s="1">
        <v>404.0</v>
      </c>
      <c r="C1391" s="1">
        <v>10127.0</v>
      </c>
      <c r="D1391" s="1">
        <v>1.47930953E9</v>
      </c>
    </row>
    <row r="1392">
      <c r="A1392" s="1">
        <v>17157.0</v>
      </c>
      <c r="B1392" s="1">
        <v>401.0</v>
      </c>
      <c r="C1392" s="1">
        <v>2.0</v>
      </c>
      <c r="D1392" s="1">
        <v>1.47931342E9</v>
      </c>
    </row>
    <row r="1393">
      <c r="A1393" s="1">
        <v>17165.0</v>
      </c>
      <c r="B1393" s="1">
        <v>405.0</v>
      </c>
      <c r="C1393" s="1">
        <v>2.0</v>
      </c>
      <c r="D1393" s="1">
        <v>1.479313968E9</v>
      </c>
    </row>
    <row r="1394">
      <c r="A1394" s="1">
        <v>17174.0</v>
      </c>
      <c r="B1394" s="1">
        <v>404.0</v>
      </c>
      <c r="C1394" s="1">
        <v>10133.0</v>
      </c>
      <c r="D1394" s="1">
        <v>1.479314636E9</v>
      </c>
    </row>
    <row r="1395">
      <c r="A1395" s="1">
        <v>17190.0</v>
      </c>
      <c r="B1395" s="1">
        <v>403.0</v>
      </c>
      <c r="C1395" s="1">
        <v>10133.0</v>
      </c>
      <c r="D1395" s="1">
        <v>1.479316419E9</v>
      </c>
    </row>
    <row r="1396">
      <c r="A1396" s="1">
        <v>17203.0</v>
      </c>
      <c r="B1396" s="1">
        <v>401.0</v>
      </c>
      <c r="C1396" s="1">
        <v>2.0</v>
      </c>
      <c r="D1396" s="1">
        <v>1.479316802E9</v>
      </c>
    </row>
    <row r="1397">
      <c r="A1397" s="1">
        <v>17205.0</v>
      </c>
      <c r="B1397" s="1">
        <v>403.0</v>
      </c>
      <c r="C1397" s="1">
        <v>10133.0</v>
      </c>
      <c r="D1397" s="1">
        <v>1.479316817E9</v>
      </c>
    </row>
    <row r="1398">
      <c r="A1398" s="1">
        <v>17208.0</v>
      </c>
      <c r="B1398" s="1">
        <v>405.0</v>
      </c>
      <c r="C1398" s="1">
        <v>10133.0</v>
      </c>
      <c r="D1398" s="1">
        <v>1.479316991E9</v>
      </c>
    </row>
    <row r="1399">
      <c r="A1399" s="1">
        <v>17210.0</v>
      </c>
      <c r="B1399" s="1">
        <v>404.0</v>
      </c>
      <c r="C1399" s="1">
        <v>2.0</v>
      </c>
      <c r="D1399" s="1">
        <v>1.479317173E9</v>
      </c>
    </row>
    <row r="1400">
      <c r="A1400" s="1">
        <v>17212.0</v>
      </c>
      <c r="B1400" s="1">
        <v>404.0</v>
      </c>
      <c r="C1400" s="1">
        <v>2.0</v>
      </c>
      <c r="D1400" s="1">
        <v>1.479317774E9</v>
      </c>
    </row>
    <row r="1401">
      <c r="A1401" s="1">
        <v>17224.0</v>
      </c>
      <c r="B1401" s="1">
        <v>404.0</v>
      </c>
      <c r="C1401" s="1">
        <v>2.0</v>
      </c>
      <c r="D1401" s="1">
        <v>1.479318758E9</v>
      </c>
    </row>
    <row r="1402">
      <c r="A1402" s="1">
        <v>17229.0</v>
      </c>
      <c r="B1402" s="1">
        <v>404.0</v>
      </c>
      <c r="C1402" s="1">
        <v>2.0</v>
      </c>
      <c r="D1402" s="1">
        <v>1.479319162E9</v>
      </c>
    </row>
    <row r="1403">
      <c r="A1403" s="1">
        <v>17230.0</v>
      </c>
      <c r="B1403" s="1">
        <v>404.0</v>
      </c>
      <c r="C1403" s="1">
        <v>2.0</v>
      </c>
      <c r="D1403" s="1">
        <v>1.479319553E9</v>
      </c>
    </row>
    <row r="1404">
      <c r="A1404" s="1">
        <v>17235.0</v>
      </c>
      <c r="B1404" s="1">
        <v>403.0</v>
      </c>
      <c r="C1404" s="1">
        <v>10133.0</v>
      </c>
      <c r="D1404" s="1">
        <v>1.479320074E9</v>
      </c>
    </row>
    <row r="1405">
      <c r="A1405" s="1">
        <v>17376.0</v>
      </c>
      <c r="B1405" s="1">
        <v>403.0</v>
      </c>
      <c r="C1405" s="1">
        <v>2.0</v>
      </c>
      <c r="D1405" s="1">
        <v>1.479335451E9</v>
      </c>
    </row>
    <row r="1406">
      <c r="A1406" s="1">
        <v>17416.0</v>
      </c>
      <c r="B1406" s="1">
        <v>403.0</v>
      </c>
      <c r="C1406" s="1">
        <v>10130.0</v>
      </c>
      <c r="D1406" s="1">
        <v>1.479343177E9</v>
      </c>
    </row>
    <row r="1407">
      <c r="A1407" s="1">
        <v>17417.0</v>
      </c>
      <c r="B1407" s="1">
        <v>404.0</v>
      </c>
      <c r="C1407" s="1">
        <v>10130.0</v>
      </c>
      <c r="D1407" s="1">
        <v>1.479343177E9</v>
      </c>
    </row>
    <row r="1408">
      <c r="A1408" s="1">
        <v>17424.0</v>
      </c>
      <c r="B1408" s="1">
        <v>404.0</v>
      </c>
      <c r="C1408" s="1">
        <v>10129.0</v>
      </c>
      <c r="D1408" s="1">
        <v>1.479343412E9</v>
      </c>
    </row>
    <row r="1409">
      <c r="A1409" s="1">
        <v>17428.0</v>
      </c>
      <c r="B1409" s="1">
        <v>404.0</v>
      </c>
      <c r="C1409" s="1">
        <v>10130.0</v>
      </c>
      <c r="D1409" s="1">
        <v>1.479343563E9</v>
      </c>
    </row>
    <row r="1410">
      <c r="A1410" s="1">
        <v>17432.0</v>
      </c>
      <c r="B1410" s="1">
        <v>404.0</v>
      </c>
      <c r="C1410" s="1">
        <v>10146.0</v>
      </c>
      <c r="D1410" s="1">
        <v>1.479343705E9</v>
      </c>
    </row>
    <row r="1411">
      <c r="A1411" s="1">
        <v>17436.0</v>
      </c>
      <c r="B1411" s="1">
        <v>403.0</v>
      </c>
      <c r="C1411" s="1">
        <v>10130.0</v>
      </c>
      <c r="D1411" s="1">
        <v>1.479343754E9</v>
      </c>
    </row>
    <row r="1412">
      <c r="A1412" s="1">
        <v>17438.0</v>
      </c>
      <c r="B1412" s="1">
        <v>404.0</v>
      </c>
      <c r="C1412" s="1">
        <v>10129.0</v>
      </c>
      <c r="D1412" s="1">
        <v>1.479343792E9</v>
      </c>
    </row>
    <row r="1413">
      <c r="A1413" s="1">
        <v>17439.0</v>
      </c>
      <c r="B1413" s="1">
        <v>403.0</v>
      </c>
      <c r="C1413" s="1">
        <v>10146.0</v>
      </c>
      <c r="D1413" s="1">
        <v>1.479343798E9</v>
      </c>
    </row>
    <row r="1414">
      <c r="A1414" s="1">
        <v>17441.0</v>
      </c>
      <c r="B1414" s="1">
        <v>401.0</v>
      </c>
      <c r="C1414" s="1">
        <v>10146.0</v>
      </c>
      <c r="D1414" s="1">
        <v>1.47934381E9</v>
      </c>
    </row>
    <row r="1415">
      <c r="A1415" s="1">
        <v>17443.0</v>
      </c>
      <c r="B1415" s="1">
        <v>403.0</v>
      </c>
      <c r="C1415" s="1">
        <v>10146.0</v>
      </c>
      <c r="D1415" s="1">
        <v>1.47934382E9</v>
      </c>
    </row>
    <row r="1416">
      <c r="A1416" s="1">
        <v>17448.0</v>
      </c>
      <c r="B1416" s="1">
        <v>404.0</v>
      </c>
      <c r="C1416" s="1">
        <v>10130.0</v>
      </c>
      <c r="D1416" s="1">
        <v>1.479344121E9</v>
      </c>
    </row>
    <row r="1417">
      <c r="A1417" s="1">
        <v>17454.0</v>
      </c>
      <c r="B1417" s="1">
        <v>401.0</v>
      </c>
      <c r="C1417" s="1">
        <v>10130.0</v>
      </c>
      <c r="D1417" s="1">
        <v>1.479344359E9</v>
      </c>
    </row>
    <row r="1418">
      <c r="A1418" s="1">
        <v>17455.0</v>
      </c>
      <c r="B1418" s="1">
        <v>403.0</v>
      </c>
      <c r="C1418" s="1">
        <v>10130.0</v>
      </c>
      <c r="D1418" s="1">
        <v>1.479344398E9</v>
      </c>
    </row>
    <row r="1419">
      <c r="A1419" s="1">
        <v>17457.0</v>
      </c>
      <c r="B1419" s="1">
        <v>404.0</v>
      </c>
      <c r="C1419" s="1">
        <v>10129.0</v>
      </c>
      <c r="D1419" s="1">
        <v>1.479344404E9</v>
      </c>
    </row>
    <row r="1420">
      <c r="A1420" s="1">
        <v>17458.0</v>
      </c>
      <c r="B1420" s="1">
        <v>403.0</v>
      </c>
      <c r="C1420" s="1">
        <v>10130.0</v>
      </c>
      <c r="D1420" s="1">
        <v>1.47934442E9</v>
      </c>
    </row>
    <row r="1421">
      <c r="A1421" s="1">
        <v>17470.0</v>
      </c>
      <c r="B1421" s="1">
        <v>403.0</v>
      </c>
      <c r="C1421" s="1">
        <v>10123.0</v>
      </c>
      <c r="D1421" s="1">
        <v>1.479344511E9</v>
      </c>
    </row>
    <row r="1422">
      <c r="A1422" s="1">
        <v>17473.0</v>
      </c>
      <c r="B1422" s="1">
        <v>403.0</v>
      </c>
      <c r="C1422" s="1">
        <v>10129.0</v>
      </c>
      <c r="D1422" s="1">
        <v>1.479344571E9</v>
      </c>
    </row>
    <row r="1423">
      <c r="A1423" s="1">
        <v>17475.0</v>
      </c>
      <c r="B1423" s="1">
        <v>404.0</v>
      </c>
      <c r="C1423" s="1">
        <v>10123.0</v>
      </c>
      <c r="D1423" s="1">
        <v>1.479344635E9</v>
      </c>
    </row>
    <row r="1424">
      <c r="A1424" s="1">
        <v>17477.0</v>
      </c>
      <c r="B1424" s="1">
        <v>404.0</v>
      </c>
      <c r="C1424" s="1">
        <v>10129.0</v>
      </c>
      <c r="D1424" s="1">
        <v>1.47934464E9</v>
      </c>
    </row>
    <row r="1425">
      <c r="A1425" s="1">
        <v>17478.0</v>
      </c>
      <c r="B1425" s="1">
        <v>401.0</v>
      </c>
      <c r="C1425" s="1">
        <v>10129.0</v>
      </c>
      <c r="D1425" s="1">
        <v>1.479344643E9</v>
      </c>
    </row>
    <row r="1426">
      <c r="A1426" s="1">
        <v>17480.0</v>
      </c>
      <c r="B1426" s="1">
        <v>404.0</v>
      </c>
      <c r="C1426" s="1">
        <v>10129.0</v>
      </c>
      <c r="D1426" s="1">
        <v>1.479344656E9</v>
      </c>
    </row>
    <row r="1427">
      <c r="A1427" s="1">
        <v>17481.0</v>
      </c>
      <c r="B1427" s="1">
        <v>401.0</v>
      </c>
      <c r="C1427" s="1">
        <v>10123.0</v>
      </c>
      <c r="D1427" s="1">
        <v>1.47934466E9</v>
      </c>
    </row>
    <row r="1428">
      <c r="A1428" s="1">
        <v>17483.0</v>
      </c>
      <c r="B1428" s="1">
        <v>401.0</v>
      </c>
      <c r="C1428" s="1">
        <v>10129.0</v>
      </c>
      <c r="D1428" s="1">
        <v>1.479344677E9</v>
      </c>
    </row>
    <row r="1429">
      <c r="A1429" s="1">
        <v>17493.0</v>
      </c>
      <c r="B1429" s="1">
        <v>403.0</v>
      </c>
      <c r="C1429" s="1">
        <v>10129.0</v>
      </c>
      <c r="D1429" s="1">
        <v>1.479344744E9</v>
      </c>
    </row>
    <row r="1430">
      <c r="A1430" s="1">
        <v>17494.0</v>
      </c>
      <c r="B1430" s="1">
        <v>404.0</v>
      </c>
      <c r="C1430" s="1">
        <v>10129.0</v>
      </c>
      <c r="D1430" s="1">
        <v>1.479344748E9</v>
      </c>
    </row>
    <row r="1431">
      <c r="A1431" s="1">
        <v>17495.0</v>
      </c>
      <c r="B1431" s="1">
        <v>404.0</v>
      </c>
      <c r="C1431" s="1">
        <v>10123.0</v>
      </c>
      <c r="D1431" s="1">
        <v>1.479344764E9</v>
      </c>
    </row>
    <row r="1432">
      <c r="A1432" s="1">
        <v>17496.0</v>
      </c>
      <c r="B1432" s="1">
        <v>405.0</v>
      </c>
      <c r="C1432" s="1">
        <v>10123.0</v>
      </c>
      <c r="D1432" s="1">
        <v>1.479344765E9</v>
      </c>
    </row>
    <row r="1433">
      <c r="A1433" s="1">
        <v>17498.0</v>
      </c>
      <c r="B1433" s="1">
        <v>405.0</v>
      </c>
      <c r="C1433" s="1">
        <v>10123.0</v>
      </c>
      <c r="D1433" s="1">
        <v>1.479344775E9</v>
      </c>
    </row>
    <row r="1434">
      <c r="A1434" s="1">
        <v>17500.0</v>
      </c>
      <c r="B1434" s="1">
        <v>404.0</v>
      </c>
      <c r="C1434" s="1">
        <v>10129.0</v>
      </c>
      <c r="D1434" s="1">
        <v>1.479344825E9</v>
      </c>
    </row>
    <row r="1435">
      <c r="A1435" s="1">
        <v>17501.0</v>
      </c>
      <c r="B1435" s="1">
        <v>401.0</v>
      </c>
      <c r="C1435" s="1">
        <v>10129.0</v>
      </c>
      <c r="D1435" s="1">
        <v>1.479344826E9</v>
      </c>
    </row>
    <row r="1436">
      <c r="A1436" s="1">
        <v>17502.0</v>
      </c>
      <c r="B1436" s="1">
        <v>403.0</v>
      </c>
      <c r="C1436" s="1">
        <v>10129.0</v>
      </c>
      <c r="D1436" s="1">
        <v>1.479344828E9</v>
      </c>
    </row>
    <row r="1437">
      <c r="A1437" s="1">
        <v>17505.0</v>
      </c>
      <c r="B1437" s="1">
        <v>404.0</v>
      </c>
      <c r="C1437" s="1">
        <v>10129.0</v>
      </c>
      <c r="D1437" s="1">
        <v>1.479344835E9</v>
      </c>
    </row>
    <row r="1438">
      <c r="A1438" s="1">
        <v>17511.0</v>
      </c>
      <c r="B1438" s="1">
        <v>404.0</v>
      </c>
      <c r="C1438" s="1">
        <v>10129.0</v>
      </c>
      <c r="D1438" s="1">
        <v>1.479345671E9</v>
      </c>
    </row>
    <row r="1439">
      <c r="A1439" s="1">
        <v>17512.0</v>
      </c>
      <c r="B1439" s="1">
        <v>405.0</v>
      </c>
      <c r="C1439" s="1">
        <v>10129.0</v>
      </c>
      <c r="D1439" s="1">
        <v>1.479345761E9</v>
      </c>
    </row>
    <row r="1440">
      <c r="A1440" s="1">
        <v>17524.0</v>
      </c>
      <c r="B1440" s="1">
        <v>403.0</v>
      </c>
      <c r="C1440" s="1">
        <v>10138.0</v>
      </c>
      <c r="D1440" s="1">
        <v>1.479346328E9</v>
      </c>
    </row>
    <row r="1441">
      <c r="A1441" s="1">
        <v>17533.0</v>
      </c>
      <c r="B1441" s="1">
        <v>404.0</v>
      </c>
      <c r="C1441" s="1">
        <v>10138.0</v>
      </c>
      <c r="D1441" s="1">
        <v>1.479346382E9</v>
      </c>
    </row>
    <row r="1442">
      <c r="A1442" s="1">
        <v>17536.0</v>
      </c>
      <c r="B1442" s="1">
        <v>404.0</v>
      </c>
      <c r="C1442" s="1">
        <v>10138.0</v>
      </c>
      <c r="D1442" s="1">
        <v>1.479346507E9</v>
      </c>
    </row>
    <row r="1443">
      <c r="A1443" s="1">
        <v>17537.0</v>
      </c>
      <c r="B1443" s="1">
        <v>404.0</v>
      </c>
      <c r="C1443" s="1">
        <v>10129.0</v>
      </c>
      <c r="D1443" s="1">
        <v>1.479346509E9</v>
      </c>
    </row>
    <row r="1444">
      <c r="A1444" s="1">
        <v>17578.0</v>
      </c>
      <c r="B1444" s="1">
        <v>404.0</v>
      </c>
      <c r="C1444" s="1">
        <v>10138.0</v>
      </c>
      <c r="D1444" s="1">
        <v>1.479346738E9</v>
      </c>
    </row>
    <row r="1445">
      <c r="A1445" s="1">
        <v>17616.0</v>
      </c>
      <c r="B1445" s="1">
        <v>405.0</v>
      </c>
      <c r="C1445" s="1">
        <v>10129.0</v>
      </c>
      <c r="D1445" s="1">
        <v>1.479346932E9</v>
      </c>
    </row>
    <row r="1446">
      <c r="A1446" s="1">
        <v>17620.0</v>
      </c>
      <c r="B1446" s="1">
        <v>401.0</v>
      </c>
      <c r="C1446" s="1">
        <v>2.0</v>
      </c>
      <c r="D1446" s="1">
        <v>1.479346992E9</v>
      </c>
    </row>
    <row r="1447">
      <c r="A1447" s="1">
        <v>17621.0</v>
      </c>
      <c r="B1447" s="1">
        <v>401.0</v>
      </c>
      <c r="C1447" s="1">
        <v>10138.0</v>
      </c>
      <c r="D1447" s="1">
        <v>1.479347053E9</v>
      </c>
    </row>
    <row r="1448">
      <c r="A1448" s="1">
        <v>17622.0</v>
      </c>
      <c r="B1448" s="1">
        <v>403.0</v>
      </c>
      <c r="C1448" s="1">
        <v>10138.0</v>
      </c>
      <c r="D1448" s="1">
        <v>1.479347054E9</v>
      </c>
    </row>
    <row r="1449">
      <c r="A1449" s="1">
        <v>17623.0</v>
      </c>
      <c r="B1449" s="1">
        <v>404.0</v>
      </c>
      <c r="C1449" s="1">
        <v>10138.0</v>
      </c>
      <c r="D1449" s="1">
        <v>1.479347056E9</v>
      </c>
    </row>
    <row r="1450">
      <c r="A1450" s="1">
        <v>17624.0</v>
      </c>
      <c r="B1450" s="1">
        <v>403.0</v>
      </c>
      <c r="C1450" s="1">
        <v>10138.0</v>
      </c>
      <c r="D1450" s="1">
        <v>1.479347057E9</v>
      </c>
    </row>
    <row r="1451">
      <c r="A1451" s="1">
        <v>17626.0</v>
      </c>
      <c r="B1451" s="1">
        <v>404.0</v>
      </c>
      <c r="C1451" s="1">
        <v>10129.0</v>
      </c>
      <c r="D1451" s="1">
        <v>1.479347158E9</v>
      </c>
    </row>
    <row r="1452">
      <c r="A1452" s="1">
        <v>17638.0</v>
      </c>
      <c r="B1452" s="1">
        <v>404.0</v>
      </c>
      <c r="C1452" s="1">
        <v>10123.0</v>
      </c>
      <c r="D1452" s="1">
        <v>1.479347531E9</v>
      </c>
    </row>
    <row r="1453">
      <c r="A1453" s="1">
        <v>17645.0</v>
      </c>
      <c r="B1453" s="1">
        <v>404.0</v>
      </c>
      <c r="C1453" s="1">
        <v>10138.0</v>
      </c>
      <c r="D1453" s="1">
        <v>1.479347562E9</v>
      </c>
    </row>
    <row r="1454">
      <c r="A1454" s="1">
        <v>17650.0</v>
      </c>
      <c r="B1454" s="1">
        <v>403.0</v>
      </c>
      <c r="C1454" s="1">
        <v>10138.0</v>
      </c>
      <c r="D1454" s="1">
        <v>1.479347574E9</v>
      </c>
    </row>
    <row r="1455">
      <c r="A1455" s="1">
        <v>17655.0</v>
      </c>
      <c r="B1455" s="1">
        <v>404.0</v>
      </c>
      <c r="C1455" s="1">
        <v>10138.0</v>
      </c>
      <c r="D1455" s="1">
        <v>1.479347593E9</v>
      </c>
    </row>
    <row r="1456">
      <c r="A1456" s="1">
        <v>17665.0</v>
      </c>
      <c r="B1456" s="1">
        <v>404.0</v>
      </c>
      <c r="C1456" s="1">
        <v>10130.0</v>
      </c>
      <c r="D1456" s="1">
        <v>1.479347755E9</v>
      </c>
    </row>
    <row r="1457">
      <c r="A1457" s="1">
        <v>17699.0</v>
      </c>
      <c r="B1457" s="1">
        <v>403.0</v>
      </c>
      <c r="C1457" s="1">
        <v>10138.0</v>
      </c>
      <c r="D1457" s="1">
        <v>1.479347884E9</v>
      </c>
    </row>
    <row r="1458">
      <c r="A1458" s="1">
        <v>17700.0</v>
      </c>
      <c r="B1458" s="1">
        <v>404.0</v>
      </c>
      <c r="C1458" s="1">
        <v>10138.0</v>
      </c>
      <c r="D1458" s="1">
        <v>1.479347886E9</v>
      </c>
    </row>
    <row r="1459">
      <c r="A1459" s="1">
        <v>17709.0</v>
      </c>
      <c r="B1459" s="1">
        <v>405.0</v>
      </c>
      <c r="C1459" s="1">
        <v>10138.0</v>
      </c>
      <c r="D1459" s="1">
        <v>1.479347934E9</v>
      </c>
    </row>
    <row r="1460">
      <c r="A1460" s="1">
        <v>17711.0</v>
      </c>
      <c r="B1460" s="1">
        <v>404.0</v>
      </c>
      <c r="C1460" s="1">
        <v>10142.0</v>
      </c>
      <c r="D1460" s="1">
        <v>1.479347944E9</v>
      </c>
    </row>
    <row r="1461">
      <c r="A1461" s="1">
        <v>18007.0</v>
      </c>
      <c r="B1461" s="1">
        <v>401.0</v>
      </c>
      <c r="C1461" s="1">
        <v>2.0</v>
      </c>
      <c r="D1461" s="1">
        <v>1.479366084E9</v>
      </c>
    </row>
    <row r="1462">
      <c r="A1462" s="1">
        <v>18008.0</v>
      </c>
      <c r="B1462" s="1">
        <v>401.0</v>
      </c>
      <c r="C1462" s="1">
        <v>2.0</v>
      </c>
      <c r="D1462" s="1">
        <v>1.479366086E9</v>
      </c>
    </row>
    <row r="1463">
      <c r="A1463" s="1">
        <v>18098.0</v>
      </c>
      <c r="B1463" s="1">
        <v>401.0</v>
      </c>
      <c r="C1463" s="1">
        <v>2.0</v>
      </c>
      <c r="D1463" s="1">
        <v>1.479367969E9</v>
      </c>
    </row>
    <row r="1464">
      <c r="A1464" s="1">
        <v>18372.0</v>
      </c>
      <c r="B1464" s="1">
        <v>405.0</v>
      </c>
      <c r="C1464" s="1">
        <v>10144.0</v>
      </c>
      <c r="D1464" s="1">
        <v>1.479379281E9</v>
      </c>
    </row>
    <row r="1465">
      <c r="A1465" s="1">
        <v>18395.0</v>
      </c>
      <c r="B1465" s="1">
        <v>404.0</v>
      </c>
      <c r="C1465" s="1">
        <v>10126.0</v>
      </c>
      <c r="D1465" s="1">
        <v>1.47938525E9</v>
      </c>
    </row>
    <row r="1466">
      <c r="A1466" s="1">
        <v>18396.0</v>
      </c>
      <c r="B1466" s="1">
        <v>404.0</v>
      </c>
      <c r="C1466" s="1">
        <v>10126.0</v>
      </c>
      <c r="D1466" s="1">
        <v>1.479385254E9</v>
      </c>
    </row>
    <row r="1467">
      <c r="A1467" s="1">
        <v>18397.0</v>
      </c>
      <c r="B1467" s="1">
        <v>404.0</v>
      </c>
      <c r="C1467" s="1">
        <v>10126.0</v>
      </c>
      <c r="D1467" s="1">
        <v>1.479385262E9</v>
      </c>
    </row>
    <row r="1468">
      <c r="A1468" s="1">
        <v>18399.0</v>
      </c>
      <c r="B1468" s="1">
        <v>405.0</v>
      </c>
      <c r="C1468" s="1">
        <v>10126.0</v>
      </c>
      <c r="D1468" s="1">
        <v>1.479385268E9</v>
      </c>
    </row>
    <row r="1469">
      <c r="A1469" s="1">
        <v>18644.0</v>
      </c>
      <c r="B1469" s="1">
        <v>401.0</v>
      </c>
      <c r="C1469" s="1">
        <v>2.0</v>
      </c>
      <c r="D1469" s="1">
        <v>1.47941356E9</v>
      </c>
    </row>
    <row r="1470">
      <c r="A1470" s="1">
        <v>18668.0</v>
      </c>
      <c r="B1470" s="1">
        <v>403.0</v>
      </c>
      <c r="C1470" s="1">
        <v>10125.0</v>
      </c>
      <c r="D1470" s="1">
        <v>1.479417105E9</v>
      </c>
    </row>
    <row r="1471">
      <c r="A1471" s="1">
        <v>18669.0</v>
      </c>
      <c r="B1471" s="1">
        <v>403.0</v>
      </c>
      <c r="C1471" s="1">
        <v>10125.0</v>
      </c>
      <c r="D1471" s="1">
        <v>1.479417145E9</v>
      </c>
    </row>
    <row r="1472">
      <c r="A1472" s="1">
        <v>18670.0</v>
      </c>
      <c r="B1472" s="1">
        <v>404.0</v>
      </c>
      <c r="C1472" s="1">
        <v>10125.0</v>
      </c>
      <c r="D1472" s="1">
        <v>1.47941718E9</v>
      </c>
    </row>
    <row r="1473">
      <c r="A1473" s="1">
        <v>18672.0</v>
      </c>
      <c r="B1473" s="1">
        <v>404.0</v>
      </c>
      <c r="C1473" s="1">
        <v>10125.0</v>
      </c>
      <c r="D1473" s="1">
        <v>1.479417212E9</v>
      </c>
    </row>
    <row r="1474">
      <c r="A1474" s="1">
        <v>19058.0</v>
      </c>
      <c r="B1474" s="1">
        <v>403.0</v>
      </c>
      <c r="C1474" s="1">
        <v>10125.0</v>
      </c>
      <c r="D1474" s="1">
        <v>1.479430537E9</v>
      </c>
    </row>
    <row r="1475">
      <c r="A1475" s="1">
        <v>19059.0</v>
      </c>
      <c r="B1475" s="1">
        <v>403.0</v>
      </c>
      <c r="C1475" s="1">
        <v>10125.0</v>
      </c>
      <c r="D1475" s="1">
        <v>1.479430591E9</v>
      </c>
    </row>
    <row r="1476">
      <c r="A1476" s="1">
        <v>19125.0</v>
      </c>
      <c r="B1476" s="1">
        <v>404.0</v>
      </c>
      <c r="C1476" s="1">
        <v>10125.0</v>
      </c>
      <c r="D1476" s="1">
        <v>1.479440208E9</v>
      </c>
    </row>
    <row r="1477">
      <c r="A1477" s="1">
        <v>19126.0</v>
      </c>
      <c r="B1477" s="1">
        <v>405.0</v>
      </c>
      <c r="C1477" s="1">
        <v>10125.0</v>
      </c>
      <c r="D1477" s="1">
        <v>1.479440219E9</v>
      </c>
    </row>
    <row r="1478">
      <c r="A1478" s="1">
        <v>19575.0</v>
      </c>
      <c r="B1478" s="1">
        <v>404.0</v>
      </c>
      <c r="C1478" s="1">
        <v>10146.0</v>
      </c>
      <c r="D1478" s="1">
        <v>1.479502126E9</v>
      </c>
    </row>
    <row r="1479">
      <c r="A1479" s="1">
        <v>19577.0</v>
      </c>
      <c r="B1479" s="1">
        <v>404.0</v>
      </c>
      <c r="C1479" s="1">
        <v>10146.0</v>
      </c>
      <c r="D1479" s="1">
        <v>1.479502146E9</v>
      </c>
    </row>
    <row r="1480">
      <c r="A1480" s="1">
        <v>19623.0</v>
      </c>
      <c r="B1480" s="1">
        <v>404.0</v>
      </c>
      <c r="C1480" s="1">
        <v>10143.0</v>
      </c>
      <c r="D1480" s="1">
        <v>1.479509356E9</v>
      </c>
    </row>
    <row r="1481">
      <c r="A1481" s="1">
        <v>19629.0</v>
      </c>
      <c r="B1481" s="1">
        <v>404.0</v>
      </c>
      <c r="C1481" s="1">
        <v>10126.0</v>
      </c>
      <c r="D1481" s="1">
        <v>1.47950949E9</v>
      </c>
    </row>
    <row r="1482">
      <c r="A1482" s="1">
        <v>19630.0</v>
      </c>
      <c r="B1482" s="1">
        <v>404.0</v>
      </c>
      <c r="C1482" s="1">
        <v>10126.0</v>
      </c>
      <c r="D1482" s="1">
        <v>1.479509493E9</v>
      </c>
    </row>
    <row r="1483">
      <c r="A1483" s="1">
        <v>19633.0</v>
      </c>
      <c r="B1483" s="1">
        <v>404.0</v>
      </c>
      <c r="C1483" s="1">
        <v>10120.0</v>
      </c>
      <c r="D1483" s="1">
        <v>1.479509527E9</v>
      </c>
    </row>
    <row r="1484">
      <c r="A1484" s="1">
        <v>19637.0</v>
      </c>
      <c r="B1484" s="1">
        <v>401.0</v>
      </c>
      <c r="C1484" s="1">
        <v>10120.0</v>
      </c>
      <c r="D1484" s="1">
        <v>1.47950958E9</v>
      </c>
    </row>
    <row r="1485">
      <c r="A1485" s="1">
        <v>19641.0</v>
      </c>
      <c r="B1485" s="1">
        <v>404.0</v>
      </c>
      <c r="C1485" s="1">
        <v>10120.0</v>
      </c>
      <c r="D1485" s="1">
        <v>1.479509659E9</v>
      </c>
    </row>
    <row r="1486">
      <c r="A1486" s="1">
        <v>19648.0</v>
      </c>
      <c r="B1486" s="1">
        <v>404.0</v>
      </c>
      <c r="C1486" s="1">
        <v>10128.0</v>
      </c>
      <c r="D1486" s="1">
        <v>1.479509754E9</v>
      </c>
    </row>
    <row r="1487">
      <c r="A1487" s="1">
        <v>19655.0</v>
      </c>
      <c r="B1487" s="1">
        <v>405.0</v>
      </c>
      <c r="C1487" s="1">
        <v>10128.0</v>
      </c>
      <c r="D1487" s="1">
        <v>1.47950981E9</v>
      </c>
    </row>
    <row r="1488">
      <c r="A1488" s="1">
        <v>19662.0</v>
      </c>
      <c r="B1488" s="1">
        <v>401.0</v>
      </c>
      <c r="C1488" s="1">
        <v>10120.0</v>
      </c>
      <c r="D1488" s="1">
        <v>1.479509884E9</v>
      </c>
    </row>
    <row r="1489">
      <c r="A1489" s="1">
        <v>19675.0</v>
      </c>
      <c r="B1489" s="1">
        <v>403.0</v>
      </c>
      <c r="C1489" s="1">
        <v>10127.0</v>
      </c>
      <c r="D1489" s="1">
        <v>1.47950996E9</v>
      </c>
    </row>
    <row r="1490">
      <c r="A1490" s="1">
        <v>19681.0</v>
      </c>
      <c r="B1490" s="1">
        <v>403.0</v>
      </c>
      <c r="C1490" s="1">
        <v>10121.0</v>
      </c>
      <c r="D1490" s="1">
        <v>1.479509991E9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0" t="s">
        <v>54</v>
      </c>
      <c r="B1" s="10" t="s">
        <v>0</v>
      </c>
      <c r="C1" s="10" t="s">
        <v>65</v>
      </c>
    </row>
    <row r="2">
      <c r="A2" s="10">
        <v>9544.0</v>
      </c>
      <c r="B2" s="10">
        <v>10115.0</v>
      </c>
      <c r="C2" s="10">
        <v>1.478887828E9</v>
      </c>
    </row>
    <row r="3">
      <c r="A3" s="10">
        <v>9545.0</v>
      </c>
      <c r="B3" s="10">
        <v>10115.0</v>
      </c>
      <c r="C3" s="10">
        <v>1.478887829E9</v>
      </c>
    </row>
    <row r="4">
      <c r="A4" s="10">
        <v>9583.0</v>
      </c>
      <c r="B4" s="10">
        <v>10115.0</v>
      </c>
      <c r="C4" s="10">
        <v>1.478902831E9</v>
      </c>
    </row>
    <row r="5">
      <c r="A5" s="10">
        <v>9584.0</v>
      </c>
      <c r="B5" s="10">
        <v>10115.0</v>
      </c>
      <c r="C5" s="10">
        <v>1.478902831E9</v>
      </c>
    </row>
    <row r="6">
      <c r="A6" s="10">
        <v>9669.0</v>
      </c>
      <c r="B6" s="10">
        <v>10116.0</v>
      </c>
      <c r="C6" s="10">
        <v>1.478905604E9</v>
      </c>
    </row>
    <row r="7">
      <c r="A7" s="10">
        <v>9670.0</v>
      </c>
      <c r="B7" s="10">
        <v>10116.0</v>
      </c>
      <c r="C7" s="10">
        <v>1.478905604E9</v>
      </c>
    </row>
    <row r="8">
      <c r="A8" s="10">
        <v>9679.0</v>
      </c>
      <c r="B8" s="10">
        <v>10119.0</v>
      </c>
      <c r="C8" s="10">
        <v>1.478905634E9</v>
      </c>
    </row>
    <row r="9">
      <c r="A9" s="10">
        <v>9680.0</v>
      </c>
      <c r="B9" s="10">
        <v>10119.0</v>
      </c>
      <c r="C9" s="10">
        <v>1.478905634E9</v>
      </c>
    </row>
    <row r="10">
      <c r="A10" s="10">
        <v>9693.0</v>
      </c>
      <c r="B10" s="10">
        <v>10120.0</v>
      </c>
      <c r="C10" s="10">
        <v>1.478905648E9</v>
      </c>
    </row>
    <row r="11">
      <c r="A11" s="10">
        <v>9694.0</v>
      </c>
      <c r="B11" s="10">
        <v>10120.0</v>
      </c>
      <c r="C11" s="10">
        <v>1.478905648E9</v>
      </c>
    </row>
    <row r="12">
      <c r="A12" s="10">
        <v>9698.0</v>
      </c>
      <c r="B12" s="10">
        <v>10121.0</v>
      </c>
      <c r="C12" s="10">
        <v>1.47890565E9</v>
      </c>
    </row>
    <row r="13">
      <c r="A13" s="10">
        <v>9701.0</v>
      </c>
      <c r="B13" s="10">
        <v>10121.0</v>
      </c>
      <c r="C13" s="10">
        <v>1.478905651E9</v>
      </c>
    </row>
    <row r="14">
      <c r="A14" s="10">
        <v>9721.0</v>
      </c>
      <c r="B14" s="10">
        <v>10122.0</v>
      </c>
      <c r="C14" s="10">
        <v>1.478905675E9</v>
      </c>
    </row>
    <row r="15">
      <c r="A15" s="10">
        <v>9722.0</v>
      </c>
      <c r="B15" s="10">
        <v>10122.0</v>
      </c>
      <c r="C15" s="10">
        <v>1.478905675E9</v>
      </c>
    </row>
    <row r="16">
      <c r="A16" s="10">
        <v>9737.0</v>
      </c>
      <c r="B16" s="10">
        <v>10123.0</v>
      </c>
      <c r="C16" s="10">
        <v>1.478905692E9</v>
      </c>
    </row>
    <row r="17">
      <c r="A17" s="10">
        <v>9740.0</v>
      </c>
      <c r="B17" s="10">
        <v>10123.0</v>
      </c>
      <c r="C17" s="10">
        <v>1.478905692E9</v>
      </c>
    </row>
    <row r="18">
      <c r="A18" s="10">
        <v>9752.0</v>
      </c>
      <c r="B18" s="10">
        <v>10125.0</v>
      </c>
      <c r="C18" s="10">
        <v>1.478905705E9</v>
      </c>
    </row>
    <row r="19">
      <c r="A19" s="10">
        <v>9753.0</v>
      </c>
      <c r="B19" s="10">
        <v>10125.0</v>
      </c>
      <c r="C19" s="10">
        <v>1.478905706E9</v>
      </c>
    </row>
    <row r="20">
      <c r="A20" s="10">
        <v>9758.0</v>
      </c>
      <c r="B20" s="10">
        <v>10126.0</v>
      </c>
      <c r="C20" s="10">
        <v>1.478905714E9</v>
      </c>
    </row>
    <row r="21">
      <c r="A21" s="10">
        <v>9759.0</v>
      </c>
      <c r="B21" s="10">
        <v>10126.0</v>
      </c>
      <c r="C21" s="10">
        <v>1.478905714E9</v>
      </c>
    </row>
    <row r="22">
      <c r="A22" s="10">
        <v>9762.0</v>
      </c>
      <c r="B22" s="10">
        <v>10127.0</v>
      </c>
      <c r="C22" s="10">
        <v>1.478905717E9</v>
      </c>
    </row>
    <row r="23">
      <c r="A23" s="10">
        <v>9765.0</v>
      </c>
      <c r="B23" s="10">
        <v>10127.0</v>
      </c>
      <c r="C23" s="10">
        <v>1.478905718E9</v>
      </c>
    </row>
    <row r="24">
      <c r="A24" s="10">
        <v>9769.0</v>
      </c>
      <c r="B24" s="10">
        <v>10128.0</v>
      </c>
      <c r="C24" s="10">
        <v>1.478905718E9</v>
      </c>
    </row>
    <row r="25">
      <c r="A25" s="10">
        <v>9773.0</v>
      </c>
      <c r="B25" s="10">
        <v>10128.0</v>
      </c>
      <c r="C25" s="10">
        <v>1.478905719E9</v>
      </c>
    </row>
    <row r="26">
      <c r="A26" s="10">
        <v>9775.0</v>
      </c>
      <c r="B26" s="10">
        <v>10119.0</v>
      </c>
      <c r="C26" s="10">
        <v>1.478905723E9</v>
      </c>
    </row>
    <row r="27">
      <c r="A27" s="10">
        <v>9776.0</v>
      </c>
      <c r="B27" s="10">
        <v>10119.0</v>
      </c>
      <c r="C27" s="10">
        <v>1.478905723E9</v>
      </c>
    </row>
    <row r="28">
      <c r="A28" s="10">
        <v>9789.0</v>
      </c>
      <c r="B28" s="10">
        <v>10129.0</v>
      </c>
      <c r="C28" s="10">
        <v>1.478905756E9</v>
      </c>
    </row>
    <row r="29">
      <c r="A29" s="10">
        <v>9790.0</v>
      </c>
      <c r="B29" s="10">
        <v>10129.0</v>
      </c>
      <c r="C29" s="10">
        <v>1.478905756E9</v>
      </c>
    </row>
    <row r="30">
      <c r="A30" s="10">
        <v>9806.0</v>
      </c>
      <c r="B30" s="10">
        <v>10130.0</v>
      </c>
      <c r="C30" s="10">
        <v>1.478905783E9</v>
      </c>
    </row>
    <row r="31">
      <c r="A31" s="10">
        <v>9807.0</v>
      </c>
      <c r="B31" s="10">
        <v>10130.0</v>
      </c>
      <c r="C31" s="10">
        <v>1.478905783E9</v>
      </c>
    </row>
    <row r="32">
      <c r="A32" s="10">
        <v>9815.0</v>
      </c>
      <c r="B32" s="10">
        <v>10131.0</v>
      </c>
      <c r="C32" s="10">
        <v>1.478905789E9</v>
      </c>
    </row>
    <row r="33">
      <c r="A33" s="10">
        <v>9816.0</v>
      </c>
      <c r="B33" s="10">
        <v>10131.0</v>
      </c>
      <c r="C33" s="10">
        <v>1.47890579E9</v>
      </c>
    </row>
    <row r="34">
      <c r="A34" s="10">
        <v>9824.0</v>
      </c>
      <c r="B34" s="10">
        <v>10132.0</v>
      </c>
      <c r="C34" s="10">
        <v>1.478905811E9</v>
      </c>
    </row>
    <row r="35">
      <c r="A35" s="10">
        <v>9825.0</v>
      </c>
      <c r="B35" s="10">
        <v>10132.0</v>
      </c>
      <c r="C35" s="10">
        <v>1.478905811E9</v>
      </c>
    </row>
    <row r="36">
      <c r="A36" s="10">
        <v>9829.0</v>
      </c>
      <c r="B36" s="10">
        <v>10133.0</v>
      </c>
      <c r="C36" s="10">
        <v>1.478905826E9</v>
      </c>
    </row>
    <row r="37">
      <c r="A37" s="10">
        <v>9830.0</v>
      </c>
      <c r="B37" s="10">
        <v>10133.0</v>
      </c>
      <c r="C37" s="10">
        <v>1.478905826E9</v>
      </c>
    </row>
    <row r="38">
      <c r="A38" s="10">
        <v>9836.0</v>
      </c>
      <c r="B38" s="10">
        <v>10134.0</v>
      </c>
      <c r="C38" s="10">
        <v>1.478905852E9</v>
      </c>
    </row>
    <row r="39">
      <c r="A39" s="10">
        <v>9837.0</v>
      </c>
      <c r="B39" s="10">
        <v>10134.0</v>
      </c>
      <c r="C39" s="10">
        <v>1.478905852E9</v>
      </c>
    </row>
    <row r="40">
      <c r="A40" s="10">
        <v>9841.0</v>
      </c>
      <c r="B40" s="10">
        <v>10135.0</v>
      </c>
      <c r="C40" s="10">
        <v>1.478905853E9</v>
      </c>
    </row>
    <row r="41">
      <c r="A41" s="10">
        <v>9842.0</v>
      </c>
      <c r="B41" s="10">
        <v>10135.0</v>
      </c>
      <c r="C41" s="10">
        <v>1.478905853E9</v>
      </c>
    </row>
    <row r="42">
      <c r="A42" s="10">
        <v>9850.0</v>
      </c>
      <c r="B42" s="10">
        <v>10136.0</v>
      </c>
      <c r="C42" s="10">
        <v>1.478905874E9</v>
      </c>
    </row>
    <row r="43">
      <c r="A43" s="10">
        <v>9851.0</v>
      </c>
      <c r="B43" s="10">
        <v>10136.0</v>
      </c>
      <c r="C43" s="10">
        <v>1.478905875E9</v>
      </c>
    </row>
    <row r="44">
      <c r="A44" s="10">
        <v>9868.0</v>
      </c>
      <c r="B44" s="10">
        <v>10137.0</v>
      </c>
      <c r="C44" s="10">
        <v>1.478905887E9</v>
      </c>
    </row>
    <row r="45">
      <c r="A45" s="10">
        <v>9869.0</v>
      </c>
      <c r="B45" s="10">
        <v>10137.0</v>
      </c>
      <c r="C45" s="10">
        <v>1.478905888E9</v>
      </c>
    </row>
    <row r="46">
      <c r="A46" s="10">
        <v>9885.0</v>
      </c>
      <c r="B46" s="10">
        <v>10119.0</v>
      </c>
      <c r="C46" s="10">
        <v>1.47890592E9</v>
      </c>
    </row>
    <row r="47">
      <c r="A47" s="10">
        <v>9886.0</v>
      </c>
      <c r="B47" s="10">
        <v>10119.0</v>
      </c>
      <c r="C47" s="10">
        <v>1.47890592E9</v>
      </c>
    </row>
    <row r="48">
      <c r="A48" s="10">
        <v>9889.0</v>
      </c>
      <c r="B48" s="10">
        <v>10138.0</v>
      </c>
      <c r="C48" s="10">
        <v>1.478905927E9</v>
      </c>
    </row>
    <row r="49">
      <c r="A49" s="10">
        <v>9898.0</v>
      </c>
      <c r="B49" s="10">
        <v>10138.0</v>
      </c>
      <c r="C49" s="10">
        <v>1.478905932E9</v>
      </c>
    </row>
    <row r="50">
      <c r="A50" s="10">
        <v>9940.0</v>
      </c>
      <c r="B50" s="10">
        <v>10139.0</v>
      </c>
      <c r="C50" s="10">
        <v>1.478905969E9</v>
      </c>
    </row>
    <row r="51">
      <c r="A51" s="10">
        <v>9941.0</v>
      </c>
      <c r="B51" s="10">
        <v>10139.0</v>
      </c>
      <c r="C51" s="10">
        <v>1.478905969E9</v>
      </c>
    </row>
    <row r="52">
      <c r="A52" s="10">
        <v>10000.0</v>
      </c>
      <c r="B52" s="10">
        <v>10140.0</v>
      </c>
      <c r="C52" s="10">
        <v>1.478906155E9</v>
      </c>
    </row>
    <row r="53">
      <c r="A53" s="10">
        <v>10001.0</v>
      </c>
      <c r="B53" s="10">
        <v>10140.0</v>
      </c>
      <c r="C53" s="10">
        <v>1.478906156E9</v>
      </c>
    </row>
    <row r="54">
      <c r="A54" s="10">
        <v>10010.0</v>
      </c>
      <c r="B54" s="10">
        <v>10141.0</v>
      </c>
      <c r="C54" s="10">
        <v>1.478906171E9</v>
      </c>
    </row>
    <row r="55">
      <c r="A55" s="10">
        <v>10011.0</v>
      </c>
      <c r="B55" s="10">
        <v>10141.0</v>
      </c>
      <c r="C55" s="10">
        <v>1.478906171E9</v>
      </c>
    </row>
    <row r="56">
      <c r="A56" s="10">
        <v>10033.0</v>
      </c>
      <c r="B56" s="10">
        <v>10142.0</v>
      </c>
      <c r="C56" s="10">
        <v>1.478906193E9</v>
      </c>
    </row>
    <row r="57">
      <c r="A57" s="10">
        <v>10037.0</v>
      </c>
      <c r="B57" s="10">
        <v>10142.0</v>
      </c>
      <c r="C57" s="10">
        <v>1.4789062E9</v>
      </c>
    </row>
    <row r="58">
      <c r="A58" s="10">
        <v>10049.0</v>
      </c>
      <c r="B58" s="10">
        <v>10143.0</v>
      </c>
      <c r="C58" s="10">
        <v>1.478906216E9</v>
      </c>
    </row>
    <row r="59">
      <c r="A59" s="10">
        <v>10050.0</v>
      </c>
      <c r="B59" s="10">
        <v>10143.0</v>
      </c>
      <c r="C59" s="10">
        <v>1.478906216E9</v>
      </c>
    </row>
    <row r="60">
      <c r="A60" s="10">
        <v>10054.0</v>
      </c>
      <c r="B60" s="10">
        <v>10145.0</v>
      </c>
      <c r="C60" s="10">
        <v>1.478906217E9</v>
      </c>
    </row>
    <row r="61">
      <c r="A61" s="10">
        <v>10055.0</v>
      </c>
      <c r="B61" s="10">
        <v>10145.0</v>
      </c>
      <c r="C61" s="10">
        <v>1.478906218E9</v>
      </c>
    </row>
    <row r="62">
      <c r="A62" s="10">
        <v>10063.0</v>
      </c>
      <c r="B62" s="10">
        <v>10146.0</v>
      </c>
      <c r="C62" s="10">
        <v>1.478906222E9</v>
      </c>
    </row>
    <row r="63">
      <c r="A63" s="10">
        <v>10064.0</v>
      </c>
      <c r="B63" s="10">
        <v>10146.0</v>
      </c>
      <c r="C63" s="10">
        <v>1.478906223E9</v>
      </c>
    </row>
    <row r="64">
      <c r="A64" s="10">
        <v>10106.0</v>
      </c>
      <c r="B64" s="10">
        <v>10148.0</v>
      </c>
      <c r="C64" s="10">
        <v>1.478906304E9</v>
      </c>
    </row>
    <row r="65">
      <c r="A65" s="10">
        <v>10107.0</v>
      </c>
      <c r="B65" s="10">
        <v>10148.0</v>
      </c>
      <c r="C65" s="10">
        <v>1.478906305E9</v>
      </c>
    </row>
    <row r="66">
      <c r="A66" s="10">
        <v>10122.0</v>
      </c>
      <c r="B66" s="10">
        <v>10149.0</v>
      </c>
      <c r="C66" s="10">
        <v>1.478906325E9</v>
      </c>
    </row>
    <row r="67">
      <c r="A67" s="10">
        <v>10123.0</v>
      </c>
      <c r="B67" s="10">
        <v>10149.0</v>
      </c>
      <c r="C67" s="10">
        <v>1.478906325E9</v>
      </c>
    </row>
    <row r="68">
      <c r="A68" s="10">
        <v>10141.0</v>
      </c>
      <c r="B68" s="10">
        <v>10150.0</v>
      </c>
      <c r="C68" s="10">
        <v>1.478906342E9</v>
      </c>
    </row>
    <row r="69">
      <c r="A69" s="10">
        <v>10142.0</v>
      </c>
      <c r="B69" s="10">
        <v>10150.0</v>
      </c>
      <c r="C69" s="10">
        <v>1.478906342E9</v>
      </c>
    </row>
    <row r="70">
      <c r="A70" s="10">
        <v>10157.0</v>
      </c>
      <c r="B70" s="10">
        <v>10144.0</v>
      </c>
      <c r="C70" s="10">
        <v>1.478906351E9</v>
      </c>
    </row>
    <row r="71">
      <c r="A71" s="10">
        <v>10179.0</v>
      </c>
      <c r="B71" s="10">
        <v>10147.0</v>
      </c>
      <c r="C71" s="10">
        <v>1.478906393E9</v>
      </c>
    </row>
    <row r="72">
      <c r="A72" s="10">
        <v>10530.0</v>
      </c>
      <c r="B72" s="10">
        <v>10151.0</v>
      </c>
      <c r="C72" s="10">
        <v>1.478906801E9</v>
      </c>
    </row>
    <row r="73">
      <c r="A73" s="10">
        <v>10532.0</v>
      </c>
      <c r="B73" s="10">
        <v>10151.0</v>
      </c>
      <c r="C73" s="10">
        <v>1.478906802E9</v>
      </c>
    </row>
    <row r="74">
      <c r="A74" s="10">
        <v>10697.0</v>
      </c>
      <c r="B74" s="10">
        <v>10152.0</v>
      </c>
      <c r="C74" s="10">
        <v>1.478907128E9</v>
      </c>
    </row>
    <row r="75">
      <c r="A75" s="10">
        <v>10698.0</v>
      </c>
      <c r="B75" s="10">
        <v>10152.0</v>
      </c>
      <c r="C75" s="10">
        <v>1.478907128E9</v>
      </c>
    </row>
    <row r="76">
      <c r="A76" s="10">
        <v>11197.0</v>
      </c>
      <c r="B76" s="10">
        <v>10150.0</v>
      </c>
      <c r="C76" s="10">
        <v>1.478907745E9</v>
      </c>
    </row>
    <row r="77">
      <c r="A77" s="10">
        <v>11198.0</v>
      </c>
      <c r="B77" s="10">
        <v>10150.0</v>
      </c>
      <c r="C77" s="10">
        <v>1.478907745E9</v>
      </c>
    </row>
    <row r="78">
      <c r="A78" s="10">
        <v>11268.0</v>
      </c>
      <c r="B78" s="10">
        <v>10153.0</v>
      </c>
      <c r="C78" s="10">
        <v>1.478907821E9</v>
      </c>
    </row>
    <row r="79">
      <c r="A79" s="10">
        <v>11269.0</v>
      </c>
      <c r="B79" s="10">
        <v>10153.0</v>
      </c>
      <c r="C79" s="10">
        <v>1.478907821E9</v>
      </c>
    </row>
    <row r="80">
      <c r="A80" s="10">
        <v>11709.0</v>
      </c>
      <c r="B80" s="10">
        <v>10154.0</v>
      </c>
      <c r="C80" s="10">
        <v>1.478908389E9</v>
      </c>
    </row>
    <row r="81">
      <c r="A81" s="10">
        <v>11710.0</v>
      </c>
      <c r="B81" s="10">
        <v>10154.0</v>
      </c>
      <c r="C81" s="10">
        <v>1.47890839E9</v>
      </c>
    </row>
    <row r="82">
      <c r="A82" s="10">
        <v>12461.0</v>
      </c>
      <c r="B82" s="10">
        <v>10116.0</v>
      </c>
      <c r="C82" s="10">
        <v>1.478909063E9</v>
      </c>
    </row>
    <row r="83">
      <c r="A83" s="10">
        <v>12462.0</v>
      </c>
      <c r="B83" s="10">
        <v>10116.0</v>
      </c>
      <c r="C83" s="10">
        <v>1.478909063E9</v>
      </c>
    </row>
    <row r="84">
      <c r="A84" s="10">
        <v>12658.0</v>
      </c>
      <c r="B84" s="10">
        <v>10126.0</v>
      </c>
      <c r="C84" s="10">
        <v>1.478909229E9</v>
      </c>
    </row>
    <row r="85">
      <c r="A85" s="10">
        <v>12659.0</v>
      </c>
      <c r="B85" s="10">
        <v>10126.0</v>
      </c>
      <c r="C85" s="10">
        <v>1.478909229E9</v>
      </c>
    </row>
    <row r="86">
      <c r="A86" s="10">
        <v>13204.0</v>
      </c>
      <c r="B86" s="10">
        <v>10144.0</v>
      </c>
      <c r="C86" s="10">
        <v>1.478910106E9</v>
      </c>
    </row>
    <row r="87">
      <c r="A87" s="10">
        <v>13287.0</v>
      </c>
      <c r="B87" s="10">
        <v>10151.0</v>
      </c>
      <c r="C87" s="10">
        <v>1.478910286E9</v>
      </c>
    </row>
    <row r="88">
      <c r="A88" s="10">
        <v>13288.0</v>
      </c>
      <c r="B88" s="10">
        <v>10151.0</v>
      </c>
      <c r="C88" s="10">
        <v>1.478910286E9</v>
      </c>
    </row>
    <row r="89">
      <c r="A89" s="10">
        <v>13667.0</v>
      </c>
      <c r="B89" s="10">
        <v>10120.0</v>
      </c>
      <c r="C89" s="10">
        <v>1.47891314E9</v>
      </c>
    </row>
    <row r="90">
      <c r="A90" s="10">
        <v>13668.0</v>
      </c>
      <c r="B90" s="10">
        <v>10120.0</v>
      </c>
      <c r="C90" s="10">
        <v>1.47891314E9</v>
      </c>
    </row>
    <row r="91">
      <c r="A91" s="10">
        <v>13711.0</v>
      </c>
      <c r="B91" s="10">
        <v>10120.0</v>
      </c>
      <c r="C91" s="10">
        <v>1.478914269E9</v>
      </c>
    </row>
    <row r="92">
      <c r="A92" s="10">
        <v>13712.0</v>
      </c>
      <c r="B92" s="10">
        <v>10120.0</v>
      </c>
      <c r="C92" s="10">
        <v>1.478914269E9</v>
      </c>
    </row>
    <row r="93">
      <c r="A93" s="10">
        <v>13751.0</v>
      </c>
      <c r="B93" s="10">
        <v>10145.0</v>
      </c>
      <c r="C93" s="10">
        <v>1.478916504E9</v>
      </c>
    </row>
    <row r="94">
      <c r="A94" s="10">
        <v>13752.0</v>
      </c>
      <c r="B94" s="10">
        <v>10145.0</v>
      </c>
      <c r="C94" s="10">
        <v>1.478916504E9</v>
      </c>
    </row>
    <row r="95">
      <c r="A95" s="10">
        <v>14436.0</v>
      </c>
      <c r="B95" s="10">
        <v>10135.0</v>
      </c>
      <c r="C95" s="10">
        <v>1.478955522E9</v>
      </c>
    </row>
    <row r="96">
      <c r="A96" s="10">
        <v>14437.0</v>
      </c>
      <c r="B96" s="10">
        <v>10135.0</v>
      </c>
      <c r="C96" s="10">
        <v>1.478955522E9</v>
      </c>
    </row>
    <row r="97">
      <c r="A97" s="10">
        <v>14559.0</v>
      </c>
      <c r="B97" s="10">
        <v>10144.0</v>
      </c>
      <c r="C97" s="10">
        <v>1.478964519E9</v>
      </c>
    </row>
    <row r="98">
      <c r="A98" s="10">
        <v>15379.0</v>
      </c>
      <c r="B98" s="10">
        <v>10126.0</v>
      </c>
      <c r="C98" s="10">
        <v>1.479032868E9</v>
      </c>
    </row>
    <row r="99">
      <c r="A99" s="10">
        <v>15380.0</v>
      </c>
      <c r="B99" s="10">
        <v>10126.0</v>
      </c>
      <c r="C99" s="10">
        <v>1.479032868E9</v>
      </c>
    </row>
    <row r="100">
      <c r="A100" s="10">
        <v>15382.0</v>
      </c>
      <c r="B100" s="10">
        <v>10126.0</v>
      </c>
      <c r="C100" s="10">
        <v>1.479032876E9</v>
      </c>
    </row>
    <row r="101">
      <c r="A101" s="10">
        <v>15383.0</v>
      </c>
      <c r="B101" s="10">
        <v>10126.0</v>
      </c>
      <c r="C101" s="10">
        <v>1.479032876E9</v>
      </c>
    </row>
    <row r="102">
      <c r="A102" s="10">
        <v>15394.0</v>
      </c>
      <c r="B102" s="10">
        <v>10126.0</v>
      </c>
      <c r="C102" s="10">
        <v>1.479055298E9</v>
      </c>
    </row>
    <row r="103">
      <c r="A103" s="10">
        <v>15395.0</v>
      </c>
      <c r="B103" s="10">
        <v>10126.0</v>
      </c>
      <c r="C103" s="10">
        <v>1.479055298E9</v>
      </c>
    </row>
    <row r="104">
      <c r="A104" s="10">
        <v>15401.0</v>
      </c>
      <c r="B104" s="10">
        <v>10119.0</v>
      </c>
      <c r="C104" s="10">
        <v>1.479059881E9</v>
      </c>
    </row>
    <row r="105">
      <c r="A105" s="10">
        <v>15402.0</v>
      </c>
      <c r="B105" s="10">
        <v>10119.0</v>
      </c>
      <c r="C105" s="10">
        <v>1.479059881E9</v>
      </c>
    </row>
    <row r="106">
      <c r="A106" s="10">
        <v>15512.0</v>
      </c>
      <c r="B106" s="10">
        <v>10150.0</v>
      </c>
      <c r="C106" s="10">
        <v>1.47907584E9</v>
      </c>
    </row>
    <row r="107">
      <c r="A107" s="10">
        <v>15513.0</v>
      </c>
      <c r="B107" s="10">
        <v>10150.0</v>
      </c>
      <c r="C107" s="10">
        <v>1.47907584E9</v>
      </c>
    </row>
    <row r="108">
      <c r="A108" s="10">
        <v>15548.0</v>
      </c>
      <c r="B108" s="10">
        <v>10115.0</v>
      </c>
      <c r="C108" s="10">
        <v>1.479081699E9</v>
      </c>
    </row>
    <row r="109">
      <c r="A109" s="10">
        <v>15549.0</v>
      </c>
      <c r="B109" s="10">
        <v>10115.0</v>
      </c>
      <c r="C109" s="10">
        <v>1.479081699E9</v>
      </c>
    </row>
    <row r="110">
      <c r="A110" s="10">
        <v>15575.0</v>
      </c>
      <c r="B110" s="10">
        <v>10146.0</v>
      </c>
      <c r="C110" s="10">
        <v>1.479090797E9</v>
      </c>
    </row>
    <row r="111">
      <c r="A111" s="10">
        <v>15576.0</v>
      </c>
      <c r="B111" s="10">
        <v>10146.0</v>
      </c>
      <c r="C111" s="10">
        <v>1.479090797E9</v>
      </c>
    </row>
    <row r="112">
      <c r="A112" s="10">
        <v>15718.0</v>
      </c>
      <c r="B112" s="10">
        <v>10135.0</v>
      </c>
      <c r="C112" s="10">
        <v>1.479125633E9</v>
      </c>
    </row>
    <row r="113">
      <c r="A113" s="10">
        <v>15719.0</v>
      </c>
      <c r="B113" s="10">
        <v>10135.0</v>
      </c>
      <c r="C113" s="10">
        <v>1.479125633E9</v>
      </c>
    </row>
    <row r="114">
      <c r="A114" s="10">
        <v>15745.0</v>
      </c>
      <c r="B114" s="10">
        <v>10126.0</v>
      </c>
      <c r="C114" s="10">
        <v>1.479143225E9</v>
      </c>
    </row>
    <row r="115">
      <c r="A115" s="10">
        <v>15746.0</v>
      </c>
      <c r="B115" s="10">
        <v>10126.0</v>
      </c>
      <c r="C115" s="10">
        <v>1.479143225E9</v>
      </c>
    </row>
    <row r="116">
      <c r="A116" s="10">
        <v>15878.0</v>
      </c>
      <c r="B116" s="10">
        <v>10116.0</v>
      </c>
      <c r="C116" s="10">
        <v>1.479155848E9</v>
      </c>
    </row>
    <row r="117">
      <c r="A117" s="10">
        <v>15879.0</v>
      </c>
      <c r="B117" s="10">
        <v>10116.0</v>
      </c>
      <c r="C117" s="10">
        <v>1.479155848E9</v>
      </c>
    </row>
    <row r="118">
      <c r="A118" s="10">
        <v>15945.0</v>
      </c>
      <c r="B118" s="10">
        <v>10135.0</v>
      </c>
      <c r="C118" s="10">
        <v>1.479169003E9</v>
      </c>
    </row>
    <row r="119">
      <c r="A119" s="10">
        <v>15946.0</v>
      </c>
      <c r="B119" s="10">
        <v>10135.0</v>
      </c>
      <c r="C119" s="10">
        <v>1.479169003E9</v>
      </c>
    </row>
    <row r="120">
      <c r="A120" s="10">
        <v>16164.0</v>
      </c>
      <c r="B120" s="10">
        <v>10146.0</v>
      </c>
      <c r="C120" s="10">
        <v>1.479224327E9</v>
      </c>
    </row>
    <row r="121">
      <c r="A121" s="10">
        <v>16165.0</v>
      </c>
      <c r="B121" s="10">
        <v>10146.0</v>
      </c>
      <c r="C121" s="10">
        <v>1.479224327E9</v>
      </c>
    </row>
    <row r="122">
      <c r="A122" s="10">
        <v>16169.0</v>
      </c>
      <c r="B122" s="10">
        <v>10135.0</v>
      </c>
      <c r="C122" s="10">
        <v>1.479242479E9</v>
      </c>
    </row>
    <row r="123">
      <c r="A123" s="10">
        <v>16170.0</v>
      </c>
      <c r="B123" s="10">
        <v>10135.0</v>
      </c>
      <c r="C123" s="10">
        <v>1.479242479E9</v>
      </c>
    </row>
    <row r="124">
      <c r="A124" s="10">
        <v>16177.0</v>
      </c>
      <c r="B124" s="10">
        <v>10149.0</v>
      </c>
      <c r="C124" s="10">
        <v>1.479247252E9</v>
      </c>
    </row>
    <row r="125">
      <c r="A125" s="10">
        <v>16178.0</v>
      </c>
      <c r="B125" s="10">
        <v>10149.0</v>
      </c>
      <c r="C125" s="10">
        <v>1.479247252E9</v>
      </c>
    </row>
    <row r="126">
      <c r="A126" s="10">
        <v>16201.0</v>
      </c>
      <c r="B126" s="10">
        <v>10132.0</v>
      </c>
      <c r="C126" s="10">
        <v>1.479248484E9</v>
      </c>
    </row>
    <row r="127">
      <c r="A127" s="10">
        <v>16202.0</v>
      </c>
      <c r="B127" s="10">
        <v>10132.0</v>
      </c>
      <c r="C127" s="10">
        <v>1.479248484E9</v>
      </c>
    </row>
    <row r="128">
      <c r="A128" s="10">
        <v>16241.0</v>
      </c>
      <c r="B128" s="10">
        <v>10146.0</v>
      </c>
      <c r="C128" s="10">
        <v>1.479248979E9</v>
      </c>
    </row>
    <row r="129">
      <c r="A129" s="10">
        <v>16242.0</v>
      </c>
      <c r="B129" s="10">
        <v>10146.0</v>
      </c>
      <c r="C129" s="10">
        <v>1.479248979E9</v>
      </c>
    </row>
    <row r="130">
      <c r="A130" s="10">
        <v>16368.0</v>
      </c>
      <c r="B130" s="10">
        <v>10141.0</v>
      </c>
      <c r="C130" s="10">
        <v>1.479254837E9</v>
      </c>
    </row>
    <row r="131">
      <c r="A131" s="10">
        <v>16369.0</v>
      </c>
      <c r="B131" s="10">
        <v>10141.0</v>
      </c>
      <c r="C131" s="10">
        <v>1.479254837E9</v>
      </c>
    </row>
    <row r="132">
      <c r="A132" s="10">
        <v>17097.0</v>
      </c>
      <c r="B132" s="10">
        <v>10135.0</v>
      </c>
      <c r="C132" s="10">
        <v>1.479299944E9</v>
      </c>
    </row>
    <row r="133">
      <c r="A133" s="10">
        <v>17098.0</v>
      </c>
      <c r="B133" s="10">
        <v>10135.0</v>
      </c>
      <c r="C133" s="10">
        <v>1.479299944E9</v>
      </c>
    </row>
    <row r="134">
      <c r="A134" s="10">
        <v>17107.0</v>
      </c>
      <c r="B134" s="10">
        <v>10127.0</v>
      </c>
      <c r="C134" s="10">
        <v>1.479308133E9</v>
      </c>
    </row>
    <row r="135">
      <c r="A135" s="10">
        <v>17108.0</v>
      </c>
      <c r="B135" s="10">
        <v>10127.0</v>
      </c>
      <c r="C135" s="10">
        <v>1.479308133E9</v>
      </c>
    </row>
    <row r="136">
      <c r="A136" s="10">
        <v>17167.0</v>
      </c>
      <c r="B136" s="10">
        <v>10133.0</v>
      </c>
      <c r="C136" s="10">
        <v>1.479314536E9</v>
      </c>
    </row>
    <row r="137">
      <c r="A137" s="10">
        <v>17168.0</v>
      </c>
      <c r="B137" s="10">
        <v>10133.0</v>
      </c>
      <c r="C137" s="10">
        <v>1.479314536E9</v>
      </c>
    </row>
    <row r="138">
      <c r="A138" s="10">
        <v>17413.0</v>
      </c>
      <c r="B138" s="10">
        <v>10130.0</v>
      </c>
      <c r="C138" s="10">
        <v>1.479343164E9</v>
      </c>
    </row>
    <row r="139">
      <c r="A139" s="10">
        <v>17414.0</v>
      </c>
      <c r="B139" s="10">
        <v>10130.0</v>
      </c>
      <c r="C139" s="10">
        <v>1.479343164E9</v>
      </c>
    </row>
    <row r="140">
      <c r="A140" s="10">
        <v>17421.0</v>
      </c>
      <c r="B140" s="10">
        <v>10129.0</v>
      </c>
      <c r="C140" s="10">
        <v>1.479343398E9</v>
      </c>
    </row>
    <row r="141">
      <c r="A141" s="10">
        <v>17422.0</v>
      </c>
      <c r="B141" s="10">
        <v>10129.0</v>
      </c>
      <c r="C141" s="10">
        <v>1.479343398E9</v>
      </c>
    </row>
    <row r="142">
      <c r="A142" s="10">
        <v>17429.0</v>
      </c>
      <c r="B142" s="10">
        <v>10146.0</v>
      </c>
      <c r="C142" s="10">
        <v>1.479343661E9</v>
      </c>
    </row>
    <row r="143">
      <c r="A143" s="10">
        <v>17430.0</v>
      </c>
      <c r="B143" s="10">
        <v>10146.0</v>
      </c>
      <c r="C143" s="10">
        <v>1.479343661E9</v>
      </c>
    </row>
    <row r="144">
      <c r="A144" s="10">
        <v>17468.0</v>
      </c>
      <c r="B144" s="10">
        <v>10123.0</v>
      </c>
      <c r="C144" s="10">
        <v>1.479344506E9</v>
      </c>
    </row>
    <row r="145">
      <c r="A145" s="10">
        <v>17469.0</v>
      </c>
      <c r="B145" s="10">
        <v>10123.0</v>
      </c>
      <c r="C145" s="10">
        <v>1.479344506E9</v>
      </c>
    </row>
    <row r="146">
      <c r="A146" s="10">
        <v>17519.0</v>
      </c>
      <c r="B146" s="10">
        <v>10138.0</v>
      </c>
      <c r="C146" s="10">
        <v>1.479346303E9</v>
      </c>
    </row>
    <row r="147">
      <c r="A147" s="10">
        <v>17520.0</v>
      </c>
      <c r="B147" s="10">
        <v>10138.0</v>
      </c>
      <c r="C147" s="10">
        <v>1.479346303E9</v>
      </c>
    </row>
    <row r="148">
      <c r="A148" s="10">
        <v>17680.0</v>
      </c>
      <c r="B148" s="10">
        <v>10130.0</v>
      </c>
      <c r="C148" s="10">
        <v>1.479347806E9</v>
      </c>
    </row>
    <row r="149">
      <c r="A149" s="10">
        <v>17681.0</v>
      </c>
      <c r="B149" s="10">
        <v>10130.0</v>
      </c>
      <c r="C149" s="10">
        <v>1.479347806E9</v>
      </c>
    </row>
    <row r="150">
      <c r="A150" s="10">
        <v>17684.0</v>
      </c>
      <c r="B150" s="10">
        <v>10130.0</v>
      </c>
      <c r="C150" s="10">
        <v>1.479347828E9</v>
      </c>
    </row>
    <row r="151">
      <c r="A151" s="10">
        <v>17685.0</v>
      </c>
      <c r="B151" s="10">
        <v>10130.0</v>
      </c>
      <c r="C151" s="10">
        <v>1.479347828E9</v>
      </c>
    </row>
    <row r="152">
      <c r="A152" s="10">
        <v>17688.0</v>
      </c>
      <c r="B152" s="10">
        <v>10130.0</v>
      </c>
      <c r="C152" s="10">
        <v>1.479347837E9</v>
      </c>
    </row>
    <row r="153">
      <c r="A153" s="10">
        <v>17689.0</v>
      </c>
      <c r="B153" s="10">
        <v>10130.0</v>
      </c>
      <c r="C153" s="10">
        <v>1.479347837E9</v>
      </c>
    </row>
    <row r="154">
      <c r="A154" s="10">
        <v>17692.0</v>
      </c>
      <c r="B154" s="10">
        <v>10123.0</v>
      </c>
      <c r="C154" s="10">
        <v>1.479347865E9</v>
      </c>
    </row>
    <row r="155">
      <c r="A155" s="10">
        <v>17693.0</v>
      </c>
      <c r="B155" s="10">
        <v>10123.0</v>
      </c>
      <c r="C155" s="10">
        <v>1.479347865E9</v>
      </c>
    </row>
    <row r="156">
      <c r="A156" s="10">
        <v>17697.0</v>
      </c>
      <c r="B156" s="10">
        <v>10123.0</v>
      </c>
      <c r="C156" s="10">
        <v>1.479347882E9</v>
      </c>
    </row>
    <row r="157">
      <c r="A157" s="10">
        <v>17698.0</v>
      </c>
      <c r="B157" s="10">
        <v>10123.0</v>
      </c>
      <c r="C157" s="10">
        <v>1.479347882E9</v>
      </c>
    </row>
    <row r="158">
      <c r="A158" s="10">
        <v>17706.0</v>
      </c>
      <c r="B158" s="10">
        <v>10142.0</v>
      </c>
      <c r="C158" s="10">
        <v>1.479347925E9</v>
      </c>
    </row>
    <row r="159">
      <c r="A159" s="10">
        <v>17707.0</v>
      </c>
      <c r="B159" s="10">
        <v>10142.0</v>
      </c>
      <c r="C159" s="10">
        <v>1.479347925E9</v>
      </c>
    </row>
    <row r="160">
      <c r="A160" s="10">
        <v>18370.0</v>
      </c>
      <c r="B160" s="10">
        <v>10144.0</v>
      </c>
      <c r="C160" s="10">
        <v>1.479379249E9</v>
      </c>
    </row>
    <row r="161">
      <c r="A161" s="10">
        <v>18392.0</v>
      </c>
      <c r="B161" s="10">
        <v>10126.0</v>
      </c>
      <c r="C161" s="10">
        <v>1.479385243E9</v>
      </c>
    </row>
    <row r="162">
      <c r="A162" s="10">
        <v>18393.0</v>
      </c>
      <c r="B162" s="10">
        <v>10126.0</v>
      </c>
      <c r="C162" s="10">
        <v>1.479385243E9</v>
      </c>
    </row>
    <row r="163">
      <c r="A163" s="10">
        <v>18635.0</v>
      </c>
      <c r="B163" s="10">
        <v>10125.0</v>
      </c>
      <c r="C163" s="10">
        <v>1.479413356E9</v>
      </c>
    </row>
    <row r="164">
      <c r="A164" s="10">
        <v>18636.0</v>
      </c>
      <c r="B164" s="10">
        <v>10125.0</v>
      </c>
      <c r="C164" s="10">
        <v>1.479413356E9</v>
      </c>
    </row>
    <row r="165">
      <c r="A165" s="10">
        <v>19056.0</v>
      </c>
      <c r="B165" s="10">
        <v>10125.0</v>
      </c>
      <c r="C165" s="10">
        <v>1.479430536E9</v>
      </c>
    </row>
    <row r="166">
      <c r="A166" s="10">
        <v>19057.0</v>
      </c>
      <c r="B166" s="10">
        <v>10125.0</v>
      </c>
      <c r="C166" s="10">
        <v>1.479430536E9</v>
      </c>
    </row>
    <row r="167">
      <c r="A167" s="10">
        <v>19470.0</v>
      </c>
      <c r="B167" s="10">
        <v>10126.0</v>
      </c>
      <c r="C167" s="10">
        <v>1.479472703E9</v>
      </c>
    </row>
    <row r="168">
      <c r="A168" s="10">
        <v>19471.0</v>
      </c>
      <c r="B168" s="10">
        <v>10126.0</v>
      </c>
      <c r="C168" s="10">
        <v>1.479472703E9</v>
      </c>
    </row>
    <row r="169">
      <c r="A169" s="10">
        <v>19590.0</v>
      </c>
      <c r="B169" s="10">
        <v>10119.0</v>
      </c>
      <c r="C169" s="10">
        <v>1.479507104E9</v>
      </c>
    </row>
    <row r="170">
      <c r="A170" s="10">
        <v>19591.0</v>
      </c>
      <c r="B170" s="10">
        <v>10119.0</v>
      </c>
      <c r="C170" s="10">
        <v>1.479507104E9</v>
      </c>
    </row>
    <row r="171">
      <c r="A171" s="10">
        <v>19598.0</v>
      </c>
      <c r="B171" s="10">
        <v>10153.0</v>
      </c>
      <c r="C171" s="10">
        <v>1.479507508E9</v>
      </c>
    </row>
    <row r="172">
      <c r="A172" s="10">
        <v>19599.0</v>
      </c>
      <c r="B172" s="10">
        <v>10153.0</v>
      </c>
      <c r="C172" s="10">
        <v>1.479507508E9</v>
      </c>
    </row>
    <row r="173">
      <c r="A173" s="10">
        <v>19620.0</v>
      </c>
      <c r="B173" s="10">
        <v>10143.0</v>
      </c>
      <c r="C173" s="10">
        <v>1.479509349E9</v>
      </c>
    </row>
    <row r="174">
      <c r="A174" s="10">
        <v>19621.0</v>
      </c>
      <c r="B174" s="10">
        <v>10143.0</v>
      </c>
      <c r="C174" s="10">
        <v>1.479509349E9</v>
      </c>
    </row>
    <row r="175">
      <c r="A175" s="10">
        <v>19626.0</v>
      </c>
      <c r="B175" s="10">
        <v>10126.0</v>
      </c>
      <c r="C175" s="10">
        <v>1.479509475E9</v>
      </c>
    </row>
    <row r="176">
      <c r="A176" s="10">
        <v>19627.0</v>
      </c>
      <c r="B176" s="10">
        <v>10126.0</v>
      </c>
      <c r="C176" s="10">
        <v>1.479509475E9</v>
      </c>
    </row>
    <row r="177">
      <c r="A177" s="10">
        <v>19631.0</v>
      </c>
      <c r="B177" s="10">
        <v>10120.0</v>
      </c>
      <c r="C177" s="10">
        <v>1.479509527E9</v>
      </c>
    </row>
    <row r="178">
      <c r="A178" s="10">
        <v>19632.0</v>
      </c>
      <c r="B178" s="10">
        <v>10120.0</v>
      </c>
      <c r="C178" s="10">
        <v>1.479509527E9</v>
      </c>
    </row>
    <row r="179">
      <c r="A179" s="10">
        <v>19644.0</v>
      </c>
      <c r="B179" s="10">
        <v>10128.0</v>
      </c>
      <c r="C179" s="10">
        <v>1.479509724E9</v>
      </c>
    </row>
    <row r="180">
      <c r="A180" s="10">
        <v>19645.0</v>
      </c>
      <c r="B180" s="10">
        <v>10128.0</v>
      </c>
      <c r="C180" s="10">
        <v>1.479509724E9</v>
      </c>
    </row>
    <row r="181">
      <c r="A181" s="10">
        <v>19665.0</v>
      </c>
      <c r="B181" s="10">
        <v>10127.0</v>
      </c>
      <c r="C181" s="10">
        <v>1.479509891E9</v>
      </c>
    </row>
    <row r="182">
      <c r="A182" s="10">
        <v>19666.0</v>
      </c>
      <c r="B182" s="10">
        <v>10127.0</v>
      </c>
      <c r="C182" s="10">
        <v>1.479509891E9</v>
      </c>
    </row>
    <row r="183">
      <c r="A183" s="10">
        <v>19670.0</v>
      </c>
      <c r="B183" s="10">
        <v>10129.0</v>
      </c>
      <c r="C183" s="10">
        <v>1.479509906E9</v>
      </c>
    </row>
    <row r="184">
      <c r="A184" s="10">
        <v>19671.0</v>
      </c>
      <c r="B184" s="10">
        <v>10129.0</v>
      </c>
      <c r="C184" s="10">
        <v>1.479509906E9</v>
      </c>
    </row>
    <row r="185">
      <c r="A185" s="10">
        <v>19677.0</v>
      </c>
      <c r="B185" s="10">
        <v>10121.0</v>
      </c>
      <c r="C185" s="10">
        <v>1.479509965E9</v>
      </c>
    </row>
    <row r="186">
      <c r="A186" s="10">
        <v>19678.0</v>
      </c>
      <c r="B186" s="10">
        <v>10121.0</v>
      </c>
      <c r="C186" s="10">
        <v>1.479509965E9</v>
      </c>
    </row>
    <row r="187">
      <c r="A187" s="10">
        <v>19684.0</v>
      </c>
      <c r="B187" s="10">
        <v>10138.0</v>
      </c>
      <c r="C187" s="10">
        <v>1.479509998E9</v>
      </c>
    </row>
    <row r="188">
      <c r="A188" s="10">
        <v>19685.0</v>
      </c>
      <c r="B188" s="10">
        <v>10138.0</v>
      </c>
      <c r="C188" s="10">
        <v>1.479509998E9</v>
      </c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2.0</v>
      </c>
      <c r="B2" s="1">
        <v>443.0</v>
      </c>
      <c r="C2" s="1">
        <v>0.0</v>
      </c>
      <c r="E2" s="1">
        <v>0.0</v>
      </c>
    </row>
    <row r="3">
      <c r="A3" s="1">
        <v>10119.0</v>
      </c>
      <c r="B3" s="1">
        <v>443.0</v>
      </c>
      <c r="C3" s="1">
        <v>1.48009914E9</v>
      </c>
      <c r="D3" s="1">
        <v>1.480099767E9</v>
      </c>
      <c r="E3" s="1">
        <v>48.0</v>
      </c>
    </row>
    <row r="4">
      <c r="A4" s="1">
        <v>10138.0</v>
      </c>
      <c r="B4" s="1">
        <v>443.0</v>
      </c>
      <c r="C4" s="1">
        <v>1.480115407E9</v>
      </c>
      <c r="D4" s="1">
        <v>1.480115816E9</v>
      </c>
      <c r="E4" s="1">
        <v>405.0</v>
      </c>
    </row>
    <row r="5">
      <c r="A5" s="1">
        <v>10135.0</v>
      </c>
      <c r="B5" s="1">
        <v>443.0</v>
      </c>
      <c r="C5" s="1">
        <v>1.480115849E9</v>
      </c>
      <c r="D5" s="1">
        <v>1.480334668E9</v>
      </c>
      <c r="E5" s="1">
        <v>1966.0</v>
      </c>
    </row>
    <row r="6">
      <c r="A6" s="1">
        <v>10127.0</v>
      </c>
      <c r="B6" s="1">
        <v>443.0</v>
      </c>
      <c r="C6" s="1">
        <v>1.480115848E9</v>
      </c>
      <c r="D6" s="1">
        <v>1.480118815E9</v>
      </c>
      <c r="E6" s="1">
        <v>2956.0</v>
      </c>
    </row>
    <row r="7">
      <c r="A7" s="1">
        <v>10120.0</v>
      </c>
      <c r="B7" s="1">
        <v>443.0</v>
      </c>
      <c r="C7" s="1">
        <v>1.480115903E9</v>
      </c>
      <c r="D7" s="1">
        <v>1.480115912E9</v>
      </c>
      <c r="E7" s="1">
        <v>6.0</v>
      </c>
    </row>
    <row r="8">
      <c r="A8" s="1">
        <v>10136.0</v>
      </c>
      <c r="B8" s="1">
        <v>443.0</v>
      </c>
      <c r="C8" s="1">
        <v>1.480115704E9</v>
      </c>
      <c r="D8" s="1">
        <v>1.480116126E9</v>
      </c>
      <c r="E8" s="1">
        <v>419.0</v>
      </c>
    </row>
    <row r="9">
      <c r="A9" s="1">
        <v>10134.0</v>
      </c>
      <c r="B9" s="1">
        <v>443.0</v>
      </c>
      <c r="C9" s="1">
        <v>1.480115328E9</v>
      </c>
      <c r="D9" s="1">
        <v>1.480118098E9</v>
      </c>
      <c r="E9" s="1">
        <v>2767.0</v>
      </c>
    </row>
    <row r="10">
      <c r="A10" s="1">
        <v>10146.0</v>
      </c>
      <c r="B10" s="1">
        <v>443.0</v>
      </c>
      <c r="C10" s="1">
        <v>1.480116112E9</v>
      </c>
      <c r="D10" s="1">
        <v>1.480116622E9</v>
      </c>
      <c r="E10" s="1">
        <v>279.0</v>
      </c>
    </row>
    <row r="11">
      <c r="A11" s="1">
        <v>10132.0</v>
      </c>
      <c r="B11" s="1">
        <v>443.0</v>
      </c>
      <c r="C11" s="1">
        <v>1.480115604E9</v>
      </c>
      <c r="D11" s="1">
        <v>1.480118406E9</v>
      </c>
      <c r="E11" s="1">
        <v>2791.0</v>
      </c>
    </row>
    <row r="12">
      <c r="A12" s="1">
        <v>10129.0</v>
      </c>
      <c r="B12" s="1">
        <v>443.0</v>
      </c>
      <c r="C12" s="1">
        <v>1.480115788E9</v>
      </c>
      <c r="D12" s="1">
        <v>1.480116676E9</v>
      </c>
      <c r="E12" s="1">
        <v>887.0</v>
      </c>
    </row>
    <row r="13">
      <c r="A13" s="1">
        <v>10116.0</v>
      </c>
      <c r="B13" s="1">
        <v>443.0</v>
      </c>
      <c r="C13" s="1">
        <v>1.480115987E9</v>
      </c>
      <c r="D13" s="1">
        <v>1.48011691E9</v>
      </c>
      <c r="E13" s="1">
        <v>921.0</v>
      </c>
    </row>
    <row r="14">
      <c r="A14" s="1">
        <v>10152.0</v>
      </c>
      <c r="B14" s="1">
        <v>443.0</v>
      </c>
      <c r="C14" s="1">
        <v>1.480115559E9</v>
      </c>
      <c r="D14" s="1">
        <v>1.480116712E9</v>
      </c>
      <c r="E14" s="1">
        <v>1150.0</v>
      </c>
    </row>
    <row r="15">
      <c r="A15" s="1">
        <v>10145.0</v>
      </c>
      <c r="B15" s="1">
        <v>443.0</v>
      </c>
      <c r="C15" s="1">
        <v>1.480116721E9</v>
      </c>
      <c r="D15" s="1">
        <v>1.480116794E9</v>
      </c>
      <c r="E15" s="1">
        <v>69.0</v>
      </c>
    </row>
    <row r="16">
      <c r="A16" s="1">
        <v>10122.0</v>
      </c>
      <c r="B16" s="1">
        <v>443.0</v>
      </c>
      <c r="C16" s="1">
        <v>1.480116724E9</v>
      </c>
      <c r="D16" s="1">
        <v>1.480116729E9</v>
      </c>
      <c r="E16" s="1">
        <v>3.0</v>
      </c>
    </row>
    <row r="17">
      <c r="A17" s="1">
        <v>10137.0</v>
      </c>
      <c r="B17" s="1">
        <v>443.0</v>
      </c>
      <c r="C17" s="1">
        <v>1.480115322E9</v>
      </c>
      <c r="D17" s="1">
        <v>1.480117651E9</v>
      </c>
      <c r="E17" s="1">
        <v>2327.0</v>
      </c>
    </row>
    <row r="18">
      <c r="A18" s="1">
        <v>10128.0</v>
      </c>
      <c r="B18" s="1">
        <v>443.0</v>
      </c>
      <c r="C18" s="1">
        <v>1.480115209E9</v>
      </c>
      <c r="D18" s="1">
        <v>1.480116929E9</v>
      </c>
      <c r="E18" s="1">
        <v>1717.0</v>
      </c>
    </row>
    <row r="19">
      <c r="A19" s="1">
        <v>10144.0</v>
      </c>
      <c r="B19" s="1">
        <v>443.0</v>
      </c>
      <c r="C19" s="1">
        <v>1.480116677E9</v>
      </c>
      <c r="D19" s="1">
        <v>1.4801172E9</v>
      </c>
      <c r="E19" s="1">
        <v>521.0</v>
      </c>
    </row>
    <row r="20">
      <c r="A20" s="1">
        <v>10121.0</v>
      </c>
      <c r="B20" s="1">
        <v>443.0</v>
      </c>
      <c r="C20" s="1">
        <v>1.48011583E9</v>
      </c>
      <c r="D20" s="1">
        <v>1.48011767E9</v>
      </c>
      <c r="E20" s="1">
        <v>2305.0</v>
      </c>
    </row>
    <row r="21">
      <c r="A21" s="1">
        <v>10130.0</v>
      </c>
      <c r="B21" s="1">
        <v>443.0</v>
      </c>
      <c r="C21" s="1">
        <v>1.480117206E9</v>
      </c>
      <c r="D21" s="1">
        <v>1.480117219E9</v>
      </c>
      <c r="E21" s="1">
        <v>11.0</v>
      </c>
    </row>
    <row r="22">
      <c r="A22" s="1">
        <v>10131.0</v>
      </c>
      <c r="B22" s="1">
        <v>443.0</v>
      </c>
      <c r="C22" s="1">
        <v>1.480117356E9</v>
      </c>
      <c r="D22" s="1">
        <v>1.480117371E9</v>
      </c>
      <c r="E22" s="1">
        <v>11.0</v>
      </c>
    </row>
    <row r="23">
      <c r="A23" s="1">
        <v>10149.0</v>
      </c>
      <c r="B23" s="1">
        <v>443.0</v>
      </c>
      <c r="C23" s="1">
        <v>1.480117497E9</v>
      </c>
      <c r="D23" s="1">
        <v>1.4801175E9</v>
      </c>
      <c r="E23" s="1">
        <v>0.0</v>
      </c>
    </row>
    <row r="24">
      <c r="A24" s="1">
        <v>10133.0</v>
      </c>
      <c r="B24" s="1">
        <v>443.0</v>
      </c>
      <c r="C24" s="1">
        <v>1.48011761E9</v>
      </c>
      <c r="D24" s="1">
        <v>1.480117785E9</v>
      </c>
      <c r="E24" s="1">
        <v>174.0</v>
      </c>
    </row>
    <row r="25">
      <c r="A25" s="1">
        <v>10141.0</v>
      </c>
      <c r="B25" s="1">
        <v>443.0</v>
      </c>
      <c r="C25" s="1">
        <v>1.480117594E9</v>
      </c>
      <c r="D25" s="1">
        <v>1.480117675E9</v>
      </c>
      <c r="E25" s="1">
        <v>78.0</v>
      </c>
    </row>
    <row r="26">
      <c r="A26" s="1">
        <v>10148.0</v>
      </c>
      <c r="B26" s="1">
        <v>443.0</v>
      </c>
      <c r="C26" s="1">
        <v>1.480117825E9</v>
      </c>
      <c r="D26" s="1">
        <v>1.480117832E9</v>
      </c>
      <c r="E26" s="1">
        <v>6.0</v>
      </c>
    </row>
    <row r="27">
      <c r="A27" s="1">
        <v>10140.0</v>
      </c>
      <c r="B27" s="1">
        <v>443.0</v>
      </c>
      <c r="C27" s="1">
        <v>1.480115389E9</v>
      </c>
      <c r="D27" s="1">
        <v>1.480117912E9</v>
      </c>
      <c r="E27" s="1">
        <v>36.0</v>
      </c>
    </row>
    <row r="28">
      <c r="A28" s="1">
        <v>10139.0</v>
      </c>
      <c r="B28" s="1">
        <v>443.0</v>
      </c>
      <c r="C28" s="1">
        <v>1.480118248E9</v>
      </c>
      <c r="D28" s="1">
        <v>1.480118273E9</v>
      </c>
      <c r="E28" s="1">
        <v>24.0</v>
      </c>
    </row>
    <row r="29">
      <c r="A29" s="1">
        <v>10126.0</v>
      </c>
      <c r="B29" s="1">
        <v>443.0</v>
      </c>
      <c r="C29" s="1">
        <v>1.480161946E9</v>
      </c>
      <c r="D29" s="1">
        <v>1.480161982E9</v>
      </c>
      <c r="E29" s="1">
        <v>33.0</v>
      </c>
    </row>
    <row r="30">
      <c r="A30" s="1">
        <v>10158.0</v>
      </c>
      <c r="B30" s="1">
        <v>443.0</v>
      </c>
      <c r="C30" s="1">
        <v>1.480180272E9</v>
      </c>
      <c r="D30" s="1">
        <v>1.48018032E9</v>
      </c>
      <c r="E30" s="1">
        <v>45.0</v>
      </c>
    </row>
    <row r="31">
      <c r="A31" s="1">
        <v>10153.0</v>
      </c>
      <c r="B31" s="1">
        <v>443.0</v>
      </c>
      <c r="C31" s="1">
        <v>1.480266723E9</v>
      </c>
      <c r="D31" s="1">
        <v>1.480266905E9</v>
      </c>
      <c r="E31" s="1">
        <v>179.0</v>
      </c>
    </row>
    <row r="32">
      <c r="A32" s="1">
        <v>10166.0</v>
      </c>
      <c r="B32" s="1">
        <v>443.0</v>
      </c>
      <c r="C32" s="1">
        <v>0.0</v>
      </c>
      <c r="E32" s="1">
        <v>0.0</v>
      </c>
    </row>
    <row r="33">
      <c r="A33" s="1">
        <v>10167.0</v>
      </c>
      <c r="B33" s="1">
        <v>443.0</v>
      </c>
      <c r="C33" s="1">
        <v>1.48158979E9</v>
      </c>
      <c r="D33" s="1">
        <v>1.481589985E9</v>
      </c>
      <c r="E33" s="1">
        <v>192.0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2.0</v>
      </c>
      <c r="B2" s="1">
        <v>444.0</v>
      </c>
      <c r="C2" s="1">
        <v>0.0</v>
      </c>
      <c r="E2" s="1">
        <v>0.0</v>
      </c>
    </row>
    <row r="3">
      <c r="A3" s="1">
        <v>10119.0</v>
      </c>
      <c r="B3" s="1">
        <v>444.0</v>
      </c>
      <c r="C3" s="1">
        <v>1.480098645E9</v>
      </c>
      <c r="D3" s="1">
        <v>1.480098866E9</v>
      </c>
      <c r="E3" s="1">
        <v>180.0</v>
      </c>
    </row>
    <row r="4">
      <c r="A4" s="1">
        <v>10138.0</v>
      </c>
      <c r="B4" s="1">
        <v>444.0</v>
      </c>
      <c r="C4" s="1">
        <v>1.480116064E9</v>
      </c>
      <c r="D4" s="1">
        <v>1.480117078E9</v>
      </c>
      <c r="E4" s="1">
        <v>1009.0</v>
      </c>
    </row>
    <row r="5">
      <c r="A5" s="1">
        <v>10146.0</v>
      </c>
      <c r="B5" s="1">
        <v>444.0</v>
      </c>
      <c r="C5" s="1">
        <v>1.480116665E9</v>
      </c>
      <c r="D5" s="1">
        <v>1.480117105E9</v>
      </c>
      <c r="E5" s="1">
        <v>437.0</v>
      </c>
    </row>
    <row r="6">
      <c r="A6" s="1">
        <v>10136.0</v>
      </c>
      <c r="B6" s="1">
        <v>444.0</v>
      </c>
      <c r="C6" s="1">
        <v>1.480116174E9</v>
      </c>
      <c r="D6" s="1">
        <v>1.480117701E9</v>
      </c>
      <c r="E6" s="1">
        <v>1521.0</v>
      </c>
    </row>
    <row r="7">
      <c r="A7" s="1">
        <v>10116.0</v>
      </c>
      <c r="B7" s="1">
        <v>444.0</v>
      </c>
      <c r="C7" s="1">
        <v>1.480117036E9</v>
      </c>
      <c r="D7" s="1">
        <v>1.480119134E9</v>
      </c>
      <c r="E7" s="1">
        <v>2094.0</v>
      </c>
    </row>
    <row r="8">
      <c r="A8" s="1">
        <v>10145.0</v>
      </c>
      <c r="B8" s="1">
        <v>444.0</v>
      </c>
      <c r="C8" s="1">
        <v>1.480117643E9</v>
      </c>
      <c r="D8" s="1">
        <v>1.48011791E9</v>
      </c>
      <c r="E8" s="1">
        <v>265.0</v>
      </c>
    </row>
    <row r="9">
      <c r="A9" s="1">
        <v>10152.0</v>
      </c>
      <c r="B9" s="1">
        <v>444.0</v>
      </c>
      <c r="C9" s="1">
        <v>1.480116777E9</v>
      </c>
      <c r="D9" s="1">
        <v>1.480117859E9</v>
      </c>
      <c r="E9" s="1">
        <v>1081.0</v>
      </c>
    </row>
    <row r="10">
      <c r="A10" s="1">
        <v>10128.0</v>
      </c>
      <c r="B10" s="1">
        <v>444.0</v>
      </c>
      <c r="C10" s="1">
        <v>1.48011799E9</v>
      </c>
      <c r="D10" s="1">
        <v>1.480118224E9</v>
      </c>
      <c r="E10" s="1">
        <v>231.0</v>
      </c>
    </row>
    <row r="11">
      <c r="A11" s="1">
        <v>10129.0</v>
      </c>
      <c r="B11" s="1">
        <v>444.0</v>
      </c>
      <c r="C11" s="1">
        <v>1.480117656E9</v>
      </c>
      <c r="D11" s="1">
        <v>1.480173589E9</v>
      </c>
      <c r="E11" s="1">
        <v>2729.0</v>
      </c>
    </row>
    <row r="12">
      <c r="A12" s="1">
        <v>10122.0</v>
      </c>
      <c r="B12" s="1">
        <v>444.0</v>
      </c>
      <c r="C12" s="1">
        <v>1.48011809E9</v>
      </c>
      <c r="D12" s="1">
        <v>1.48011809E9</v>
      </c>
      <c r="E12" s="1">
        <v>0.0</v>
      </c>
    </row>
    <row r="13">
      <c r="A13" s="1">
        <v>10144.0</v>
      </c>
      <c r="B13" s="1">
        <v>444.0</v>
      </c>
      <c r="C13" s="1">
        <v>1.480117399E9</v>
      </c>
      <c r="D13" s="1">
        <v>1.4801185E9</v>
      </c>
      <c r="E13" s="1">
        <v>1097.0</v>
      </c>
    </row>
    <row r="14">
      <c r="A14" s="1">
        <v>10120.0</v>
      </c>
      <c r="B14" s="1">
        <v>444.0</v>
      </c>
      <c r="C14" s="1">
        <v>1.480118407E9</v>
      </c>
      <c r="D14" s="1">
        <v>1.480118414E9</v>
      </c>
      <c r="E14" s="1">
        <v>0.0</v>
      </c>
    </row>
    <row r="15">
      <c r="A15" s="1">
        <v>10149.0</v>
      </c>
      <c r="B15" s="1">
        <v>444.0</v>
      </c>
      <c r="C15" s="1">
        <v>1.480118472E9</v>
      </c>
      <c r="D15" s="1">
        <v>1.480118474E9</v>
      </c>
      <c r="E15" s="1">
        <v>0.0</v>
      </c>
    </row>
    <row r="16">
      <c r="A16" s="1">
        <v>10137.0</v>
      </c>
      <c r="B16" s="1">
        <v>444.0</v>
      </c>
      <c r="C16" s="1">
        <v>1.480117747E9</v>
      </c>
      <c r="D16" s="1">
        <v>1.480119045E9</v>
      </c>
      <c r="E16" s="1">
        <v>1294.0</v>
      </c>
    </row>
    <row r="17">
      <c r="A17" s="1">
        <v>10141.0</v>
      </c>
      <c r="B17" s="1">
        <v>444.0</v>
      </c>
      <c r="C17" s="1">
        <v>1.48011846E9</v>
      </c>
      <c r="D17" s="1">
        <v>1.480118726E9</v>
      </c>
      <c r="E17" s="1">
        <v>408.0</v>
      </c>
    </row>
    <row r="18">
      <c r="A18" s="1">
        <v>10134.0</v>
      </c>
      <c r="B18" s="1">
        <v>444.0</v>
      </c>
      <c r="C18" s="1">
        <v>1.480117759E9</v>
      </c>
      <c r="D18" s="1">
        <v>1.480118873E9</v>
      </c>
      <c r="E18" s="1">
        <v>1112.0</v>
      </c>
    </row>
    <row r="19">
      <c r="A19" s="1">
        <v>10140.0</v>
      </c>
      <c r="B19" s="1">
        <v>444.0</v>
      </c>
      <c r="C19" s="1">
        <v>1.480118837E9</v>
      </c>
      <c r="D19" s="1">
        <v>1.480118873E9</v>
      </c>
      <c r="E19" s="1">
        <v>33.0</v>
      </c>
    </row>
    <row r="20">
      <c r="A20" s="1">
        <v>10132.0</v>
      </c>
      <c r="B20" s="1">
        <v>444.0</v>
      </c>
      <c r="C20" s="1">
        <v>1.480118717E9</v>
      </c>
      <c r="D20" s="1">
        <v>1.480119004E9</v>
      </c>
      <c r="E20" s="1">
        <v>284.0</v>
      </c>
    </row>
    <row r="21">
      <c r="A21" s="1">
        <v>10139.0</v>
      </c>
      <c r="B21" s="1">
        <v>444.0</v>
      </c>
      <c r="C21" s="1">
        <v>1.480118992E9</v>
      </c>
      <c r="D21" s="1">
        <v>1.480118995E9</v>
      </c>
      <c r="E21" s="1">
        <v>0.0</v>
      </c>
    </row>
    <row r="22">
      <c r="A22" s="1">
        <v>10148.0</v>
      </c>
      <c r="B22" s="1">
        <v>444.0</v>
      </c>
      <c r="C22" s="1">
        <v>1.48011881E9</v>
      </c>
      <c r="D22" s="1">
        <v>1.480119694E9</v>
      </c>
      <c r="E22" s="1">
        <v>882.0</v>
      </c>
    </row>
    <row r="23">
      <c r="A23" s="1">
        <v>10131.0</v>
      </c>
      <c r="B23" s="1">
        <v>444.0</v>
      </c>
      <c r="C23" s="1">
        <v>1.480119091E9</v>
      </c>
      <c r="D23" s="1">
        <v>1.480119093E9</v>
      </c>
      <c r="E23" s="1">
        <v>0.0</v>
      </c>
    </row>
    <row r="24">
      <c r="A24" s="1">
        <v>10121.0</v>
      </c>
      <c r="B24" s="1">
        <v>444.0</v>
      </c>
      <c r="C24" s="1">
        <v>1.480118699E9</v>
      </c>
      <c r="E24" s="1">
        <v>2157.0</v>
      </c>
    </row>
    <row r="25">
      <c r="A25" s="1">
        <v>10130.0</v>
      </c>
      <c r="B25" s="1">
        <v>444.0</v>
      </c>
      <c r="C25" s="1">
        <v>1.480119566E9</v>
      </c>
      <c r="D25" s="1">
        <v>1.480119573E9</v>
      </c>
      <c r="E25" s="1">
        <v>4.0</v>
      </c>
    </row>
    <row r="26">
      <c r="A26" s="1">
        <v>10127.0</v>
      </c>
      <c r="B26" s="1">
        <v>444.0</v>
      </c>
      <c r="C26" s="1">
        <v>1.480118954E9</v>
      </c>
      <c r="E26" s="1">
        <v>2078.0</v>
      </c>
    </row>
    <row r="27">
      <c r="A27" s="1">
        <v>10126.0</v>
      </c>
      <c r="B27" s="1">
        <v>444.0</v>
      </c>
      <c r="C27" s="1">
        <v>1.480162854E9</v>
      </c>
      <c r="D27" s="1">
        <v>1.480163695E9</v>
      </c>
      <c r="E27" s="1">
        <v>836.0</v>
      </c>
    </row>
    <row r="28">
      <c r="A28" s="1">
        <v>10158.0</v>
      </c>
      <c r="B28" s="1">
        <v>444.0</v>
      </c>
      <c r="C28" s="1">
        <v>1.480183702E9</v>
      </c>
      <c r="D28" s="1">
        <v>1.480183703E9</v>
      </c>
      <c r="E28" s="1">
        <v>0.0</v>
      </c>
    </row>
    <row r="29">
      <c r="A29" s="1">
        <v>10153.0</v>
      </c>
      <c r="B29" s="1">
        <v>444.0</v>
      </c>
      <c r="C29" s="1">
        <v>1.480266959E9</v>
      </c>
      <c r="D29" s="1">
        <v>1.48026701E9</v>
      </c>
      <c r="E29" s="1">
        <v>50.0</v>
      </c>
    </row>
    <row r="30">
      <c r="A30" s="1">
        <v>10135.0</v>
      </c>
      <c r="B30" s="1">
        <v>444.0</v>
      </c>
      <c r="C30" s="1">
        <v>1.480335117E9</v>
      </c>
      <c r="D30" s="1">
        <v>1.480335124E9</v>
      </c>
      <c r="E30" s="1">
        <v>6.0</v>
      </c>
    </row>
    <row r="31">
      <c r="A31" s="1">
        <v>10166.0</v>
      </c>
      <c r="B31" s="1">
        <v>444.0</v>
      </c>
      <c r="C31" s="1">
        <v>1.481422948E9</v>
      </c>
      <c r="E31" s="1">
        <v>21.0</v>
      </c>
    </row>
    <row r="32">
      <c r="A32" s="1">
        <v>10167.0</v>
      </c>
      <c r="B32" s="1">
        <v>444.0</v>
      </c>
      <c r="C32" s="1">
        <v>1.481591166E9</v>
      </c>
      <c r="E32" s="1">
        <v>357.0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2.0</v>
      </c>
      <c r="B2" s="1">
        <v>442.0</v>
      </c>
      <c r="C2" s="1">
        <v>0.0</v>
      </c>
      <c r="E2" s="1">
        <v>0.0</v>
      </c>
    </row>
    <row r="3">
      <c r="A3" s="1">
        <v>10119.0</v>
      </c>
      <c r="B3" s="1">
        <v>442.0</v>
      </c>
      <c r="C3" s="1">
        <v>1.480099418E9</v>
      </c>
      <c r="D3" s="1">
        <v>1.480099612E9</v>
      </c>
      <c r="E3" s="1">
        <v>113.0</v>
      </c>
    </row>
    <row r="4">
      <c r="A4" s="1">
        <v>10146.0</v>
      </c>
      <c r="B4" s="1">
        <v>442.0</v>
      </c>
      <c r="C4" s="1">
        <v>1.480117177E9</v>
      </c>
      <c r="D4" s="1">
        <v>1.480119042E9</v>
      </c>
      <c r="E4" s="1">
        <v>1861.0</v>
      </c>
    </row>
    <row r="5">
      <c r="A5" s="1">
        <v>10149.0</v>
      </c>
      <c r="B5" s="1">
        <v>442.0</v>
      </c>
      <c r="C5" s="1">
        <v>1.480119285E9</v>
      </c>
      <c r="D5" s="1">
        <v>1.480119285E9</v>
      </c>
      <c r="E5" s="1">
        <v>0.0</v>
      </c>
    </row>
    <row r="6">
      <c r="A6" s="1">
        <v>10136.0</v>
      </c>
      <c r="B6" s="1">
        <v>442.0</v>
      </c>
      <c r="C6" s="1">
        <v>1.480117748E9</v>
      </c>
      <c r="D6" s="1">
        <v>1.480119288E9</v>
      </c>
      <c r="E6" s="1">
        <v>1532.0</v>
      </c>
    </row>
    <row r="7">
      <c r="A7" s="1">
        <v>10134.0</v>
      </c>
      <c r="B7" s="1">
        <v>442.0</v>
      </c>
      <c r="C7" s="1">
        <v>1.480119309E9</v>
      </c>
      <c r="D7" s="1">
        <v>1.480119315E9</v>
      </c>
      <c r="E7" s="1">
        <v>3.0</v>
      </c>
    </row>
    <row r="8">
      <c r="A8" s="1">
        <v>10132.0</v>
      </c>
      <c r="B8" s="1">
        <v>442.0</v>
      </c>
      <c r="C8" s="1">
        <v>1.480119303E9</v>
      </c>
      <c r="D8" s="1">
        <v>1.480119319E9</v>
      </c>
      <c r="E8" s="1">
        <v>15.0</v>
      </c>
    </row>
    <row r="9">
      <c r="A9" s="1">
        <v>10116.0</v>
      </c>
      <c r="B9" s="1">
        <v>442.0</v>
      </c>
      <c r="C9" s="1">
        <v>1.480119367E9</v>
      </c>
      <c r="D9" s="1">
        <v>1.480119372E9</v>
      </c>
      <c r="E9" s="1">
        <v>3.0</v>
      </c>
    </row>
    <row r="10">
      <c r="A10" s="1">
        <v>10138.0</v>
      </c>
      <c r="B10" s="1">
        <v>442.0</v>
      </c>
      <c r="C10" s="1">
        <v>1.480117748E9</v>
      </c>
      <c r="D10" s="1">
        <v>1.480119393E9</v>
      </c>
      <c r="E10" s="1">
        <v>1642.0</v>
      </c>
    </row>
    <row r="11">
      <c r="A11" s="1">
        <v>10144.0</v>
      </c>
      <c r="B11" s="1">
        <v>442.0</v>
      </c>
      <c r="C11" s="1">
        <v>1.480118781E9</v>
      </c>
      <c r="E11" s="1">
        <v>11699.0</v>
      </c>
    </row>
    <row r="12">
      <c r="A12" s="1">
        <v>10122.0</v>
      </c>
      <c r="B12" s="1">
        <v>442.0</v>
      </c>
      <c r="C12" s="1">
        <v>1.480119671E9</v>
      </c>
      <c r="E12" s="1">
        <v>54.0</v>
      </c>
    </row>
    <row r="13">
      <c r="A13" s="1">
        <v>10130.0</v>
      </c>
      <c r="B13" s="1">
        <v>442.0</v>
      </c>
      <c r="C13" s="1">
        <v>1.480120297E9</v>
      </c>
      <c r="D13" s="1">
        <v>1.480120303E9</v>
      </c>
      <c r="E13" s="1">
        <v>3.0</v>
      </c>
    </row>
    <row r="14">
      <c r="A14" s="1">
        <v>10128.0</v>
      </c>
      <c r="B14" s="1">
        <v>442.0</v>
      </c>
      <c r="C14" s="1">
        <v>1.480120395E9</v>
      </c>
      <c r="D14" s="1">
        <v>1.480120399E9</v>
      </c>
      <c r="E14" s="1">
        <v>3.0</v>
      </c>
    </row>
    <row r="15">
      <c r="A15" s="1">
        <v>10120.0</v>
      </c>
      <c r="B15" s="1">
        <v>442.0</v>
      </c>
      <c r="C15" s="1">
        <v>1.48012084E9</v>
      </c>
      <c r="D15" s="1">
        <v>1.480701289E9</v>
      </c>
      <c r="E15" s="1">
        <v>1784.0</v>
      </c>
    </row>
    <row r="16">
      <c r="A16" s="1">
        <v>10145.0</v>
      </c>
      <c r="B16" s="1">
        <v>442.0</v>
      </c>
      <c r="C16" s="1">
        <v>1.480123019E9</v>
      </c>
      <c r="D16" s="1">
        <v>1.480123365E9</v>
      </c>
      <c r="E16" s="1">
        <v>343.0</v>
      </c>
    </row>
    <row r="17">
      <c r="A17" s="1">
        <v>10141.0</v>
      </c>
      <c r="B17" s="1">
        <v>442.0</v>
      </c>
      <c r="C17" s="1">
        <v>1.480121163E9</v>
      </c>
      <c r="D17" s="1">
        <v>1.480125102E9</v>
      </c>
      <c r="E17" s="1">
        <v>327.0</v>
      </c>
    </row>
    <row r="18">
      <c r="A18" s="1">
        <v>10126.0</v>
      </c>
      <c r="B18" s="1">
        <v>442.0</v>
      </c>
      <c r="C18" s="1">
        <v>1.480164619E9</v>
      </c>
      <c r="E18" s="1">
        <v>48.0</v>
      </c>
    </row>
    <row r="19">
      <c r="A19" s="1">
        <v>10129.0</v>
      </c>
      <c r="B19" s="1">
        <v>442.0</v>
      </c>
      <c r="C19" s="1">
        <v>1.480118153E9</v>
      </c>
      <c r="D19" s="1">
        <v>1.480174483E9</v>
      </c>
      <c r="E19" s="1">
        <v>83.0</v>
      </c>
    </row>
    <row r="20">
      <c r="A20" s="1">
        <v>10153.0</v>
      </c>
      <c r="B20" s="1">
        <v>442.0</v>
      </c>
      <c r="C20" s="1">
        <v>1.480267035E9</v>
      </c>
      <c r="D20" s="1">
        <v>1.480267119E9</v>
      </c>
      <c r="E20" s="1">
        <v>82.0</v>
      </c>
    </row>
    <row r="21">
      <c r="A21" s="1">
        <v>10158.0</v>
      </c>
      <c r="B21" s="1">
        <v>442.0</v>
      </c>
      <c r="C21" s="1">
        <v>1.480282028E9</v>
      </c>
      <c r="E21" s="1">
        <v>12.0</v>
      </c>
    </row>
    <row r="22">
      <c r="A22" s="1">
        <v>10148.0</v>
      </c>
      <c r="B22" s="1">
        <v>442.0</v>
      </c>
      <c r="C22" s="1">
        <v>1.480122969E9</v>
      </c>
      <c r="D22" s="1">
        <v>1.480530354E9</v>
      </c>
      <c r="E22" s="1">
        <v>10747.0</v>
      </c>
    </row>
    <row r="23">
      <c r="A23" s="1">
        <v>10137.0</v>
      </c>
      <c r="B23" s="1">
        <v>442.0</v>
      </c>
      <c r="C23" s="1">
        <v>1.48036127E9</v>
      </c>
      <c r="D23" s="1">
        <v>1.480361337E9</v>
      </c>
      <c r="E23" s="1">
        <v>63.0</v>
      </c>
    </row>
    <row r="24">
      <c r="A24" s="1">
        <v>10140.0</v>
      </c>
      <c r="B24" s="1">
        <v>442.0</v>
      </c>
      <c r="C24" s="1">
        <v>1.481419805E9</v>
      </c>
      <c r="D24" s="1">
        <v>1.481419841E9</v>
      </c>
      <c r="E24" s="1">
        <v>32.0</v>
      </c>
    </row>
    <row r="25">
      <c r="A25" s="1">
        <v>10166.0</v>
      </c>
      <c r="B25" s="1">
        <v>442.0</v>
      </c>
      <c r="C25" s="1">
        <v>0.0</v>
      </c>
      <c r="E25" s="1">
        <v>0.0</v>
      </c>
    </row>
    <row r="26">
      <c r="A26" s="1">
        <v>10167.0</v>
      </c>
      <c r="B26" s="1">
        <v>442.0</v>
      </c>
      <c r="C26" s="1">
        <v>1.48159167E9</v>
      </c>
      <c r="D26" s="1">
        <v>1.481595906E9</v>
      </c>
      <c r="E26" s="1">
        <v>4232.0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2.0</v>
      </c>
      <c r="B2" s="1">
        <v>445.0</v>
      </c>
      <c r="C2" s="1">
        <v>0.0</v>
      </c>
      <c r="E2" s="1">
        <v>0.0</v>
      </c>
    </row>
    <row r="3">
      <c r="A3" s="1">
        <v>10119.0</v>
      </c>
      <c r="B3" s="1">
        <v>445.0</v>
      </c>
      <c r="C3" s="1">
        <v>1.480099517E9</v>
      </c>
      <c r="D3" s="1">
        <v>1.480099914E9</v>
      </c>
      <c r="E3" s="1">
        <v>38.0</v>
      </c>
    </row>
    <row r="4">
      <c r="A4" s="1">
        <v>10149.0</v>
      </c>
      <c r="B4" s="1">
        <v>445.0</v>
      </c>
      <c r="C4" s="1">
        <v>0.0</v>
      </c>
      <c r="E4" s="1">
        <v>0.0</v>
      </c>
    </row>
    <row r="5">
      <c r="A5" s="1">
        <v>10146.0</v>
      </c>
      <c r="B5" s="1">
        <v>445.0</v>
      </c>
      <c r="C5" s="1">
        <v>1.480119171E9</v>
      </c>
      <c r="D5" s="1">
        <v>1.48012047E9</v>
      </c>
      <c r="E5" s="1">
        <v>1297.0</v>
      </c>
    </row>
    <row r="6">
      <c r="A6" s="1">
        <v>10141.0</v>
      </c>
      <c r="B6" s="1">
        <v>445.0</v>
      </c>
      <c r="C6" s="1">
        <v>1.480122648E9</v>
      </c>
      <c r="D6" s="1">
        <v>1.480122833E9</v>
      </c>
      <c r="E6" s="1">
        <v>183.0</v>
      </c>
    </row>
    <row r="7">
      <c r="A7" s="1">
        <v>10137.0</v>
      </c>
      <c r="B7" s="1">
        <v>445.0</v>
      </c>
      <c r="C7" s="1">
        <v>1.480361415E9</v>
      </c>
      <c r="E7" s="1">
        <v>33.0</v>
      </c>
    </row>
    <row r="8">
      <c r="A8" s="1">
        <v>10148.0</v>
      </c>
      <c r="B8" s="1">
        <v>445.0</v>
      </c>
      <c r="C8" s="1">
        <v>1.48053026E9</v>
      </c>
      <c r="D8" s="1">
        <v>1.480530262E9</v>
      </c>
      <c r="E8" s="1">
        <v>0.0</v>
      </c>
    </row>
    <row r="9">
      <c r="A9" s="1">
        <v>10140.0</v>
      </c>
      <c r="B9" s="1">
        <v>445.0</v>
      </c>
      <c r="C9" s="1">
        <v>1.481419865E9</v>
      </c>
      <c r="D9" s="1">
        <v>1.481419875E9</v>
      </c>
      <c r="E9" s="1">
        <v>7.0</v>
      </c>
    </row>
    <row r="10">
      <c r="A10" s="1">
        <v>10166.0</v>
      </c>
      <c r="B10" s="1">
        <v>445.0</v>
      </c>
      <c r="C10" s="1">
        <v>0.0</v>
      </c>
      <c r="E10" s="1">
        <v>0.0</v>
      </c>
    </row>
    <row r="11">
      <c r="A11" s="1">
        <v>10167.0</v>
      </c>
      <c r="B11" s="1">
        <v>445.0</v>
      </c>
      <c r="C11" s="1">
        <v>1.481595946E9</v>
      </c>
      <c r="D11" s="1">
        <v>1.481596277E9</v>
      </c>
      <c r="E11" s="1">
        <v>328.0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0"/>
    <col customWidth="1" min="2" max="2" width="13.57"/>
  </cols>
  <sheetData>
    <row r="1">
      <c r="A1" s="2" t="s">
        <v>49</v>
      </c>
      <c r="B1" s="2" t="s">
        <v>50</v>
      </c>
      <c r="C1" s="2" t="s">
        <v>51</v>
      </c>
      <c r="D1" s="2" t="s">
        <v>52</v>
      </c>
      <c r="E1" s="9" t="s">
        <v>53</v>
      </c>
      <c r="F1" s="9" t="s">
        <v>55</v>
      </c>
      <c r="G1" s="9" t="s">
        <v>56</v>
      </c>
      <c r="H1" s="9" t="s">
        <v>57</v>
      </c>
      <c r="I1" s="9" t="s">
        <v>58</v>
      </c>
      <c r="J1" s="9" t="s">
        <v>59</v>
      </c>
      <c r="K1" s="9" t="s">
        <v>60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2">
        <v>442.0</v>
      </c>
      <c r="B2" s="2">
        <v>1806.0</v>
      </c>
      <c r="C2" s="2">
        <v>33.0</v>
      </c>
      <c r="D2" s="2">
        <v>2.0</v>
      </c>
      <c r="E2" s="2">
        <v>1.480275921E9</v>
      </c>
      <c r="F2" s="8"/>
      <c r="G2" s="2">
        <v>0.0</v>
      </c>
      <c r="H2" s="2">
        <v>0.0</v>
      </c>
      <c r="I2" s="2" t="s">
        <v>61</v>
      </c>
      <c r="J2" s="2">
        <v>0.0</v>
      </c>
      <c r="K2" s="2">
        <v>0.0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2">
        <v>442.0</v>
      </c>
      <c r="B3" s="2">
        <v>1879.0</v>
      </c>
      <c r="C3" s="2">
        <v>33.0</v>
      </c>
      <c r="D3" s="2">
        <v>2.0</v>
      </c>
      <c r="E3" s="2">
        <v>1.484760615E9</v>
      </c>
      <c r="F3" s="8"/>
      <c r="G3" s="2">
        <v>0.0</v>
      </c>
      <c r="H3" s="2">
        <v>0.0</v>
      </c>
      <c r="I3" s="2" t="s">
        <v>61</v>
      </c>
      <c r="J3" s="2">
        <v>0.0</v>
      </c>
      <c r="K3" s="2">
        <v>0.0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A4" s="2">
        <v>442.0</v>
      </c>
      <c r="B4" s="2">
        <v>1880.0</v>
      </c>
      <c r="C4" s="2">
        <v>33.0</v>
      </c>
      <c r="D4" s="2">
        <v>2.0</v>
      </c>
      <c r="E4" s="2">
        <v>1.484760728E9</v>
      </c>
      <c r="F4" s="8"/>
      <c r="G4" s="2">
        <v>0.0</v>
      </c>
      <c r="H4" s="2">
        <v>0.0</v>
      </c>
      <c r="I4" s="2" t="s">
        <v>61</v>
      </c>
      <c r="J4" s="2">
        <v>0.0</v>
      </c>
      <c r="K4" s="2">
        <v>0.0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>
      <c r="A5" s="2">
        <v>442.0</v>
      </c>
      <c r="B5" s="2">
        <v>1881.0</v>
      </c>
      <c r="C5" s="2">
        <v>33.0</v>
      </c>
      <c r="D5" s="2">
        <v>2.0</v>
      </c>
      <c r="E5" s="2">
        <v>1.484760904E9</v>
      </c>
      <c r="F5" s="8"/>
      <c r="G5" s="2">
        <v>0.0</v>
      </c>
      <c r="H5" s="2">
        <v>0.0</v>
      </c>
      <c r="I5" s="2" t="s">
        <v>61</v>
      </c>
      <c r="J5" s="2">
        <v>0.0</v>
      </c>
      <c r="K5" s="2">
        <v>0.0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2">
        <v>442.0</v>
      </c>
      <c r="B6" s="2">
        <v>1882.0</v>
      </c>
      <c r="C6" s="2">
        <v>33.0</v>
      </c>
      <c r="D6" s="2">
        <v>2.0</v>
      </c>
      <c r="E6" s="2">
        <v>1.484761582E9</v>
      </c>
      <c r="F6" s="8"/>
      <c r="G6" s="2">
        <v>0.0</v>
      </c>
      <c r="H6" s="2">
        <v>0.0</v>
      </c>
      <c r="I6" s="2" t="s">
        <v>61</v>
      </c>
      <c r="J6" s="2">
        <v>0.0</v>
      </c>
      <c r="K6" s="2">
        <v>0.0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>
      <c r="A7" s="2">
        <v>442.0</v>
      </c>
      <c r="B7" s="2">
        <v>1883.0</v>
      </c>
      <c r="C7" s="2">
        <v>33.0</v>
      </c>
      <c r="D7" s="2">
        <v>2.0</v>
      </c>
      <c r="E7" s="2">
        <v>1.484761634E9</v>
      </c>
      <c r="F7" s="8"/>
      <c r="G7" s="2">
        <v>0.0</v>
      </c>
      <c r="H7" s="2">
        <v>0.0</v>
      </c>
      <c r="I7" s="2" t="s">
        <v>61</v>
      </c>
      <c r="J7" s="2">
        <v>0.0</v>
      </c>
      <c r="K7" s="2">
        <v>0.0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>
      <c r="A8" s="2">
        <v>442.0</v>
      </c>
      <c r="B8" s="2">
        <v>1884.0</v>
      </c>
      <c r="C8" s="2">
        <v>33.0</v>
      </c>
      <c r="D8" s="2">
        <v>2.0</v>
      </c>
      <c r="E8" s="2">
        <v>1.484763237E9</v>
      </c>
      <c r="F8" s="8"/>
      <c r="G8" s="2">
        <v>0.0</v>
      </c>
      <c r="H8" s="2">
        <v>0.0</v>
      </c>
      <c r="I8" s="2" t="s">
        <v>61</v>
      </c>
      <c r="J8" s="2">
        <v>0.0</v>
      </c>
      <c r="K8" s="2">
        <v>0.0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>
      <c r="A9" s="2">
        <v>442.0</v>
      </c>
      <c r="B9" s="2">
        <v>1885.0</v>
      </c>
      <c r="C9" s="2">
        <v>33.0</v>
      </c>
      <c r="D9" s="2">
        <v>2.0</v>
      </c>
      <c r="E9" s="2">
        <v>1.484763395E9</v>
      </c>
      <c r="F9" s="8"/>
      <c r="G9" s="2">
        <v>0.0</v>
      </c>
      <c r="H9" s="2">
        <v>0.0</v>
      </c>
      <c r="I9" s="2" t="s">
        <v>61</v>
      </c>
      <c r="J9" s="2">
        <v>0.0</v>
      </c>
      <c r="K9" s="2">
        <v>0.0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>
      <c r="A10" s="2">
        <v>442.0</v>
      </c>
      <c r="B10" s="2">
        <v>1886.0</v>
      </c>
      <c r="C10" s="2">
        <v>33.0</v>
      </c>
      <c r="D10" s="2">
        <v>2.0</v>
      </c>
      <c r="E10" s="2">
        <v>1.484763418E9</v>
      </c>
      <c r="F10" s="8"/>
      <c r="G10" s="2">
        <v>0.0</v>
      </c>
      <c r="H10" s="2">
        <v>0.0</v>
      </c>
      <c r="I10" s="2" t="s">
        <v>61</v>
      </c>
      <c r="J10" s="2">
        <v>0.0</v>
      </c>
      <c r="K10" s="2">
        <v>0.0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>
      <c r="A11" s="2">
        <v>442.0</v>
      </c>
      <c r="B11" s="2">
        <v>1887.0</v>
      </c>
      <c r="C11" s="2">
        <v>33.0</v>
      </c>
      <c r="D11" s="2">
        <v>2.0</v>
      </c>
      <c r="E11" s="2">
        <v>1.484763471E9</v>
      </c>
      <c r="F11" s="8"/>
      <c r="G11" s="2">
        <v>0.0</v>
      </c>
      <c r="H11" s="2">
        <v>0.0</v>
      </c>
      <c r="I11" s="2" t="s">
        <v>61</v>
      </c>
      <c r="J11" s="2">
        <v>0.0</v>
      </c>
      <c r="K11" s="2">
        <v>0.0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A12" s="2">
        <v>442.0</v>
      </c>
      <c r="B12" s="2">
        <v>1888.0</v>
      </c>
      <c r="C12" s="2">
        <v>33.0</v>
      </c>
      <c r="D12" s="2">
        <v>2.0</v>
      </c>
      <c r="E12" s="2">
        <v>1.484763528E9</v>
      </c>
      <c r="F12" s="8"/>
      <c r="G12" s="2">
        <v>0.0</v>
      </c>
      <c r="H12" s="2">
        <v>0.0</v>
      </c>
      <c r="I12" s="2" t="s">
        <v>61</v>
      </c>
      <c r="J12" s="2">
        <v>0.0</v>
      </c>
      <c r="K12" s="2">
        <v>0.0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>
      <c r="A13" s="2">
        <v>442.0</v>
      </c>
      <c r="B13" s="2">
        <v>1889.0</v>
      </c>
      <c r="C13" s="2">
        <v>33.0</v>
      </c>
      <c r="D13" s="2">
        <v>2.0</v>
      </c>
      <c r="E13" s="2">
        <v>1.484763838E9</v>
      </c>
      <c r="F13" s="8"/>
      <c r="G13" s="2">
        <v>0.0</v>
      </c>
      <c r="H13" s="2">
        <v>0.0</v>
      </c>
      <c r="I13" s="2" t="s">
        <v>61</v>
      </c>
      <c r="J13" s="2">
        <v>0.0</v>
      </c>
      <c r="K13" s="2">
        <v>0.0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>
      <c r="A14" s="2">
        <v>442.0</v>
      </c>
      <c r="B14" s="2">
        <v>1890.0</v>
      </c>
      <c r="C14" s="2">
        <v>33.0</v>
      </c>
      <c r="D14" s="2">
        <v>2.0</v>
      </c>
      <c r="E14" s="2">
        <v>1.484763947E9</v>
      </c>
      <c r="F14" s="8"/>
      <c r="G14" s="2">
        <v>0.0</v>
      </c>
      <c r="H14" s="2">
        <v>0.0</v>
      </c>
      <c r="I14" s="2" t="s">
        <v>61</v>
      </c>
      <c r="J14" s="2">
        <v>0.0</v>
      </c>
      <c r="K14" s="2">
        <v>0.0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>
      <c r="A15" s="2">
        <v>442.0</v>
      </c>
      <c r="B15" s="2">
        <v>1891.0</v>
      </c>
      <c r="C15" s="2">
        <v>33.0</v>
      </c>
      <c r="D15" s="2">
        <v>2.0</v>
      </c>
      <c r="E15" s="2">
        <v>1.484764284E9</v>
      </c>
      <c r="F15" s="8"/>
      <c r="G15" s="2">
        <v>0.0</v>
      </c>
      <c r="H15" s="2">
        <v>0.0</v>
      </c>
      <c r="I15" s="2" t="s">
        <v>61</v>
      </c>
      <c r="J15" s="2">
        <v>0.0</v>
      </c>
      <c r="K15" s="2">
        <v>0.0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>
      <c r="A16" s="2">
        <v>442.0</v>
      </c>
      <c r="B16" s="2">
        <v>1892.0</v>
      </c>
      <c r="C16" s="2">
        <v>33.0</v>
      </c>
      <c r="D16" s="2">
        <v>2.0</v>
      </c>
      <c r="E16" s="2">
        <v>1.484764318E9</v>
      </c>
      <c r="F16" s="8"/>
      <c r="G16" s="2">
        <v>0.0</v>
      </c>
      <c r="H16" s="2">
        <v>0.0</v>
      </c>
      <c r="I16" s="2" t="s">
        <v>61</v>
      </c>
      <c r="J16" s="2">
        <v>0.0</v>
      </c>
      <c r="K16" s="2">
        <v>0.0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>
      <c r="A17" s="2">
        <v>442.0</v>
      </c>
      <c r="B17" s="2">
        <v>1893.0</v>
      </c>
      <c r="C17" s="2">
        <v>33.0</v>
      </c>
      <c r="D17" s="2">
        <v>2.0</v>
      </c>
      <c r="E17" s="2">
        <v>1.484764481E9</v>
      </c>
      <c r="F17" s="8"/>
      <c r="G17" s="2">
        <v>0.0</v>
      </c>
      <c r="H17" s="2">
        <v>0.0</v>
      </c>
      <c r="I17" s="2" t="s">
        <v>61</v>
      </c>
      <c r="J17" s="2">
        <v>0.0</v>
      </c>
      <c r="K17" s="2">
        <v>0.0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>
      <c r="A18" s="2">
        <v>442.0</v>
      </c>
      <c r="B18" s="2">
        <v>1894.0</v>
      </c>
      <c r="C18" s="2">
        <v>33.0</v>
      </c>
      <c r="D18" s="2">
        <v>2.0</v>
      </c>
      <c r="E18" s="2">
        <v>1.484764757E9</v>
      </c>
      <c r="F18" s="8"/>
      <c r="G18" s="2">
        <v>0.0</v>
      </c>
      <c r="H18" s="2">
        <v>0.0</v>
      </c>
      <c r="I18" s="2" t="s">
        <v>61</v>
      </c>
      <c r="J18" s="2">
        <v>0.0</v>
      </c>
      <c r="K18" s="2">
        <v>0.0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>
      <c r="A19" s="2">
        <v>442.0</v>
      </c>
      <c r="B19" s="2">
        <v>1895.0</v>
      </c>
      <c r="C19" s="2">
        <v>33.0</v>
      </c>
      <c r="D19" s="2">
        <v>2.0</v>
      </c>
      <c r="E19" s="2">
        <v>1.484764787E9</v>
      </c>
      <c r="F19" s="8"/>
      <c r="G19" s="2">
        <v>0.0</v>
      </c>
      <c r="H19" s="2">
        <v>0.0</v>
      </c>
      <c r="I19" s="2" t="s">
        <v>61</v>
      </c>
      <c r="J19" s="2">
        <v>0.0</v>
      </c>
      <c r="K19" s="2">
        <v>0.0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>
      <c r="A20" s="2">
        <v>442.0</v>
      </c>
      <c r="B20" s="2">
        <v>1896.0</v>
      </c>
      <c r="C20" s="2">
        <v>33.0</v>
      </c>
      <c r="D20" s="2">
        <v>2.0</v>
      </c>
      <c r="E20" s="2">
        <v>1.484764819E9</v>
      </c>
      <c r="F20" s="8"/>
      <c r="G20" s="2">
        <v>0.0</v>
      </c>
      <c r="H20" s="2">
        <v>0.0</v>
      </c>
      <c r="I20" s="2" t="s">
        <v>61</v>
      </c>
      <c r="J20" s="2">
        <v>0.0</v>
      </c>
      <c r="K20" s="2">
        <v>0.0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>
      <c r="A21" s="2">
        <v>442.0</v>
      </c>
      <c r="B21" s="2">
        <v>1897.0</v>
      </c>
      <c r="C21" s="2">
        <v>33.0</v>
      </c>
      <c r="D21" s="2">
        <v>2.0</v>
      </c>
      <c r="E21" s="2">
        <v>1.484764855E9</v>
      </c>
      <c r="F21" s="8"/>
      <c r="G21" s="2">
        <v>0.0</v>
      </c>
      <c r="H21" s="2">
        <v>0.0</v>
      </c>
      <c r="I21" s="2" t="s">
        <v>61</v>
      </c>
      <c r="J21" s="2">
        <v>0.0</v>
      </c>
      <c r="K21" s="2">
        <v>0.0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>
      <c r="A22" s="2">
        <v>442.0</v>
      </c>
      <c r="B22" s="2">
        <v>1898.0</v>
      </c>
      <c r="C22" s="2">
        <v>33.0</v>
      </c>
      <c r="D22" s="2">
        <v>2.0</v>
      </c>
      <c r="E22" s="2">
        <v>1.484765E9</v>
      </c>
      <c r="F22" s="8"/>
      <c r="G22" s="2">
        <v>0.0</v>
      </c>
      <c r="H22" s="2">
        <v>0.0</v>
      </c>
      <c r="I22" s="2" t="s">
        <v>61</v>
      </c>
      <c r="J22" s="2">
        <v>0.0</v>
      </c>
      <c r="K22" s="2">
        <v>0.0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>
      <c r="A23" s="2">
        <v>442.0</v>
      </c>
      <c r="B23" s="2">
        <v>1899.0</v>
      </c>
      <c r="C23" s="2">
        <v>33.0</v>
      </c>
      <c r="D23" s="2">
        <v>2.0</v>
      </c>
      <c r="E23" s="2">
        <v>1.484765043E9</v>
      </c>
      <c r="F23" s="8"/>
      <c r="G23" s="2">
        <v>0.0</v>
      </c>
      <c r="H23" s="2">
        <v>0.0</v>
      </c>
      <c r="I23" s="2" t="s">
        <v>61</v>
      </c>
      <c r="J23" s="2">
        <v>0.0</v>
      </c>
      <c r="K23" s="2">
        <v>0.0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>
      <c r="A24" s="2">
        <v>442.0</v>
      </c>
      <c r="B24" s="2">
        <v>1901.0</v>
      </c>
      <c r="C24" s="2">
        <v>33.0</v>
      </c>
      <c r="D24" s="2">
        <v>2.0</v>
      </c>
      <c r="E24" s="2">
        <v>1.484765101E9</v>
      </c>
      <c r="F24" s="8"/>
      <c r="G24" s="2">
        <v>0.0</v>
      </c>
      <c r="H24" s="2">
        <v>0.0</v>
      </c>
      <c r="I24" s="2" t="s">
        <v>61</v>
      </c>
      <c r="J24" s="2">
        <v>0.0</v>
      </c>
      <c r="K24" s="2">
        <v>0.0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>
      <c r="A25" s="2">
        <v>442.0</v>
      </c>
      <c r="B25" s="2">
        <v>1902.0</v>
      </c>
      <c r="C25" s="2">
        <v>33.0</v>
      </c>
      <c r="D25" s="2">
        <v>2.0</v>
      </c>
      <c r="E25" s="2">
        <v>1.48476514E9</v>
      </c>
      <c r="F25" s="8"/>
      <c r="G25" s="2">
        <v>0.0</v>
      </c>
      <c r="H25" s="2">
        <v>1.484768359E9</v>
      </c>
      <c r="I25" s="2">
        <v>7.0</v>
      </c>
      <c r="J25" s="2">
        <v>0.0</v>
      </c>
      <c r="K25" s="2">
        <v>0.0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>
      <c r="A26" s="2">
        <v>442.0</v>
      </c>
      <c r="B26" s="2">
        <v>1693.0</v>
      </c>
      <c r="C26" s="2">
        <v>33.0</v>
      </c>
      <c r="D26" s="2">
        <v>10116.0</v>
      </c>
      <c r="E26" s="2">
        <v>1.480119372E9</v>
      </c>
      <c r="F26" s="8"/>
      <c r="G26" s="2">
        <v>0.0</v>
      </c>
      <c r="H26" s="2">
        <v>1.480119374E9</v>
      </c>
      <c r="I26" s="2">
        <v>10.0</v>
      </c>
      <c r="J26" s="2">
        <v>0.0</v>
      </c>
      <c r="K26" s="2">
        <v>0.0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>
      <c r="A27" s="2">
        <v>442.0</v>
      </c>
      <c r="B27" s="2">
        <v>1749.0</v>
      </c>
      <c r="C27" s="2">
        <v>33.0</v>
      </c>
      <c r="D27" s="2">
        <v>10120.0</v>
      </c>
      <c r="E27" s="2">
        <v>1.480120848E9</v>
      </c>
      <c r="F27" s="8"/>
      <c r="G27" s="2">
        <v>0.0</v>
      </c>
      <c r="H27" s="2">
        <v>1.480120856E9</v>
      </c>
      <c r="I27" s="2">
        <v>7.0</v>
      </c>
      <c r="J27" s="2">
        <v>0.0</v>
      </c>
      <c r="K27" s="2">
        <v>0.0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>
      <c r="A28" s="2">
        <v>442.0</v>
      </c>
      <c r="B28" s="2">
        <v>1859.0</v>
      </c>
      <c r="C28" s="2">
        <v>33.0</v>
      </c>
      <c r="D28" s="2">
        <v>10120.0</v>
      </c>
      <c r="E28" s="2">
        <v>1.480701289E9</v>
      </c>
      <c r="F28" s="8"/>
      <c r="G28" s="2">
        <v>0.0</v>
      </c>
      <c r="H28" s="2">
        <v>1.480701299E9</v>
      </c>
      <c r="I28" s="2">
        <v>10.0</v>
      </c>
      <c r="J28" s="2">
        <v>0.0</v>
      </c>
      <c r="K28" s="2">
        <v>0.0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>
      <c r="A29" s="2">
        <v>442.0</v>
      </c>
      <c r="B29" s="2">
        <v>1709.0</v>
      </c>
      <c r="C29" s="2">
        <v>33.0</v>
      </c>
      <c r="D29" s="2">
        <v>10122.0</v>
      </c>
      <c r="E29" s="2">
        <v>1.480119671E9</v>
      </c>
      <c r="F29" s="8"/>
      <c r="G29" s="2">
        <v>0.0</v>
      </c>
      <c r="H29" s="2">
        <v>1.480119675E9</v>
      </c>
      <c r="I29" s="2">
        <v>6.0</v>
      </c>
      <c r="J29" s="2">
        <v>0.0</v>
      </c>
      <c r="K29" s="2">
        <v>0.0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>
      <c r="A30" s="2">
        <v>442.0</v>
      </c>
      <c r="B30" s="2">
        <v>1789.0</v>
      </c>
      <c r="C30" s="2">
        <v>33.0</v>
      </c>
      <c r="D30" s="2">
        <v>10126.0</v>
      </c>
      <c r="E30" s="2">
        <v>1.48016462E9</v>
      </c>
      <c r="F30" s="8"/>
      <c r="G30" s="2">
        <v>0.0</v>
      </c>
      <c r="H30" s="2">
        <v>1.480164625E9</v>
      </c>
      <c r="I30" s="2">
        <v>0.0</v>
      </c>
      <c r="J30" s="2">
        <v>0.0</v>
      </c>
      <c r="K30" s="2">
        <v>0.0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>
      <c r="A31" s="2">
        <v>442.0</v>
      </c>
      <c r="B31" s="2">
        <v>1790.0</v>
      </c>
      <c r="C31" s="2">
        <v>33.0</v>
      </c>
      <c r="D31" s="2">
        <v>10126.0</v>
      </c>
      <c r="E31" s="2">
        <v>1.480164629E9</v>
      </c>
      <c r="F31" s="8"/>
      <c r="G31" s="2">
        <v>0.0</v>
      </c>
      <c r="H31" s="2">
        <v>0.0</v>
      </c>
      <c r="I31" s="2" t="s">
        <v>61</v>
      </c>
      <c r="J31" s="2">
        <v>0.0</v>
      </c>
      <c r="K31" s="2">
        <v>0.0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>
      <c r="A32" s="2">
        <v>442.0</v>
      </c>
      <c r="B32" s="2">
        <v>1796.0</v>
      </c>
      <c r="C32" s="2">
        <v>33.0</v>
      </c>
      <c r="D32" s="2">
        <v>10126.0</v>
      </c>
      <c r="E32" s="2">
        <v>1.480204157E9</v>
      </c>
      <c r="F32" s="8"/>
      <c r="G32" s="2">
        <v>0.0</v>
      </c>
      <c r="H32" s="2">
        <v>0.0</v>
      </c>
      <c r="I32" s="2" t="s">
        <v>61</v>
      </c>
      <c r="J32" s="2">
        <v>0.0</v>
      </c>
      <c r="K32" s="2">
        <v>0.0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>
      <c r="A33" s="2">
        <v>442.0</v>
      </c>
      <c r="B33" s="2">
        <v>1797.0</v>
      </c>
      <c r="C33" s="2">
        <v>33.0</v>
      </c>
      <c r="D33" s="2">
        <v>10126.0</v>
      </c>
      <c r="E33" s="2">
        <v>1.480204168E9</v>
      </c>
      <c r="F33" s="8"/>
      <c r="G33" s="2">
        <v>0.0</v>
      </c>
      <c r="H33" s="2">
        <v>1.480332425E9</v>
      </c>
      <c r="I33" s="2">
        <v>0.0</v>
      </c>
      <c r="J33" s="2">
        <v>0.0</v>
      </c>
      <c r="K33" s="2">
        <v>0.0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>
      <c r="A34" s="2">
        <v>442.0</v>
      </c>
      <c r="B34" s="2">
        <v>1737.0</v>
      </c>
      <c r="C34" s="2">
        <v>33.0</v>
      </c>
      <c r="D34" s="2">
        <v>10128.0</v>
      </c>
      <c r="E34" s="2">
        <v>1.480120399E9</v>
      </c>
      <c r="F34" s="8"/>
      <c r="G34" s="2">
        <v>0.0</v>
      </c>
      <c r="H34" s="2">
        <v>1.480120402E9</v>
      </c>
      <c r="I34" s="2">
        <v>10.0</v>
      </c>
      <c r="J34" s="2">
        <v>0.0</v>
      </c>
      <c r="K34" s="2">
        <v>0.0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>
      <c r="A35" s="2">
        <v>442.0</v>
      </c>
      <c r="B35" s="2">
        <v>1792.0</v>
      </c>
      <c r="C35" s="2">
        <v>33.0</v>
      </c>
      <c r="D35" s="2">
        <v>10129.0</v>
      </c>
      <c r="E35" s="2">
        <v>1.480174483E9</v>
      </c>
      <c r="F35" s="8"/>
      <c r="G35" s="2">
        <v>0.0</v>
      </c>
      <c r="H35" s="2">
        <v>1.480174486E9</v>
      </c>
      <c r="I35" s="2">
        <v>10.0</v>
      </c>
      <c r="J35" s="2">
        <v>0.0</v>
      </c>
      <c r="K35" s="2">
        <v>0.0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>
      <c r="A36" s="2">
        <v>442.0</v>
      </c>
      <c r="B36" s="2">
        <v>1732.0</v>
      </c>
      <c r="C36" s="2">
        <v>33.0</v>
      </c>
      <c r="D36" s="2">
        <v>10130.0</v>
      </c>
      <c r="E36" s="2">
        <v>1.480120303E9</v>
      </c>
      <c r="F36" s="8"/>
      <c r="G36" s="2">
        <v>0.0</v>
      </c>
      <c r="H36" s="2">
        <v>1.480120317E9</v>
      </c>
      <c r="I36" s="2">
        <v>10.0</v>
      </c>
      <c r="J36" s="2">
        <v>0.0</v>
      </c>
      <c r="K36" s="2">
        <v>0.0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>
      <c r="A37" s="2">
        <v>442.0</v>
      </c>
      <c r="B37" s="2">
        <v>1690.0</v>
      </c>
      <c r="C37" s="2">
        <v>33.0</v>
      </c>
      <c r="D37" s="2">
        <v>10132.0</v>
      </c>
      <c r="E37" s="2">
        <v>1.480119319E9</v>
      </c>
      <c r="F37" s="8"/>
      <c r="G37" s="2">
        <v>0.0</v>
      </c>
      <c r="H37" s="2">
        <v>1.480119334E9</v>
      </c>
      <c r="I37" s="2">
        <v>10.0</v>
      </c>
      <c r="J37" s="2">
        <v>0.0</v>
      </c>
      <c r="K37" s="2">
        <v>0.0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>
      <c r="A38" s="2">
        <v>442.0</v>
      </c>
      <c r="B38" s="2">
        <v>1689.0</v>
      </c>
      <c r="C38" s="2">
        <v>33.0</v>
      </c>
      <c r="D38" s="2">
        <v>10134.0</v>
      </c>
      <c r="E38" s="2">
        <v>1.480119315E9</v>
      </c>
      <c r="F38" s="8"/>
      <c r="G38" s="2">
        <v>0.0</v>
      </c>
      <c r="H38" s="2">
        <v>1.480119324E9</v>
      </c>
      <c r="I38" s="2">
        <v>10.0</v>
      </c>
      <c r="J38" s="2">
        <v>0.0</v>
      </c>
      <c r="K38" s="2">
        <v>0.0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>
      <c r="A39" s="2">
        <v>442.0</v>
      </c>
      <c r="B39" s="2">
        <v>1688.0</v>
      </c>
      <c r="C39" s="2">
        <v>33.0</v>
      </c>
      <c r="D39" s="2">
        <v>10136.0</v>
      </c>
      <c r="E39" s="2">
        <v>1.480119288E9</v>
      </c>
      <c r="F39" s="8"/>
      <c r="G39" s="2">
        <v>0.0</v>
      </c>
      <c r="H39" s="2">
        <v>1.480119302E9</v>
      </c>
      <c r="I39" s="2">
        <v>10.0</v>
      </c>
      <c r="J39" s="2">
        <v>0.0</v>
      </c>
      <c r="K39" s="2">
        <v>0.0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>
      <c r="A40" s="2">
        <v>442.0</v>
      </c>
      <c r="B40" s="2">
        <v>1848.0</v>
      </c>
      <c r="C40" s="2">
        <v>33.0</v>
      </c>
      <c r="D40" s="2">
        <v>10137.0</v>
      </c>
      <c r="E40" s="2">
        <v>1.480361273E9</v>
      </c>
      <c r="F40" s="8"/>
      <c r="G40" s="2">
        <v>0.0</v>
      </c>
      <c r="H40" s="2">
        <v>0.0</v>
      </c>
      <c r="I40" s="2" t="s">
        <v>61</v>
      </c>
      <c r="J40" s="2">
        <v>0.0</v>
      </c>
      <c r="K40" s="2">
        <v>0.0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>
      <c r="A41" s="2">
        <v>442.0</v>
      </c>
      <c r="B41" s="2">
        <v>1849.0</v>
      </c>
      <c r="C41" s="2">
        <v>33.0</v>
      </c>
      <c r="D41" s="2">
        <v>10137.0</v>
      </c>
      <c r="E41" s="2">
        <v>1.480361337E9</v>
      </c>
      <c r="F41" s="8"/>
      <c r="G41" s="2">
        <v>0.0</v>
      </c>
      <c r="H41" s="2">
        <v>1.480361347E9</v>
      </c>
      <c r="I41" s="2">
        <v>10.0</v>
      </c>
      <c r="J41" s="2">
        <v>0.0</v>
      </c>
      <c r="K41" s="2">
        <v>0.0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>
      <c r="A42" s="2">
        <v>442.0</v>
      </c>
      <c r="B42" s="2">
        <v>1695.0</v>
      </c>
      <c r="C42" s="2">
        <v>33.0</v>
      </c>
      <c r="D42" s="2">
        <v>10138.0</v>
      </c>
      <c r="E42" s="2">
        <v>1.480119393E9</v>
      </c>
      <c r="F42" s="8"/>
      <c r="G42" s="2">
        <v>0.0</v>
      </c>
      <c r="H42" s="2">
        <v>1.480119394E9</v>
      </c>
      <c r="I42" s="2">
        <v>10.0</v>
      </c>
      <c r="J42" s="2">
        <v>0.0</v>
      </c>
      <c r="K42" s="2">
        <v>0.0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>
      <c r="A43" s="2">
        <v>442.0</v>
      </c>
      <c r="B43" s="2">
        <v>1865.0</v>
      </c>
      <c r="C43" s="2">
        <v>33.0</v>
      </c>
      <c r="D43" s="2">
        <v>10140.0</v>
      </c>
      <c r="E43" s="2">
        <v>1.481419841E9</v>
      </c>
      <c r="F43" s="8"/>
      <c r="G43" s="2">
        <v>0.0</v>
      </c>
      <c r="H43" s="2">
        <v>1.481419844E9</v>
      </c>
      <c r="I43" s="2">
        <v>10.0</v>
      </c>
      <c r="J43" s="2">
        <v>0.0</v>
      </c>
      <c r="K43" s="2">
        <v>0.0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>
      <c r="A44" s="2">
        <v>442.0</v>
      </c>
      <c r="B44" s="2">
        <v>1776.0</v>
      </c>
      <c r="C44" s="2">
        <v>33.0</v>
      </c>
      <c r="D44" s="2">
        <v>10141.0</v>
      </c>
      <c r="E44" s="2">
        <v>1.480124891E9</v>
      </c>
      <c r="F44" s="8"/>
      <c r="G44" s="2">
        <v>0.0</v>
      </c>
      <c r="H44" s="2">
        <v>1.480124902E9</v>
      </c>
      <c r="I44" s="2">
        <v>7.0</v>
      </c>
      <c r="J44" s="2">
        <v>0.0</v>
      </c>
      <c r="K44" s="2">
        <v>0.0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>
      <c r="A45" s="2">
        <v>442.0</v>
      </c>
      <c r="B45" s="2">
        <v>1777.0</v>
      </c>
      <c r="C45" s="2">
        <v>33.0</v>
      </c>
      <c r="D45" s="2">
        <v>10141.0</v>
      </c>
      <c r="E45" s="2">
        <v>1.480125102E9</v>
      </c>
      <c r="F45" s="8"/>
      <c r="G45" s="2">
        <v>0.0</v>
      </c>
      <c r="H45" s="2">
        <v>1.480125105E9</v>
      </c>
      <c r="I45" s="2">
        <v>10.0</v>
      </c>
      <c r="J45" s="2">
        <v>0.0</v>
      </c>
      <c r="K45" s="2">
        <v>0.0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>
      <c r="A46" s="2">
        <v>442.0</v>
      </c>
      <c r="B46" s="2">
        <v>1698.0</v>
      </c>
      <c r="C46" s="2">
        <v>33.0</v>
      </c>
      <c r="D46" s="2">
        <v>10144.0</v>
      </c>
      <c r="E46" s="2">
        <v>1.480119441E9</v>
      </c>
      <c r="F46" s="8"/>
      <c r="G46" s="2">
        <v>0.0</v>
      </c>
      <c r="H46" s="2">
        <v>0.0</v>
      </c>
      <c r="I46" s="2" t="s">
        <v>61</v>
      </c>
      <c r="J46" s="2">
        <v>0.0</v>
      </c>
      <c r="K46" s="2">
        <v>0.0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>
      <c r="A47" s="2">
        <v>442.0</v>
      </c>
      <c r="B47" s="2">
        <v>1714.0</v>
      </c>
      <c r="C47" s="2">
        <v>33.0</v>
      </c>
      <c r="D47" s="2">
        <v>10144.0</v>
      </c>
      <c r="E47" s="2">
        <v>1.480119867E9</v>
      </c>
      <c r="F47" s="8"/>
      <c r="G47" s="2">
        <v>0.0</v>
      </c>
      <c r="H47" s="2">
        <v>0.0</v>
      </c>
      <c r="I47" s="2" t="s">
        <v>61</v>
      </c>
      <c r="J47" s="2">
        <v>0.0</v>
      </c>
      <c r="K47" s="2">
        <v>0.0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>
      <c r="A48" s="2">
        <v>442.0</v>
      </c>
      <c r="B48" s="2">
        <v>1718.0</v>
      </c>
      <c r="C48" s="2">
        <v>33.0</v>
      </c>
      <c r="D48" s="2">
        <v>10144.0</v>
      </c>
      <c r="E48" s="2">
        <v>1.480119969E9</v>
      </c>
      <c r="F48" s="8"/>
      <c r="G48" s="2">
        <v>0.0</v>
      </c>
      <c r="H48" s="2">
        <v>0.0</v>
      </c>
      <c r="I48" s="2" t="s">
        <v>61</v>
      </c>
      <c r="J48" s="2">
        <v>0.0</v>
      </c>
      <c r="K48" s="2">
        <v>0.0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>
      <c r="A49" s="2">
        <v>442.0</v>
      </c>
      <c r="B49" s="2">
        <v>1725.0</v>
      </c>
      <c r="C49" s="2">
        <v>33.0</v>
      </c>
      <c r="D49" s="2">
        <v>10144.0</v>
      </c>
      <c r="E49" s="2">
        <v>1.480120048E9</v>
      </c>
      <c r="F49" s="8"/>
      <c r="G49" s="2">
        <v>0.0</v>
      </c>
      <c r="H49" s="2">
        <v>0.0</v>
      </c>
      <c r="I49" s="2" t="s">
        <v>61</v>
      </c>
      <c r="J49" s="2">
        <v>0.0</v>
      </c>
      <c r="K49" s="2">
        <v>0.0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>
      <c r="A50" s="2">
        <v>442.0</v>
      </c>
      <c r="B50" s="2">
        <v>1728.0</v>
      </c>
      <c r="C50" s="2">
        <v>33.0</v>
      </c>
      <c r="D50" s="2">
        <v>10144.0</v>
      </c>
      <c r="E50" s="2">
        <v>1.480120199E9</v>
      </c>
      <c r="F50" s="8"/>
      <c r="G50" s="2">
        <v>0.0</v>
      </c>
      <c r="H50" s="2">
        <v>1.480121286E9</v>
      </c>
      <c r="I50" s="2">
        <v>2.0</v>
      </c>
      <c r="J50" s="2">
        <v>0.0</v>
      </c>
      <c r="K50" s="2">
        <v>0.0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>
      <c r="A51" s="2">
        <v>442.0</v>
      </c>
      <c r="B51" s="2">
        <v>1751.0</v>
      </c>
      <c r="C51" s="2">
        <v>33.0</v>
      </c>
      <c r="D51" s="2">
        <v>10144.0</v>
      </c>
      <c r="E51" s="2">
        <v>1.480121551E9</v>
      </c>
      <c r="F51" s="8"/>
      <c r="G51" s="2">
        <v>0.0</v>
      </c>
      <c r="H51" s="2">
        <v>1.480121561E9</v>
      </c>
      <c r="I51" s="2">
        <v>2.0</v>
      </c>
      <c r="J51" s="2">
        <v>0.0</v>
      </c>
      <c r="K51" s="2">
        <v>0.0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>
      <c r="A52" s="2">
        <v>442.0</v>
      </c>
      <c r="B52" s="2">
        <v>1752.0</v>
      </c>
      <c r="C52" s="2">
        <v>33.0</v>
      </c>
      <c r="D52" s="2">
        <v>10144.0</v>
      </c>
      <c r="E52" s="2">
        <v>1.480121649E9</v>
      </c>
      <c r="F52" s="8"/>
      <c r="G52" s="2">
        <v>0.0</v>
      </c>
      <c r="H52" s="2">
        <v>1.480121664E9</v>
      </c>
      <c r="I52" s="2">
        <v>3.0</v>
      </c>
      <c r="J52" s="2">
        <v>0.0</v>
      </c>
      <c r="K52" s="2">
        <v>0.0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>
      <c r="A53" s="2">
        <v>442.0</v>
      </c>
      <c r="B53" s="2">
        <v>1753.0</v>
      </c>
      <c r="C53" s="2">
        <v>33.0</v>
      </c>
      <c r="D53" s="2">
        <v>10144.0</v>
      </c>
      <c r="E53" s="2">
        <v>1.480121691E9</v>
      </c>
      <c r="F53" s="8"/>
      <c r="G53" s="2">
        <v>0.0</v>
      </c>
      <c r="H53" s="2">
        <v>0.0</v>
      </c>
      <c r="I53" s="2" t="s">
        <v>61</v>
      </c>
      <c r="J53" s="2">
        <v>0.0</v>
      </c>
      <c r="K53" s="2">
        <v>0.0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>
      <c r="A54" s="2">
        <v>442.0</v>
      </c>
      <c r="B54" s="2">
        <v>1754.0</v>
      </c>
      <c r="C54" s="2">
        <v>33.0</v>
      </c>
      <c r="D54" s="2">
        <v>10144.0</v>
      </c>
      <c r="E54" s="2">
        <v>1.480121711E9</v>
      </c>
      <c r="F54" s="8"/>
      <c r="G54" s="2">
        <v>0.0</v>
      </c>
      <c r="H54" s="2">
        <v>0.0</v>
      </c>
      <c r="I54" s="2" t="s">
        <v>61</v>
      </c>
      <c r="J54" s="2">
        <v>0.0</v>
      </c>
      <c r="K54" s="2">
        <v>0.0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>
      <c r="A55" s="2">
        <v>442.0</v>
      </c>
      <c r="B55" s="2">
        <v>1755.0</v>
      </c>
      <c r="C55" s="2">
        <v>33.0</v>
      </c>
      <c r="D55" s="2">
        <v>10144.0</v>
      </c>
      <c r="E55" s="2">
        <v>1.480121759E9</v>
      </c>
      <c r="F55" s="8"/>
      <c r="G55" s="2">
        <v>0.0</v>
      </c>
      <c r="H55" s="2">
        <v>0.0</v>
      </c>
      <c r="I55" s="2" t="s">
        <v>61</v>
      </c>
      <c r="J55" s="2">
        <v>0.0</v>
      </c>
      <c r="K55" s="2">
        <v>0.0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>
      <c r="A56" s="2">
        <v>442.0</v>
      </c>
      <c r="B56" s="2">
        <v>1756.0</v>
      </c>
      <c r="C56" s="2">
        <v>33.0</v>
      </c>
      <c r="D56" s="2">
        <v>10144.0</v>
      </c>
      <c r="E56" s="2">
        <v>1.480121915E9</v>
      </c>
      <c r="F56" s="8"/>
      <c r="G56" s="2">
        <v>0.0</v>
      </c>
      <c r="H56" s="2">
        <v>0.0</v>
      </c>
      <c r="I56" s="2" t="s">
        <v>61</v>
      </c>
      <c r="J56" s="2">
        <v>0.0</v>
      </c>
      <c r="K56" s="2">
        <v>0.0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>
      <c r="A57" s="2">
        <v>442.0</v>
      </c>
      <c r="B57" s="2">
        <v>1757.0</v>
      </c>
      <c r="C57" s="2">
        <v>33.0</v>
      </c>
      <c r="D57" s="2">
        <v>10144.0</v>
      </c>
      <c r="E57" s="2">
        <v>1.48012194E9</v>
      </c>
      <c r="F57" s="8"/>
      <c r="G57" s="2">
        <v>0.0</v>
      </c>
      <c r="H57" s="2">
        <v>1.480122108E9</v>
      </c>
      <c r="I57" s="2">
        <v>2.0</v>
      </c>
      <c r="J57" s="2">
        <v>0.0</v>
      </c>
      <c r="K57" s="2">
        <v>0.0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>
      <c r="A58" s="2">
        <v>442.0</v>
      </c>
      <c r="B58" s="2">
        <v>1758.0</v>
      </c>
      <c r="C58" s="2">
        <v>33.0</v>
      </c>
      <c r="D58" s="2">
        <v>10144.0</v>
      </c>
      <c r="E58" s="2">
        <v>1.480122283E9</v>
      </c>
      <c r="F58" s="8"/>
      <c r="G58" s="2">
        <v>0.0</v>
      </c>
      <c r="H58" s="2">
        <v>0.0</v>
      </c>
      <c r="I58" s="2" t="s">
        <v>61</v>
      </c>
      <c r="J58" s="2">
        <v>0.0</v>
      </c>
      <c r="K58" s="2">
        <v>0.0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>
      <c r="A59" s="2">
        <v>442.0</v>
      </c>
      <c r="B59" s="2">
        <v>1759.0</v>
      </c>
      <c r="C59" s="2">
        <v>33.0</v>
      </c>
      <c r="D59" s="2">
        <v>10144.0</v>
      </c>
      <c r="E59" s="2">
        <v>1.480122304E9</v>
      </c>
      <c r="F59" s="8"/>
      <c r="G59" s="2">
        <v>0.0</v>
      </c>
      <c r="H59" s="2">
        <v>0.0</v>
      </c>
      <c r="I59" s="2" t="s">
        <v>61</v>
      </c>
      <c r="J59" s="2">
        <v>0.0</v>
      </c>
      <c r="K59" s="2">
        <v>0.0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>
      <c r="A60" s="2">
        <v>442.0</v>
      </c>
      <c r="B60" s="2">
        <v>1760.0</v>
      </c>
      <c r="C60" s="2">
        <v>33.0</v>
      </c>
      <c r="D60" s="2">
        <v>10144.0</v>
      </c>
      <c r="E60" s="2">
        <v>1.48012237E9</v>
      </c>
      <c r="F60" s="8"/>
      <c r="G60" s="2">
        <v>0.0</v>
      </c>
      <c r="H60" s="2">
        <v>1.480122384E9</v>
      </c>
      <c r="I60" s="2">
        <v>3.0</v>
      </c>
      <c r="J60" s="2">
        <v>0.0</v>
      </c>
      <c r="K60" s="2">
        <v>0.0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>
      <c r="A61" s="2">
        <v>442.0</v>
      </c>
      <c r="B61" s="2">
        <v>1761.0</v>
      </c>
      <c r="C61" s="2">
        <v>33.0</v>
      </c>
      <c r="D61" s="2">
        <v>10144.0</v>
      </c>
      <c r="E61" s="2">
        <v>1.480122439E9</v>
      </c>
      <c r="F61" s="8"/>
      <c r="G61" s="2">
        <v>0.0</v>
      </c>
      <c r="H61" s="2">
        <v>0.0</v>
      </c>
      <c r="I61" s="2" t="s">
        <v>61</v>
      </c>
      <c r="J61" s="2">
        <v>0.0</v>
      </c>
      <c r="K61" s="2">
        <v>0.0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>
      <c r="A62" s="2">
        <v>442.0</v>
      </c>
      <c r="B62" s="2">
        <v>1762.0</v>
      </c>
      <c r="C62" s="2">
        <v>33.0</v>
      </c>
      <c r="D62" s="2">
        <v>10144.0</v>
      </c>
      <c r="E62" s="2">
        <v>1.480122486E9</v>
      </c>
      <c r="F62" s="8"/>
      <c r="G62" s="2">
        <v>0.0</v>
      </c>
      <c r="H62" s="2">
        <v>0.0</v>
      </c>
      <c r="I62" s="2" t="s">
        <v>61</v>
      </c>
      <c r="J62" s="2">
        <v>0.0</v>
      </c>
      <c r="K62" s="2">
        <v>0.0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>
      <c r="A63" s="2">
        <v>442.0</v>
      </c>
      <c r="B63" s="2">
        <v>1763.0</v>
      </c>
      <c r="C63" s="2">
        <v>33.0</v>
      </c>
      <c r="D63" s="2">
        <v>10144.0</v>
      </c>
      <c r="E63" s="2">
        <v>1.480122545E9</v>
      </c>
      <c r="F63" s="8"/>
      <c r="G63" s="2">
        <v>0.0</v>
      </c>
      <c r="H63" s="2">
        <v>1.480122571E9</v>
      </c>
      <c r="I63" s="2">
        <v>2.0</v>
      </c>
      <c r="J63" s="2">
        <v>0.0</v>
      </c>
      <c r="K63" s="2">
        <v>0.0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>
      <c r="A64" s="2">
        <v>442.0</v>
      </c>
      <c r="B64" s="2">
        <v>1764.0</v>
      </c>
      <c r="C64" s="2">
        <v>33.0</v>
      </c>
      <c r="D64" s="2">
        <v>10144.0</v>
      </c>
      <c r="E64" s="2">
        <v>1.480122582E9</v>
      </c>
      <c r="F64" s="8"/>
      <c r="G64" s="2">
        <v>0.0</v>
      </c>
      <c r="H64" s="2">
        <v>1.480122605E9</v>
      </c>
      <c r="I64" s="2">
        <v>2.0</v>
      </c>
      <c r="J64" s="2">
        <v>0.0</v>
      </c>
      <c r="K64" s="2">
        <v>0.0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>
      <c r="A65" s="2">
        <v>442.0</v>
      </c>
      <c r="B65" s="2">
        <v>1765.0</v>
      </c>
      <c r="C65" s="2">
        <v>33.0</v>
      </c>
      <c r="D65" s="2">
        <v>10144.0</v>
      </c>
      <c r="E65" s="2">
        <v>1.480122746E9</v>
      </c>
      <c r="F65" s="8"/>
      <c r="G65" s="2">
        <v>0.0</v>
      </c>
      <c r="H65" s="2">
        <v>1.480122758E9</v>
      </c>
      <c r="I65" s="2">
        <v>2.0</v>
      </c>
      <c r="J65" s="2">
        <v>0.0</v>
      </c>
      <c r="K65" s="2">
        <v>0.0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>
      <c r="A66" s="2">
        <v>442.0</v>
      </c>
      <c r="B66" s="2">
        <v>1766.0</v>
      </c>
      <c r="C66" s="2">
        <v>33.0</v>
      </c>
      <c r="D66" s="2">
        <v>10144.0</v>
      </c>
      <c r="E66" s="2">
        <v>1.480122812E9</v>
      </c>
      <c r="F66" s="8"/>
      <c r="G66" s="2">
        <v>0.0</v>
      </c>
      <c r="H66" s="2">
        <v>0.0</v>
      </c>
      <c r="I66" s="2" t="s">
        <v>61</v>
      </c>
      <c r="J66" s="2">
        <v>0.0</v>
      </c>
      <c r="K66" s="2">
        <v>0.0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>
      <c r="A67" s="2">
        <v>442.0</v>
      </c>
      <c r="B67" s="2">
        <v>1767.0</v>
      </c>
      <c r="C67" s="2">
        <v>33.0</v>
      </c>
      <c r="D67" s="2">
        <v>10144.0</v>
      </c>
      <c r="E67" s="2">
        <v>1.480122824E9</v>
      </c>
      <c r="F67" s="8"/>
      <c r="G67" s="2">
        <v>0.0</v>
      </c>
      <c r="H67" s="2">
        <v>0.0</v>
      </c>
      <c r="I67" s="2" t="s">
        <v>61</v>
      </c>
      <c r="J67" s="2">
        <v>0.0</v>
      </c>
      <c r="K67" s="2">
        <v>0.0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>
      <c r="A68" s="2">
        <v>442.0</v>
      </c>
      <c r="B68" s="2">
        <v>1770.0</v>
      </c>
      <c r="C68" s="2">
        <v>33.0</v>
      </c>
      <c r="D68" s="2">
        <v>10144.0</v>
      </c>
      <c r="E68" s="2">
        <v>1.480123195E9</v>
      </c>
      <c r="F68" s="8"/>
      <c r="G68" s="2">
        <v>0.0</v>
      </c>
      <c r="H68" s="2">
        <v>1.480123211E9</v>
      </c>
      <c r="I68" s="2">
        <v>2.0</v>
      </c>
      <c r="J68" s="2">
        <v>0.0</v>
      </c>
      <c r="K68" s="2">
        <v>0.0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>
      <c r="A69" s="2">
        <v>442.0</v>
      </c>
      <c r="B69" s="2">
        <v>1771.0</v>
      </c>
      <c r="C69" s="2">
        <v>33.0</v>
      </c>
      <c r="D69" s="2">
        <v>10144.0</v>
      </c>
      <c r="E69" s="2">
        <v>1.480123326E9</v>
      </c>
      <c r="F69" s="8"/>
      <c r="G69" s="2">
        <v>0.0</v>
      </c>
      <c r="H69" s="2">
        <v>1.48012334E9</v>
      </c>
      <c r="I69" s="2">
        <v>2.0</v>
      </c>
      <c r="J69" s="2">
        <v>0.0</v>
      </c>
      <c r="K69" s="2">
        <v>0.0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>
      <c r="A70" s="2">
        <v>442.0</v>
      </c>
      <c r="B70" s="2">
        <v>1773.0</v>
      </c>
      <c r="C70" s="2">
        <v>33.0</v>
      </c>
      <c r="D70" s="2">
        <v>10144.0</v>
      </c>
      <c r="E70" s="2">
        <v>1.480124206E9</v>
      </c>
      <c r="F70" s="8"/>
      <c r="G70" s="2">
        <v>0.0</v>
      </c>
      <c r="H70" s="2">
        <v>1.480124226E9</v>
      </c>
      <c r="I70" s="2">
        <v>2.0</v>
      </c>
      <c r="J70" s="2">
        <v>0.0</v>
      </c>
      <c r="K70" s="2">
        <v>0.0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>
      <c r="A71" s="2">
        <v>442.0</v>
      </c>
      <c r="B71" s="2">
        <v>1780.0</v>
      </c>
      <c r="C71" s="2">
        <v>33.0</v>
      </c>
      <c r="D71" s="2">
        <v>10144.0</v>
      </c>
      <c r="E71" s="2">
        <v>1.48012569E9</v>
      </c>
      <c r="F71" s="8"/>
      <c r="G71" s="2">
        <v>0.0</v>
      </c>
      <c r="H71" s="2">
        <v>0.0</v>
      </c>
      <c r="I71" s="2" t="s">
        <v>61</v>
      </c>
      <c r="J71" s="2">
        <v>0.0</v>
      </c>
      <c r="K71" s="2">
        <v>0.0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>
      <c r="A72" s="2">
        <v>442.0</v>
      </c>
      <c r="B72" s="2">
        <v>1781.0</v>
      </c>
      <c r="C72" s="2">
        <v>33.0</v>
      </c>
      <c r="D72" s="2">
        <v>10144.0</v>
      </c>
      <c r="E72" s="2">
        <v>1.480125822E9</v>
      </c>
      <c r="F72" s="8"/>
      <c r="G72" s="2">
        <v>0.0</v>
      </c>
      <c r="H72" s="2">
        <v>0.0</v>
      </c>
      <c r="I72" s="2" t="s">
        <v>61</v>
      </c>
      <c r="J72" s="2">
        <v>0.0</v>
      </c>
      <c r="K72" s="2">
        <v>0.0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>
      <c r="A73" s="2">
        <v>442.0</v>
      </c>
      <c r="B73" s="2">
        <v>1782.0</v>
      </c>
      <c r="C73" s="2">
        <v>33.0</v>
      </c>
      <c r="D73" s="2">
        <v>10144.0</v>
      </c>
      <c r="E73" s="2">
        <v>1.480125866E9</v>
      </c>
      <c r="F73" s="8"/>
      <c r="G73" s="2">
        <v>0.0</v>
      </c>
      <c r="H73" s="2">
        <v>1.480125893E9</v>
      </c>
      <c r="I73" s="2">
        <v>1.0</v>
      </c>
      <c r="J73" s="2">
        <v>0.0</v>
      </c>
      <c r="K73" s="2">
        <v>0.0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>
      <c r="A74" s="2">
        <v>442.0</v>
      </c>
      <c r="B74" s="2">
        <v>1808.0</v>
      </c>
      <c r="C74" s="2">
        <v>33.0</v>
      </c>
      <c r="D74" s="2">
        <v>10144.0</v>
      </c>
      <c r="E74" s="2">
        <v>1.480326031E9</v>
      </c>
      <c r="F74" s="8"/>
      <c r="G74" s="2">
        <v>0.0</v>
      </c>
      <c r="H74" s="2">
        <v>0.0</v>
      </c>
      <c r="I74" s="2" t="s">
        <v>61</v>
      </c>
      <c r="J74" s="2">
        <v>0.0</v>
      </c>
      <c r="K74" s="2">
        <v>0.0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>
      <c r="A75" s="2">
        <v>442.0</v>
      </c>
      <c r="B75" s="2">
        <v>1809.0</v>
      </c>
      <c r="C75" s="2">
        <v>33.0</v>
      </c>
      <c r="D75" s="2">
        <v>10144.0</v>
      </c>
      <c r="E75" s="2">
        <v>1.48032608E9</v>
      </c>
      <c r="F75" s="8"/>
      <c r="G75" s="2">
        <v>0.0</v>
      </c>
      <c r="H75" s="2">
        <v>0.0</v>
      </c>
      <c r="I75" s="2" t="s">
        <v>61</v>
      </c>
      <c r="J75" s="2">
        <v>0.0</v>
      </c>
      <c r="K75" s="2">
        <v>0.0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>
      <c r="A76" s="2">
        <v>442.0</v>
      </c>
      <c r="B76" s="2">
        <v>1811.0</v>
      </c>
      <c r="C76" s="2">
        <v>33.0</v>
      </c>
      <c r="D76" s="2">
        <v>10144.0</v>
      </c>
      <c r="E76" s="2">
        <v>1.480326137E9</v>
      </c>
      <c r="F76" s="8"/>
      <c r="G76" s="2">
        <v>0.0</v>
      </c>
      <c r="H76" s="2">
        <v>1.480326152E9</v>
      </c>
      <c r="I76" s="2">
        <v>1.0</v>
      </c>
      <c r="J76" s="2">
        <v>0.0</v>
      </c>
      <c r="K76" s="2">
        <v>0.0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>
      <c r="A77" s="2">
        <v>442.0</v>
      </c>
      <c r="B77" s="2">
        <v>1812.0</v>
      </c>
      <c r="C77" s="2">
        <v>33.0</v>
      </c>
      <c r="D77" s="2">
        <v>10144.0</v>
      </c>
      <c r="E77" s="2">
        <v>1.480326871E9</v>
      </c>
      <c r="F77" s="8"/>
      <c r="G77" s="2">
        <v>0.0</v>
      </c>
      <c r="H77" s="2">
        <v>0.0</v>
      </c>
      <c r="I77" s="2" t="s">
        <v>61</v>
      </c>
      <c r="J77" s="2">
        <v>0.0</v>
      </c>
      <c r="K77" s="2">
        <v>0.0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>
      <c r="A78" s="2">
        <v>442.0</v>
      </c>
      <c r="B78" s="2">
        <v>1814.0</v>
      </c>
      <c r="C78" s="2">
        <v>33.0</v>
      </c>
      <c r="D78" s="2">
        <v>10144.0</v>
      </c>
      <c r="E78" s="2">
        <v>1.480326915E9</v>
      </c>
      <c r="F78" s="8"/>
      <c r="G78" s="2">
        <v>0.0</v>
      </c>
      <c r="H78" s="2">
        <v>0.0</v>
      </c>
      <c r="I78" s="2" t="s">
        <v>61</v>
      </c>
      <c r="J78" s="2">
        <v>0.0</v>
      </c>
      <c r="K78" s="2">
        <v>0.0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>
      <c r="A79" s="2">
        <v>442.0</v>
      </c>
      <c r="B79" s="2">
        <v>1815.0</v>
      </c>
      <c r="C79" s="2">
        <v>33.0</v>
      </c>
      <c r="D79" s="2">
        <v>10144.0</v>
      </c>
      <c r="E79" s="2">
        <v>1.480326936E9</v>
      </c>
      <c r="F79" s="8"/>
      <c r="G79" s="2">
        <v>0.0</v>
      </c>
      <c r="H79" s="2">
        <v>1.480326972E9</v>
      </c>
      <c r="I79" s="2">
        <v>1.0</v>
      </c>
      <c r="J79" s="2">
        <v>0.0</v>
      </c>
      <c r="K79" s="2">
        <v>0.0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>
      <c r="A80" s="2">
        <v>442.0</v>
      </c>
      <c r="B80" s="2">
        <v>1816.0</v>
      </c>
      <c r="C80" s="2">
        <v>33.0</v>
      </c>
      <c r="D80" s="2">
        <v>10144.0</v>
      </c>
      <c r="E80" s="2">
        <v>1.480327026E9</v>
      </c>
      <c r="F80" s="8"/>
      <c r="G80" s="2">
        <v>0.0</v>
      </c>
      <c r="H80" s="2">
        <v>1.480327043E9</v>
      </c>
      <c r="I80" s="2">
        <v>1.0</v>
      </c>
      <c r="J80" s="2">
        <v>0.0</v>
      </c>
      <c r="K80" s="2">
        <v>0.0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>
      <c r="A81" s="2">
        <v>442.0</v>
      </c>
      <c r="B81" s="2">
        <v>1817.0</v>
      </c>
      <c r="C81" s="2">
        <v>33.0</v>
      </c>
      <c r="D81" s="2">
        <v>10144.0</v>
      </c>
      <c r="E81" s="2">
        <v>1.480327076E9</v>
      </c>
      <c r="F81" s="8"/>
      <c r="G81" s="2">
        <v>0.0</v>
      </c>
      <c r="H81" s="2">
        <v>1.480327091E9</v>
      </c>
      <c r="I81" s="2">
        <v>1.0</v>
      </c>
      <c r="J81" s="2">
        <v>0.0</v>
      </c>
      <c r="K81" s="2">
        <v>0.0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>
      <c r="A82" s="2">
        <v>442.0</v>
      </c>
      <c r="B82" s="2">
        <v>1818.0</v>
      </c>
      <c r="C82" s="2">
        <v>33.0</v>
      </c>
      <c r="D82" s="2">
        <v>10144.0</v>
      </c>
      <c r="E82" s="2">
        <v>1.480327125E9</v>
      </c>
      <c r="F82" s="8"/>
      <c r="G82" s="2">
        <v>0.0</v>
      </c>
      <c r="H82" s="2">
        <v>1.480327128E9</v>
      </c>
      <c r="I82" s="2">
        <v>0.0</v>
      </c>
      <c r="J82" s="2">
        <v>0.0</v>
      </c>
      <c r="K82" s="2">
        <v>0.0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>
      <c r="A83" s="2">
        <v>442.0</v>
      </c>
      <c r="B83" s="2">
        <v>1819.0</v>
      </c>
      <c r="C83" s="2">
        <v>33.0</v>
      </c>
      <c r="D83" s="2">
        <v>10144.0</v>
      </c>
      <c r="E83" s="2">
        <v>1.48032723E9</v>
      </c>
      <c r="F83" s="8"/>
      <c r="G83" s="2">
        <v>0.0</v>
      </c>
      <c r="H83" s="2">
        <v>1.48032725E9</v>
      </c>
      <c r="I83" s="2">
        <v>1.0</v>
      </c>
      <c r="J83" s="2">
        <v>0.0</v>
      </c>
      <c r="K83" s="2">
        <v>0.0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>
      <c r="A84" s="2">
        <v>442.0</v>
      </c>
      <c r="B84" s="2">
        <v>1820.0</v>
      </c>
      <c r="C84" s="2">
        <v>33.0</v>
      </c>
      <c r="D84" s="2">
        <v>10144.0</v>
      </c>
      <c r="E84" s="2">
        <v>1.480327566E9</v>
      </c>
      <c r="F84" s="8"/>
      <c r="G84" s="2">
        <v>0.0</v>
      </c>
      <c r="H84" s="2">
        <v>1.480327569E9</v>
      </c>
      <c r="I84" s="2">
        <v>1.0</v>
      </c>
      <c r="J84" s="2">
        <v>0.0</v>
      </c>
      <c r="K84" s="2">
        <v>0.0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>
      <c r="A85" s="2">
        <v>442.0</v>
      </c>
      <c r="B85" s="2">
        <v>1821.0</v>
      </c>
      <c r="C85" s="2">
        <v>33.0</v>
      </c>
      <c r="D85" s="2">
        <v>10144.0</v>
      </c>
      <c r="E85" s="2">
        <v>1.480327741E9</v>
      </c>
      <c r="F85" s="8"/>
      <c r="G85" s="2">
        <v>0.0</v>
      </c>
      <c r="H85" s="2">
        <v>1.480327743E9</v>
      </c>
      <c r="I85" s="2">
        <v>1.0</v>
      </c>
      <c r="J85" s="2">
        <v>0.0</v>
      </c>
      <c r="K85" s="2">
        <v>0.0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>
      <c r="A86" s="2">
        <v>442.0</v>
      </c>
      <c r="B86" s="2">
        <v>1822.0</v>
      </c>
      <c r="C86" s="2">
        <v>33.0</v>
      </c>
      <c r="D86" s="2">
        <v>10144.0</v>
      </c>
      <c r="E86" s="2">
        <v>1.480328098E9</v>
      </c>
      <c r="F86" s="8"/>
      <c r="G86" s="2">
        <v>0.0</v>
      </c>
      <c r="H86" s="2">
        <v>0.0</v>
      </c>
      <c r="I86" s="2" t="s">
        <v>61</v>
      </c>
      <c r="J86" s="2">
        <v>0.0</v>
      </c>
      <c r="K86" s="2">
        <v>0.0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>
      <c r="A87" s="2">
        <v>442.0</v>
      </c>
      <c r="B87" s="2">
        <v>1823.0</v>
      </c>
      <c r="C87" s="2">
        <v>33.0</v>
      </c>
      <c r="D87" s="2">
        <v>10144.0</v>
      </c>
      <c r="E87" s="2">
        <v>1.480328147E9</v>
      </c>
      <c r="F87" s="8"/>
      <c r="G87" s="2">
        <v>0.0</v>
      </c>
      <c r="H87" s="2">
        <v>1.480328161E9</v>
      </c>
      <c r="I87" s="2">
        <v>1.0</v>
      </c>
      <c r="J87" s="2">
        <v>0.0</v>
      </c>
      <c r="K87" s="2">
        <v>0.0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>
      <c r="A88" s="2">
        <v>442.0</v>
      </c>
      <c r="B88" s="2">
        <v>1824.0</v>
      </c>
      <c r="C88" s="2">
        <v>33.0</v>
      </c>
      <c r="D88" s="2">
        <v>10144.0</v>
      </c>
      <c r="E88" s="2">
        <v>1.480328271E9</v>
      </c>
      <c r="F88" s="8"/>
      <c r="G88" s="2">
        <v>0.0</v>
      </c>
      <c r="H88" s="2">
        <v>1.480328273E9</v>
      </c>
      <c r="I88" s="2">
        <v>2.0</v>
      </c>
      <c r="J88" s="2">
        <v>0.0</v>
      </c>
      <c r="K88" s="2">
        <v>0.0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>
      <c r="A89" s="2">
        <v>442.0</v>
      </c>
      <c r="B89" s="2">
        <v>1825.0</v>
      </c>
      <c r="C89" s="2">
        <v>33.0</v>
      </c>
      <c r="D89" s="2">
        <v>10144.0</v>
      </c>
      <c r="E89" s="2">
        <v>1.480328452E9</v>
      </c>
      <c r="F89" s="8"/>
      <c r="G89" s="2">
        <v>0.0</v>
      </c>
      <c r="H89" s="2">
        <v>1.480328454E9</v>
      </c>
      <c r="I89" s="2">
        <v>0.0</v>
      </c>
      <c r="J89" s="2">
        <v>0.0</v>
      </c>
      <c r="K89" s="2">
        <v>0.0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>
      <c r="A90" s="2">
        <v>442.0</v>
      </c>
      <c r="B90" s="2">
        <v>1826.0</v>
      </c>
      <c r="C90" s="2">
        <v>33.0</v>
      </c>
      <c r="D90" s="2">
        <v>10144.0</v>
      </c>
      <c r="E90" s="2">
        <v>1.480328481E9</v>
      </c>
      <c r="F90" s="8"/>
      <c r="G90" s="2">
        <v>0.0</v>
      </c>
      <c r="H90" s="2">
        <v>1.480328483E9</v>
      </c>
      <c r="I90" s="2">
        <v>2.0</v>
      </c>
      <c r="J90" s="2">
        <v>0.0</v>
      </c>
      <c r="K90" s="2">
        <v>0.0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>
      <c r="A91" s="2">
        <v>442.0</v>
      </c>
      <c r="B91" s="2">
        <v>1827.0</v>
      </c>
      <c r="C91" s="2">
        <v>33.0</v>
      </c>
      <c r="D91" s="2">
        <v>10144.0</v>
      </c>
      <c r="E91" s="2">
        <v>1.480328717E9</v>
      </c>
      <c r="F91" s="8"/>
      <c r="G91" s="2">
        <v>0.0</v>
      </c>
      <c r="H91" s="2">
        <v>1.480328719E9</v>
      </c>
      <c r="I91" s="2">
        <v>2.0</v>
      </c>
      <c r="J91" s="2">
        <v>0.0</v>
      </c>
      <c r="K91" s="2">
        <v>0.0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>
      <c r="A92" s="2">
        <v>442.0</v>
      </c>
      <c r="B92" s="2">
        <v>1828.0</v>
      </c>
      <c r="C92" s="2">
        <v>33.0</v>
      </c>
      <c r="D92" s="2">
        <v>10144.0</v>
      </c>
      <c r="E92" s="2">
        <v>1.480328741E9</v>
      </c>
      <c r="F92" s="8"/>
      <c r="G92" s="2">
        <v>0.0</v>
      </c>
      <c r="H92" s="2">
        <v>1.480328743E9</v>
      </c>
      <c r="I92" s="2">
        <v>1.0</v>
      </c>
      <c r="J92" s="2">
        <v>0.0</v>
      </c>
      <c r="K92" s="2">
        <v>0.0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>
      <c r="A93" s="2">
        <v>442.0</v>
      </c>
      <c r="B93" s="2">
        <v>1829.0</v>
      </c>
      <c r="C93" s="2">
        <v>33.0</v>
      </c>
      <c r="D93" s="2">
        <v>10144.0</v>
      </c>
      <c r="E93" s="2">
        <v>1.480329021E9</v>
      </c>
      <c r="F93" s="8"/>
      <c r="G93" s="2">
        <v>0.0</v>
      </c>
      <c r="H93" s="2">
        <v>1.480329023E9</v>
      </c>
      <c r="I93" s="2">
        <v>0.0</v>
      </c>
      <c r="J93" s="2">
        <v>0.0</v>
      </c>
      <c r="K93" s="2">
        <v>0.0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>
      <c r="A94" s="2">
        <v>442.0</v>
      </c>
      <c r="B94" s="2">
        <v>1830.0</v>
      </c>
      <c r="C94" s="2">
        <v>33.0</v>
      </c>
      <c r="D94" s="2">
        <v>10144.0</v>
      </c>
      <c r="E94" s="2">
        <v>1.480329058E9</v>
      </c>
      <c r="F94" s="8"/>
      <c r="G94" s="2">
        <v>0.0</v>
      </c>
      <c r="H94" s="2">
        <v>1.48032906E9</v>
      </c>
      <c r="I94" s="2">
        <v>1.0</v>
      </c>
      <c r="J94" s="2">
        <v>0.0</v>
      </c>
      <c r="K94" s="2">
        <v>0.0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>
      <c r="A95" s="2">
        <v>442.0</v>
      </c>
      <c r="B95" s="2">
        <v>1831.0</v>
      </c>
      <c r="C95" s="2">
        <v>33.0</v>
      </c>
      <c r="D95" s="2">
        <v>10144.0</v>
      </c>
      <c r="E95" s="2">
        <v>1.480329126E9</v>
      </c>
      <c r="F95" s="8"/>
      <c r="G95" s="2">
        <v>0.0</v>
      </c>
      <c r="H95" s="2">
        <v>1.480329129E9</v>
      </c>
      <c r="I95" s="2">
        <v>1.0</v>
      </c>
      <c r="J95" s="2">
        <v>0.0</v>
      </c>
      <c r="K95" s="2">
        <v>0.0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>
      <c r="A96" s="2">
        <v>442.0</v>
      </c>
      <c r="B96" s="2">
        <v>1833.0</v>
      </c>
      <c r="C96" s="2">
        <v>33.0</v>
      </c>
      <c r="D96" s="2">
        <v>10144.0</v>
      </c>
      <c r="E96" s="2">
        <v>1.480329155E9</v>
      </c>
      <c r="F96" s="8"/>
      <c r="G96" s="2">
        <v>0.0</v>
      </c>
      <c r="H96" s="2">
        <v>1.480329157E9</v>
      </c>
      <c r="I96" s="2">
        <v>1.0</v>
      </c>
      <c r="J96" s="2">
        <v>0.0</v>
      </c>
      <c r="K96" s="2">
        <v>0.0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>
      <c r="A97" s="2">
        <v>442.0</v>
      </c>
      <c r="B97" s="2">
        <v>1834.0</v>
      </c>
      <c r="C97" s="2">
        <v>33.0</v>
      </c>
      <c r="D97" s="2">
        <v>10144.0</v>
      </c>
      <c r="E97" s="2">
        <v>1.480329207E9</v>
      </c>
      <c r="F97" s="8"/>
      <c r="G97" s="2">
        <v>0.0</v>
      </c>
      <c r="H97" s="2">
        <v>1.480329209E9</v>
      </c>
      <c r="I97" s="2">
        <v>2.0</v>
      </c>
      <c r="J97" s="2">
        <v>0.0</v>
      </c>
      <c r="K97" s="2">
        <v>0.0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>
      <c r="A98" s="2">
        <v>442.0</v>
      </c>
      <c r="B98" s="2">
        <v>1835.0</v>
      </c>
      <c r="C98" s="2">
        <v>33.0</v>
      </c>
      <c r="D98" s="2">
        <v>10144.0</v>
      </c>
      <c r="E98" s="2">
        <v>1.480329234E9</v>
      </c>
      <c r="F98" s="8"/>
      <c r="G98" s="2">
        <v>0.0</v>
      </c>
      <c r="H98" s="2">
        <v>1.480329236E9</v>
      </c>
      <c r="I98" s="2">
        <v>2.0</v>
      </c>
      <c r="J98" s="2">
        <v>0.0</v>
      </c>
      <c r="K98" s="2">
        <v>0.0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>
      <c r="A99" s="2">
        <v>442.0</v>
      </c>
      <c r="B99" s="2">
        <v>1836.0</v>
      </c>
      <c r="C99" s="2">
        <v>33.0</v>
      </c>
      <c r="D99" s="2">
        <v>10144.0</v>
      </c>
      <c r="E99" s="2">
        <v>1.480329607E9</v>
      </c>
      <c r="F99" s="8"/>
      <c r="G99" s="2">
        <v>0.0</v>
      </c>
      <c r="H99" s="2">
        <v>1.480329611E9</v>
      </c>
      <c r="I99" s="2">
        <v>2.0</v>
      </c>
      <c r="J99" s="2">
        <v>0.0</v>
      </c>
      <c r="K99" s="2">
        <v>0.0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>
      <c r="A100" s="2">
        <v>442.0</v>
      </c>
      <c r="B100" s="2">
        <v>1838.0</v>
      </c>
      <c r="C100" s="2">
        <v>33.0</v>
      </c>
      <c r="D100" s="2">
        <v>10144.0</v>
      </c>
      <c r="E100" s="2">
        <v>1.480329658E9</v>
      </c>
      <c r="F100" s="8"/>
      <c r="G100" s="2">
        <v>0.0</v>
      </c>
      <c r="H100" s="2">
        <v>1.48032966E9</v>
      </c>
      <c r="I100" s="2">
        <v>2.0</v>
      </c>
      <c r="J100" s="2">
        <v>0.0</v>
      </c>
      <c r="K100" s="2">
        <v>0.0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>
      <c r="A101" s="2">
        <v>442.0</v>
      </c>
      <c r="B101" s="2">
        <v>1839.0</v>
      </c>
      <c r="C101" s="2">
        <v>33.0</v>
      </c>
      <c r="D101" s="2">
        <v>10144.0</v>
      </c>
      <c r="E101" s="2">
        <v>1.480329745E9</v>
      </c>
      <c r="F101" s="8"/>
      <c r="G101" s="2">
        <v>0.0</v>
      </c>
      <c r="H101" s="2">
        <v>1.480329748E9</v>
      </c>
      <c r="I101" s="2">
        <v>2.0</v>
      </c>
      <c r="J101" s="2">
        <v>0.0</v>
      </c>
      <c r="K101" s="2">
        <v>0.0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>
      <c r="A102" s="2">
        <v>442.0</v>
      </c>
      <c r="B102" s="2">
        <v>1840.0</v>
      </c>
      <c r="C102" s="2">
        <v>33.0</v>
      </c>
      <c r="D102" s="2">
        <v>10144.0</v>
      </c>
      <c r="E102" s="2">
        <v>1.480329801E9</v>
      </c>
      <c r="F102" s="8"/>
      <c r="G102" s="2">
        <v>0.0</v>
      </c>
      <c r="H102" s="2">
        <v>1.480329804E9</v>
      </c>
      <c r="I102" s="2">
        <v>2.0</v>
      </c>
      <c r="J102" s="2">
        <v>0.0</v>
      </c>
      <c r="K102" s="2">
        <v>0.0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>
      <c r="A103" s="2">
        <v>442.0</v>
      </c>
      <c r="B103" s="2">
        <v>1841.0</v>
      </c>
      <c r="C103" s="2">
        <v>33.0</v>
      </c>
      <c r="D103" s="2">
        <v>10144.0</v>
      </c>
      <c r="E103" s="2">
        <v>1.480329967E9</v>
      </c>
      <c r="F103" s="8"/>
      <c r="G103" s="2">
        <v>0.0</v>
      </c>
      <c r="H103" s="2">
        <v>1.480330439E9</v>
      </c>
      <c r="I103" s="2">
        <v>2.0</v>
      </c>
      <c r="J103" s="2">
        <v>0.0</v>
      </c>
      <c r="K103" s="2">
        <v>0.0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>
      <c r="A104" s="2">
        <v>442.0</v>
      </c>
      <c r="B104" s="2">
        <v>1842.0</v>
      </c>
      <c r="C104" s="2">
        <v>33.0</v>
      </c>
      <c r="D104" s="2">
        <v>10144.0</v>
      </c>
      <c r="E104" s="2">
        <v>1.480330458E9</v>
      </c>
      <c r="F104" s="8"/>
      <c r="G104" s="2">
        <v>0.0</v>
      </c>
      <c r="H104" s="2">
        <v>1.48033046E9</v>
      </c>
      <c r="I104" s="2">
        <v>2.0</v>
      </c>
      <c r="J104" s="2">
        <v>0.0</v>
      </c>
      <c r="K104" s="2">
        <v>0.0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>
      <c r="A105" s="2">
        <v>442.0</v>
      </c>
      <c r="B105" s="2">
        <v>1844.0</v>
      </c>
      <c r="C105" s="2">
        <v>33.0</v>
      </c>
      <c r="D105" s="2">
        <v>10144.0</v>
      </c>
      <c r="E105" s="2">
        <v>1.480330488E9</v>
      </c>
      <c r="F105" s="8"/>
      <c r="G105" s="2">
        <v>0.0</v>
      </c>
      <c r="H105" s="2">
        <v>1.48033049E9</v>
      </c>
      <c r="I105" s="2">
        <v>2.0</v>
      </c>
      <c r="J105" s="2">
        <v>0.0</v>
      </c>
      <c r="K105" s="2">
        <v>0.0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>
      <c r="A106" s="2">
        <v>442.0</v>
      </c>
      <c r="B106" s="2">
        <v>1769.0</v>
      </c>
      <c r="C106" s="2">
        <v>33.0</v>
      </c>
      <c r="D106" s="2">
        <v>10145.0</v>
      </c>
      <c r="E106" s="2">
        <v>1.480123022E9</v>
      </c>
      <c r="F106" s="8"/>
      <c r="G106" s="2">
        <v>0.0</v>
      </c>
      <c r="H106" s="2">
        <v>1.480123026E9</v>
      </c>
      <c r="I106" s="2">
        <v>7.0</v>
      </c>
      <c r="J106" s="2">
        <v>0.0</v>
      </c>
      <c r="K106" s="2">
        <v>0.0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>
      <c r="A107" s="2">
        <v>442.0</v>
      </c>
      <c r="B107" s="2">
        <v>1772.0</v>
      </c>
      <c r="C107" s="2">
        <v>33.0</v>
      </c>
      <c r="D107" s="2">
        <v>10145.0</v>
      </c>
      <c r="E107" s="2">
        <v>1.480123365E9</v>
      </c>
      <c r="F107" s="8"/>
      <c r="G107" s="2">
        <v>0.0</v>
      </c>
      <c r="H107" s="2">
        <v>1.480123371E9</v>
      </c>
      <c r="I107" s="2">
        <v>10.0</v>
      </c>
      <c r="J107" s="2">
        <v>0.0</v>
      </c>
      <c r="K107" s="2">
        <v>0.0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>
      <c r="A108" s="2">
        <v>442.0</v>
      </c>
      <c r="B108" s="2">
        <v>1651.0</v>
      </c>
      <c r="C108" s="2">
        <v>33.0</v>
      </c>
      <c r="D108" s="2">
        <v>10146.0</v>
      </c>
      <c r="E108" s="2">
        <v>1.480118468E9</v>
      </c>
      <c r="F108" s="8"/>
      <c r="G108" s="2">
        <v>0.0</v>
      </c>
      <c r="H108" s="2">
        <v>1.48011847E9</v>
      </c>
      <c r="I108" s="2">
        <v>7.0</v>
      </c>
      <c r="J108" s="2">
        <v>0.0</v>
      </c>
      <c r="K108" s="2">
        <v>0.0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>
      <c r="A109" s="2">
        <v>442.0</v>
      </c>
      <c r="B109" s="2">
        <v>1659.0</v>
      </c>
      <c r="C109" s="2">
        <v>33.0</v>
      </c>
      <c r="D109" s="2">
        <v>10146.0</v>
      </c>
      <c r="E109" s="2">
        <v>1.480118576E9</v>
      </c>
      <c r="F109" s="8"/>
      <c r="G109" s="2">
        <v>0.0</v>
      </c>
      <c r="H109" s="2">
        <v>0.0</v>
      </c>
      <c r="I109" s="2" t="s">
        <v>61</v>
      </c>
      <c r="J109" s="2">
        <v>0.0</v>
      </c>
      <c r="K109" s="2">
        <v>0.0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>
      <c r="A110" s="2">
        <v>442.0</v>
      </c>
      <c r="B110" s="2">
        <v>1661.0</v>
      </c>
      <c r="C110" s="2">
        <v>33.0</v>
      </c>
      <c r="D110" s="2">
        <v>10146.0</v>
      </c>
      <c r="E110" s="2">
        <v>1.48011861E9</v>
      </c>
      <c r="F110" s="8"/>
      <c r="G110" s="2">
        <v>0.0</v>
      </c>
      <c r="H110" s="2">
        <v>0.0</v>
      </c>
      <c r="I110" s="2" t="s">
        <v>61</v>
      </c>
      <c r="J110" s="2">
        <v>0.0</v>
      </c>
      <c r="K110" s="2">
        <v>0.0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>
      <c r="A111" s="2">
        <v>442.0</v>
      </c>
      <c r="B111" s="2">
        <v>1679.0</v>
      </c>
      <c r="C111" s="2">
        <v>33.0</v>
      </c>
      <c r="D111" s="2">
        <v>10146.0</v>
      </c>
      <c r="E111" s="2">
        <v>1.480119042E9</v>
      </c>
      <c r="F111" s="8"/>
      <c r="G111" s="2">
        <v>0.0</v>
      </c>
      <c r="H111" s="2">
        <v>1.480119045E9</v>
      </c>
      <c r="I111" s="2">
        <v>10.0</v>
      </c>
      <c r="J111" s="2">
        <v>0.0</v>
      </c>
      <c r="K111" s="2">
        <v>0.0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>
      <c r="A112" s="2">
        <v>442.0</v>
      </c>
      <c r="B112" s="2">
        <v>1847.0</v>
      </c>
      <c r="C112" s="2">
        <v>33.0</v>
      </c>
      <c r="D112" s="2">
        <v>10148.0</v>
      </c>
      <c r="E112" s="2">
        <v>1.480351529E9</v>
      </c>
      <c r="F112" s="8"/>
      <c r="G112" s="2">
        <v>0.0</v>
      </c>
      <c r="H112" s="2">
        <v>1.480351532E9</v>
      </c>
      <c r="I112" s="2">
        <v>0.0</v>
      </c>
      <c r="J112" s="2">
        <v>0.0</v>
      </c>
      <c r="K112" s="2">
        <v>0.0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>
      <c r="A113" s="2">
        <v>442.0</v>
      </c>
      <c r="B113" s="2">
        <v>1851.0</v>
      </c>
      <c r="C113" s="2">
        <v>33.0</v>
      </c>
      <c r="D113" s="2">
        <v>10148.0</v>
      </c>
      <c r="E113" s="2">
        <v>1.480509652E9</v>
      </c>
      <c r="F113" s="8"/>
      <c r="G113" s="2">
        <v>0.0</v>
      </c>
      <c r="H113" s="2">
        <v>1.480509661E9</v>
      </c>
      <c r="I113" s="2">
        <v>0.0</v>
      </c>
      <c r="J113" s="2">
        <v>0.0</v>
      </c>
      <c r="K113" s="2">
        <v>0.0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>
      <c r="A114" s="2">
        <v>442.0</v>
      </c>
      <c r="B114" s="2">
        <v>1852.0</v>
      </c>
      <c r="C114" s="2">
        <v>33.0</v>
      </c>
      <c r="D114" s="2">
        <v>10148.0</v>
      </c>
      <c r="E114" s="2">
        <v>1.480510387E9</v>
      </c>
      <c r="F114" s="8"/>
      <c r="G114" s="2">
        <v>0.0</v>
      </c>
      <c r="H114" s="2">
        <v>1.480510783E9</v>
      </c>
      <c r="I114" s="2">
        <v>1.0</v>
      </c>
      <c r="J114" s="2">
        <v>0.0</v>
      </c>
      <c r="K114" s="2">
        <v>0.0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>
      <c r="A115" s="2">
        <v>442.0</v>
      </c>
      <c r="B115" s="2">
        <v>1853.0</v>
      </c>
      <c r="C115" s="2">
        <v>33.0</v>
      </c>
      <c r="D115" s="2">
        <v>10148.0</v>
      </c>
      <c r="E115" s="2">
        <v>1.480514689E9</v>
      </c>
      <c r="F115" s="8"/>
      <c r="G115" s="2">
        <v>0.0</v>
      </c>
      <c r="H115" s="2">
        <v>0.0</v>
      </c>
      <c r="I115" s="2" t="s">
        <v>61</v>
      </c>
      <c r="J115" s="2">
        <v>0.0</v>
      </c>
      <c r="K115" s="2">
        <v>0.0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>
      <c r="A116" s="2">
        <v>442.0</v>
      </c>
      <c r="B116" s="2">
        <v>1854.0</v>
      </c>
      <c r="C116" s="2">
        <v>33.0</v>
      </c>
      <c r="D116" s="2">
        <v>10148.0</v>
      </c>
      <c r="E116" s="2">
        <v>1.480514788E9</v>
      </c>
      <c r="F116" s="8"/>
      <c r="G116" s="2">
        <v>0.0</v>
      </c>
      <c r="H116" s="2">
        <v>1.480519806E9</v>
      </c>
      <c r="I116" s="2">
        <v>3.0</v>
      </c>
      <c r="J116" s="2">
        <v>0.0</v>
      </c>
      <c r="K116" s="2">
        <v>0.0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>
      <c r="A117" s="2">
        <v>442.0</v>
      </c>
      <c r="B117" s="2">
        <v>1856.0</v>
      </c>
      <c r="C117" s="2">
        <v>33.0</v>
      </c>
      <c r="D117" s="2">
        <v>10148.0</v>
      </c>
      <c r="E117" s="2">
        <v>1.480530354E9</v>
      </c>
      <c r="F117" s="8"/>
      <c r="G117" s="2">
        <v>0.0</v>
      </c>
      <c r="H117" s="2">
        <v>1.480530361E9</v>
      </c>
      <c r="I117" s="2">
        <v>10.0</v>
      </c>
      <c r="J117" s="2">
        <v>0.0</v>
      </c>
      <c r="K117" s="2">
        <v>0.0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>
      <c r="A118" s="2">
        <v>442.0</v>
      </c>
      <c r="B118" s="2">
        <v>1686.0</v>
      </c>
      <c r="C118" s="2">
        <v>33.0</v>
      </c>
      <c r="D118" s="2">
        <v>10149.0</v>
      </c>
      <c r="E118" s="2">
        <v>1.480119285E9</v>
      </c>
      <c r="F118" s="8"/>
      <c r="G118" s="2">
        <v>0.0</v>
      </c>
      <c r="H118" s="2">
        <v>1.480119287E9</v>
      </c>
      <c r="I118" s="2">
        <v>10.0</v>
      </c>
      <c r="J118" s="2">
        <v>0.0</v>
      </c>
      <c r="K118" s="2">
        <v>0.0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>
      <c r="A119" s="2">
        <v>442.0</v>
      </c>
      <c r="B119" s="2">
        <v>1696.0</v>
      </c>
      <c r="C119" s="2">
        <v>33.0</v>
      </c>
      <c r="D119" s="2">
        <v>10149.0</v>
      </c>
      <c r="E119" s="2">
        <v>1.4801194E9</v>
      </c>
      <c r="F119" s="8"/>
      <c r="G119" s="2">
        <v>0.0</v>
      </c>
      <c r="H119" s="2">
        <v>1.480119402E9</v>
      </c>
      <c r="I119" s="2">
        <v>10.0</v>
      </c>
      <c r="J119" s="2">
        <v>0.0</v>
      </c>
      <c r="K119" s="2">
        <v>0.0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>
      <c r="A120" s="2">
        <v>442.0</v>
      </c>
      <c r="B120" s="2">
        <v>1804.0</v>
      </c>
      <c r="C120" s="2">
        <v>33.0</v>
      </c>
      <c r="D120" s="2">
        <v>10153.0</v>
      </c>
      <c r="E120" s="2">
        <v>1.480267085E9</v>
      </c>
      <c r="F120" s="8"/>
      <c r="G120" s="2">
        <v>0.0</v>
      </c>
      <c r="H120" s="2">
        <v>1.480267093E9</v>
      </c>
      <c r="I120" s="2">
        <v>0.0</v>
      </c>
      <c r="J120" s="2">
        <v>0.0</v>
      </c>
      <c r="K120" s="2">
        <v>0.0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>
      <c r="A121" s="2">
        <v>442.0</v>
      </c>
      <c r="B121" s="2">
        <v>1805.0</v>
      </c>
      <c r="C121" s="2">
        <v>33.0</v>
      </c>
      <c r="D121" s="2">
        <v>10153.0</v>
      </c>
      <c r="E121" s="2">
        <v>1.480267119E9</v>
      </c>
      <c r="F121" s="8"/>
      <c r="G121" s="2">
        <v>0.0</v>
      </c>
      <c r="H121" s="2">
        <v>1.480267128E9</v>
      </c>
      <c r="I121" s="2">
        <v>10.0</v>
      </c>
      <c r="J121" s="2">
        <v>0.0</v>
      </c>
      <c r="K121" s="2">
        <v>0.0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>
      <c r="A122" s="2">
        <v>442.0</v>
      </c>
      <c r="B122" s="2">
        <v>1807.0</v>
      </c>
      <c r="C122" s="2">
        <v>33.0</v>
      </c>
      <c r="D122" s="2">
        <v>10158.0</v>
      </c>
      <c r="E122" s="2">
        <v>1.48028203E9</v>
      </c>
      <c r="F122" s="8"/>
      <c r="G122" s="2">
        <v>0.0</v>
      </c>
      <c r="H122" s="2">
        <v>1.480282034E9</v>
      </c>
      <c r="I122" s="2">
        <v>1.0</v>
      </c>
      <c r="J122" s="2">
        <v>0.0</v>
      </c>
      <c r="K122" s="2">
        <v>0.0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>
      <c r="A123" s="2">
        <v>442.0</v>
      </c>
      <c r="B123" s="2">
        <v>1870.0</v>
      </c>
      <c r="C123" s="2">
        <v>33.0</v>
      </c>
      <c r="D123" s="2">
        <v>10166.0</v>
      </c>
      <c r="E123" s="2">
        <v>1.481488815E9</v>
      </c>
      <c r="F123" s="9" t="s">
        <v>64</v>
      </c>
      <c r="G123" s="2">
        <v>0.0</v>
      </c>
      <c r="H123" s="2">
        <v>0.0</v>
      </c>
      <c r="I123" s="2" t="s">
        <v>61</v>
      </c>
      <c r="J123" s="2">
        <v>0.0</v>
      </c>
      <c r="K123" s="2">
        <v>0.0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>
      <c r="A124" s="2">
        <v>442.0</v>
      </c>
      <c r="B124" s="2">
        <v>1875.0</v>
      </c>
      <c r="C124" s="2">
        <v>33.0</v>
      </c>
      <c r="D124" s="2">
        <v>10167.0</v>
      </c>
      <c r="E124" s="2">
        <v>1.481595906E9</v>
      </c>
      <c r="F124" s="8"/>
      <c r="G124" s="2">
        <v>0.0</v>
      </c>
      <c r="H124" s="2">
        <v>1.481595924E9</v>
      </c>
      <c r="I124" s="2">
        <v>10.0</v>
      </c>
      <c r="J124" s="2">
        <v>0.0</v>
      </c>
      <c r="K124" s="2">
        <v>0.0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>
      <c r="A125" s="2">
        <v>443.0</v>
      </c>
      <c r="B125" s="2">
        <v>1502.0</v>
      </c>
      <c r="C125" s="2">
        <v>34.0</v>
      </c>
      <c r="D125" s="2">
        <v>10116.0</v>
      </c>
      <c r="E125" s="2">
        <v>1.480116479E9</v>
      </c>
      <c r="F125" s="8"/>
      <c r="G125" s="2">
        <v>0.0</v>
      </c>
      <c r="H125" s="2">
        <v>0.0</v>
      </c>
      <c r="I125" s="2" t="s">
        <v>61</v>
      </c>
      <c r="J125" s="2">
        <v>0.0</v>
      </c>
      <c r="K125" s="2">
        <v>0.0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>
      <c r="A126" s="2">
        <v>443.0</v>
      </c>
      <c r="B126" s="2">
        <v>1506.0</v>
      </c>
      <c r="C126" s="2">
        <v>34.0</v>
      </c>
      <c r="D126" s="2">
        <v>10116.0</v>
      </c>
      <c r="E126" s="2">
        <v>1.480116521E9</v>
      </c>
      <c r="F126" s="8"/>
      <c r="G126" s="2">
        <v>0.0</v>
      </c>
      <c r="H126" s="2">
        <v>0.0</v>
      </c>
      <c r="I126" s="2" t="s">
        <v>61</v>
      </c>
      <c r="J126" s="2">
        <v>0.0</v>
      </c>
      <c r="K126" s="2">
        <v>0.0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>
      <c r="A127" s="2">
        <v>443.0</v>
      </c>
      <c r="B127" s="2">
        <v>1524.0</v>
      </c>
      <c r="C127" s="2">
        <v>34.0</v>
      </c>
      <c r="D127" s="2">
        <v>10116.0</v>
      </c>
      <c r="E127" s="2">
        <v>1.480116797E9</v>
      </c>
      <c r="F127" s="8"/>
      <c r="G127" s="2">
        <v>0.0</v>
      </c>
      <c r="H127" s="2">
        <v>0.0</v>
      </c>
      <c r="I127" s="2" t="s">
        <v>61</v>
      </c>
      <c r="J127" s="2">
        <v>0.0</v>
      </c>
      <c r="K127" s="2">
        <v>0.0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>
      <c r="A128" s="2">
        <v>443.0</v>
      </c>
      <c r="B128" s="2">
        <v>1531.0</v>
      </c>
      <c r="C128" s="2">
        <v>34.0</v>
      </c>
      <c r="D128" s="2">
        <v>10116.0</v>
      </c>
      <c r="E128" s="2">
        <v>1.480116875E9</v>
      </c>
      <c r="F128" s="8"/>
      <c r="G128" s="2">
        <v>0.0</v>
      </c>
      <c r="H128" s="2">
        <v>0.0</v>
      </c>
      <c r="I128" s="2" t="s">
        <v>61</v>
      </c>
      <c r="J128" s="2">
        <v>0.0</v>
      </c>
      <c r="K128" s="2">
        <v>0.0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>
      <c r="A129" s="2">
        <v>443.0</v>
      </c>
      <c r="B129" s="2">
        <v>1534.0</v>
      </c>
      <c r="C129" s="2">
        <v>34.0</v>
      </c>
      <c r="D129" s="2">
        <v>10116.0</v>
      </c>
      <c r="E129" s="2">
        <v>1.48011691E9</v>
      </c>
      <c r="F129" s="8"/>
      <c r="G129" s="2">
        <v>0.0</v>
      </c>
      <c r="H129" s="2">
        <v>1.480116924E9</v>
      </c>
      <c r="I129" s="2">
        <v>10.0</v>
      </c>
      <c r="J129" s="2">
        <v>0.0</v>
      </c>
      <c r="K129" s="2">
        <v>0.0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>
      <c r="A130" s="2">
        <v>443.0</v>
      </c>
      <c r="B130" s="2">
        <v>1489.0</v>
      </c>
      <c r="C130" s="2">
        <v>34.0</v>
      </c>
      <c r="D130" s="2">
        <v>10120.0</v>
      </c>
      <c r="E130" s="2">
        <v>1.480115912E9</v>
      </c>
      <c r="F130" s="8"/>
      <c r="G130" s="2">
        <v>0.0</v>
      </c>
      <c r="H130" s="2">
        <v>1.480115932E9</v>
      </c>
      <c r="I130" s="2">
        <v>8.0</v>
      </c>
      <c r="J130" s="2">
        <v>0.0</v>
      </c>
      <c r="K130" s="2">
        <v>0.0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>
      <c r="A131" s="2">
        <v>443.0</v>
      </c>
      <c r="B131" s="2">
        <v>1529.0</v>
      </c>
      <c r="C131" s="2">
        <v>34.0</v>
      </c>
      <c r="D131" s="2">
        <v>10120.0</v>
      </c>
      <c r="E131" s="2">
        <v>1.480116856E9</v>
      </c>
      <c r="F131" s="8"/>
      <c r="G131" s="2">
        <v>0.0</v>
      </c>
      <c r="H131" s="2">
        <v>1.48011686E9</v>
      </c>
      <c r="I131" s="2">
        <v>0.0</v>
      </c>
      <c r="J131" s="2">
        <v>0.0</v>
      </c>
      <c r="K131" s="2">
        <v>0.0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>
      <c r="A132" s="2">
        <v>443.0</v>
      </c>
      <c r="B132" s="2">
        <v>1544.0</v>
      </c>
      <c r="C132" s="2">
        <v>34.0</v>
      </c>
      <c r="D132" s="2">
        <v>10120.0</v>
      </c>
      <c r="E132" s="2">
        <v>1.480117E9</v>
      </c>
      <c r="F132" s="8"/>
      <c r="G132" s="2">
        <v>0.0</v>
      </c>
      <c r="H132" s="2">
        <v>1.480117007E9</v>
      </c>
      <c r="I132" s="2">
        <v>8.0</v>
      </c>
      <c r="J132" s="2">
        <v>0.0</v>
      </c>
      <c r="K132" s="2">
        <v>0.0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>
      <c r="A133" s="2">
        <v>443.0</v>
      </c>
      <c r="B133" s="2">
        <v>1563.0</v>
      </c>
      <c r="C133" s="2">
        <v>34.0</v>
      </c>
      <c r="D133" s="2">
        <v>10120.0</v>
      </c>
      <c r="E133" s="2">
        <v>1.480117223E9</v>
      </c>
      <c r="F133" s="8"/>
      <c r="G133" s="2">
        <v>0.0</v>
      </c>
      <c r="H133" s="2">
        <v>1.480117239E9</v>
      </c>
      <c r="I133" s="2">
        <v>10.0</v>
      </c>
      <c r="J133" s="2">
        <v>0.0</v>
      </c>
      <c r="K133" s="2">
        <v>0.0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>
      <c r="A134" s="2">
        <v>443.0</v>
      </c>
      <c r="B134" s="2">
        <v>1551.0</v>
      </c>
      <c r="C134" s="2">
        <v>34.0</v>
      </c>
      <c r="D134" s="2">
        <v>10121.0</v>
      </c>
      <c r="E134" s="2">
        <v>1.480117078E9</v>
      </c>
      <c r="F134" s="8"/>
      <c r="G134" s="2">
        <v>0.0</v>
      </c>
      <c r="H134" s="2">
        <v>0.0</v>
      </c>
      <c r="I134" s="2" t="s">
        <v>61</v>
      </c>
      <c r="J134" s="2">
        <v>0.0</v>
      </c>
      <c r="K134" s="2">
        <v>0.0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>
      <c r="A135" s="2">
        <v>443.0</v>
      </c>
      <c r="B135" s="2">
        <v>1565.0</v>
      </c>
      <c r="C135" s="2">
        <v>34.0</v>
      </c>
      <c r="D135" s="2">
        <v>10121.0</v>
      </c>
      <c r="E135" s="2">
        <v>1.480117239E9</v>
      </c>
      <c r="F135" s="8"/>
      <c r="G135" s="2">
        <v>0.0</v>
      </c>
      <c r="H135" s="2">
        <v>0.0</v>
      </c>
      <c r="I135" s="2" t="s">
        <v>61</v>
      </c>
      <c r="J135" s="2">
        <v>0.0</v>
      </c>
      <c r="K135" s="2">
        <v>0.0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>
      <c r="A136" s="2">
        <v>443.0</v>
      </c>
      <c r="B136" s="2">
        <v>1569.0</v>
      </c>
      <c r="C136" s="2">
        <v>34.0</v>
      </c>
      <c r="D136" s="2">
        <v>10121.0</v>
      </c>
      <c r="E136" s="2">
        <v>1.480117271E9</v>
      </c>
      <c r="F136" s="8"/>
      <c r="G136" s="2">
        <v>0.0</v>
      </c>
      <c r="H136" s="2">
        <v>0.0</v>
      </c>
      <c r="I136" s="2" t="s">
        <v>61</v>
      </c>
      <c r="J136" s="2">
        <v>0.0</v>
      </c>
      <c r="K136" s="2">
        <v>0.0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>
      <c r="A137" s="2">
        <v>443.0</v>
      </c>
      <c r="B137" s="2">
        <v>1580.0</v>
      </c>
      <c r="C137" s="2">
        <v>34.0</v>
      </c>
      <c r="D137" s="2">
        <v>10121.0</v>
      </c>
      <c r="E137" s="2">
        <v>1.4801174E9</v>
      </c>
      <c r="F137" s="8"/>
      <c r="G137" s="2">
        <v>0.0</v>
      </c>
      <c r="H137" s="2">
        <v>0.0</v>
      </c>
      <c r="I137" s="2" t="s">
        <v>61</v>
      </c>
      <c r="J137" s="2">
        <v>0.0</v>
      </c>
      <c r="K137" s="2">
        <v>0.0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>
      <c r="A138" s="2">
        <v>443.0</v>
      </c>
      <c r="B138" s="2">
        <v>1585.0</v>
      </c>
      <c r="C138" s="2">
        <v>34.0</v>
      </c>
      <c r="D138" s="2">
        <v>10121.0</v>
      </c>
      <c r="E138" s="2">
        <v>1.480117458E9</v>
      </c>
      <c r="F138" s="8"/>
      <c r="G138" s="2">
        <v>0.0</v>
      </c>
      <c r="H138" s="2">
        <v>0.0</v>
      </c>
      <c r="I138" s="2" t="s">
        <v>61</v>
      </c>
      <c r="J138" s="2">
        <v>0.0</v>
      </c>
      <c r="K138" s="2">
        <v>0.0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>
      <c r="A139" s="2">
        <v>443.0</v>
      </c>
      <c r="B139" s="2">
        <v>1587.0</v>
      </c>
      <c r="C139" s="2">
        <v>34.0</v>
      </c>
      <c r="D139" s="2">
        <v>10121.0</v>
      </c>
      <c r="E139" s="2">
        <v>1.480117496E9</v>
      </c>
      <c r="F139" s="8"/>
      <c r="G139" s="2">
        <v>0.0</v>
      </c>
      <c r="H139" s="2">
        <v>0.0</v>
      </c>
      <c r="I139" s="2" t="s">
        <v>61</v>
      </c>
      <c r="J139" s="2">
        <v>0.0</v>
      </c>
      <c r="K139" s="2">
        <v>0.0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>
      <c r="A140" s="2">
        <v>443.0</v>
      </c>
      <c r="B140" s="2">
        <v>1591.0</v>
      </c>
      <c r="C140" s="2">
        <v>34.0</v>
      </c>
      <c r="D140" s="2">
        <v>10121.0</v>
      </c>
      <c r="E140" s="2">
        <v>1.48011753E9</v>
      </c>
      <c r="F140" s="8"/>
      <c r="G140" s="2">
        <v>0.0</v>
      </c>
      <c r="H140" s="2">
        <v>0.0</v>
      </c>
      <c r="I140" s="2" t="s">
        <v>61</v>
      </c>
      <c r="J140" s="2">
        <v>0.0</v>
      </c>
      <c r="K140" s="2">
        <v>0.0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>
      <c r="A141" s="2">
        <v>443.0</v>
      </c>
      <c r="B141" s="2">
        <v>1594.0</v>
      </c>
      <c r="C141" s="2">
        <v>34.0</v>
      </c>
      <c r="D141" s="2">
        <v>10121.0</v>
      </c>
      <c r="E141" s="2">
        <v>1.480117596E9</v>
      </c>
      <c r="F141" s="8"/>
      <c r="G141" s="2">
        <v>0.0</v>
      </c>
      <c r="H141" s="2">
        <v>0.0</v>
      </c>
      <c r="I141" s="2" t="s">
        <v>61</v>
      </c>
      <c r="J141" s="2">
        <v>0.0</v>
      </c>
      <c r="K141" s="2">
        <v>0.0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>
      <c r="A142" s="2">
        <v>443.0</v>
      </c>
      <c r="B142" s="2">
        <v>1598.0</v>
      </c>
      <c r="C142" s="2">
        <v>34.0</v>
      </c>
      <c r="D142" s="2">
        <v>10121.0</v>
      </c>
      <c r="E142" s="2">
        <v>1.480117639E9</v>
      </c>
      <c r="F142" s="8"/>
      <c r="G142" s="2">
        <v>0.0</v>
      </c>
      <c r="H142" s="2">
        <v>0.0</v>
      </c>
      <c r="I142" s="2" t="s">
        <v>61</v>
      </c>
      <c r="J142" s="2">
        <v>0.0</v>
      </c>
      <c r="K142" s="2">
        <v>0.0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>
      <c r="A143" s="2">
        <v>443.0</v>
      </c>
      <c r="B143" s="2">
        <v>1604.0</v>
      </c>
      <c r="C143" s="2">
        <v>34.0</v>
      </c>
      <c r="D143" s="2">
        <v>10121.0</v>
      </c>
      <c r="E143" s="2">
        <v>1.48011767E9</v>
      </c>
      <c r="F143" s="8"/>
      <c r="G143" s="2">
        <v>0.0</v>
      </c>
      <c r="H143" s="2">
        <v>1.480117693E9</v>
      </c>
      <c r="I143" s="2">
        <v>10.0</v>
      </c>
      <c r="J143" s="2">
        <v>0.0</v>
      </c>
      <c r="K143" s="2">
        <v>0.0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>
      <c r="A144" s="2">
        <v>443.0</v>
      </c>
      <c r="B144" s="2">
        <v>1608.0</v>
      </c>
      <c r="C144" s="2">
        <v>34.0</v>
      </c>
      <c r="D144" s="2">
        <v>10121.0</v>
      </c>
      <c r="E144" s="2">
        <v>1.480117735E9</v>
      </c>
      <c r="F144" s="8"/>
      <c r="G144" s="2">
        <v>0.0</v>
      </c>
      <c r="H144" s="2">
        <v>0.0</v>
      </c>
      <c r="I144" s="2" t="s">
        <v>61</v>
      </c>
      <c r="J144" s="2">
        <v>0.0</v>
      </c>
      <c r="K144" s="2">
        <v>0.0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>
      <c r="A145" s="2">
        <v>443.0</v>
      </c>
      <c r="B145" s="2">
        <v>1619.0</v>
      </c>
      <c r="C145" s="2">
        <v>34.0</v>
      </c>
      <c r="D145" s="2">
        <v>10121.0</v>
      </c>
      <c r="E145" s="2">
        <v>1.480117961E9</v>
      </c>
      <c r="F145" s="8"/>
      <c r="G145" s="2">
        <v>0.0</v>
      </c>
      <c r="H145" s="2">
        <v>0.0</v>
      </c>
      <c r="I145" s="2" t="s">
        <v>61</v>
      </c>
      <c r="J145" s="2">
        <v>0.0</v>
      </c>
      <c r="K145" s="2">
        <v>0.0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>
      <c r="A146" s="2">
        <v>443.0</v>
      </c>
      <c r="B146" s="2">
        <v>1623.0</v>
      </c>
      <c r="C146" s="2">
        <v>34.0</v>
      </c>
      <c r="D146" s="2">
        <v>10121.0</v>
      </c>
      <c r="E146" s="2">
        <v>1.480117993E9</v>
      </c>
      <c r="F146" s="8"/>
      <c r="G146" s="2">
        <v>0.0</v>
      </c>
      <c r="H146" s="2">
        <v>1.480118008E9</v>
      </c>
      <c r="I146" s="2">
        <v>10.0</v>
      </c>
      <c r="J146" s="2">
        <v>0.0</v>
      </c>
      <c r="K146" s="2">
        <v>0.0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>
      <c r="A147" s="2">
        <v>443.0</v>
      </c>
      <c r="B147" s="2">
        <v>1631.0</v>
      </c>
      <c r="C147" s="2">
        <v>34.0</v>
      </c>
      <c r="D147" s="2">
        <v>10121.0</v>
      </c>
      <c r="E147" s="2">
        <v>1.480118079E9</v>
      </c>
      <c r="F147" s="8"/>
      <c r="G147" s="2">
        <v>0.0</v>
      </c>
      <c r="H147" s="2">
        <v>1.480118089E9</v>
      </c>
      <c r="I147" s="2">
        <v>10.0</v>
      </c>
      <c r="J147" s="2">
        <v>0.0</v>
      </c>
      <c r="K147" s="2">
        <v>0.0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>
      <c r="A148" s="2">
        <v>443.0</v>
      </c>
      <c r="B148" s="2">
        <v>1515.0</v>
      </c>
      <c r="C148" s="2">
        <v>34.0</v>
      </c>
      <c r="D148" s="2">
        <v>10122.0</v>
      </c>
      <c r="E148" s="2">
        <v>1.480116729E9</v>
      </c>
      <c r="F148" s="8"/>
      <c r="G148" s="2">
        <v>0.0</v>
      </c>
      <c r="H148" s="2">
        <v>1.480116733E9</v>
      </c>
      <c r="I148" s="2">
        <v>10.0</v>
      </c>
      <c r="J148" s="2">
        <v>0.0</v>
      </c>
      <c r="K148" s="2">
        <v>0.0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>
      <c r="A149" s="2">
        <v>443.0</v>
      </c>
      <c r="B149" s="2">
        <v>1783.0</v>
      </c>
      <c r="C149" s="2">
        <v>34.0</v>
      </c>
      <c r="D149" s="2">
        <v>10126.0</v>
      </c>
      <c r="E149" s="2">
        <v>1.480161952E9</v>
      </c>
      <c r="F149" s="8"/>
      <c r="G149" s="2">
        <v>0.0</v>
      </c>
      <c r="H149" s="2">
        <v>0.0</v>
      </c>
      <c r="I149" s="2" t="s">
        <v>61</v>
      </c>
      <c r="J149" s="2">
        <v>0.0</v>
      </c>
      <c r="K149" s="2">
        <v>0.0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>
      <c r="A150" s="2">
        <v>443.0</v>
      </c>
      <c r="B150" s="2">
        <v>1785.0</v>
      </c>
      <c r="C150" s="2">
        <v>34.0</v>
      </c>
      <c r="D150" s="2">
        <v>10126.0</v>
      </c>
      <c r="E150" s="2">
        <v>1.480161982E9</v>
      </c>
      <c r="F150" s="8"/>
      <c r="G150" s="2">
        <v>0.0</v>
      </c>
      <c r="H150" s="2">
        <v>1.480162051E9</v>
      </c>
      <c r="I150" s="2">
        <v>10.0</v>
      </c>
      <c r="J150" s="2">
        <v>0.0</v>
      </c>
      <c r="K150" s="2">
        <v>0.0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>
      <c r="A151" s="2">
        <v>443.0</v>
      </c>
      <c r="B151" s="2">
        <v>1787.0</v>
      </c>
      <c r="C151" s="2">
        <v>34.0</v>
      </c>
      <c r="D151" s="2">
        <v>10126.0</v>
      </c>
      <c r="E151" s="2">
        <v>1.480163563E9</v>
      </c>
      <c r="F151" s="8"/>
      <c r="G151" s="2">
        <v>0.0</v>
      </c>
      <c r="H151" s="2">
        <v>1.480163571E9</v>
      </c>
      <c r="I151" s="2">
        <v>10.0</v>
      </c>
      <c r="J151" s="2">
        <v>0.0</v>
      </c>
      <c r="K151" s="2">
        <v>0.0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>
      <c r="A152" s="2">
        <v>443.0</v>
      </c>
      <c r="B152" s="2">
        <v>1488.0</v>
      </c>
      <c r="C152" s="2">
        <v>34.0</v>
      </c>
      <c r="D152" s="2">
        <v>10127.0</v>
      </c>
      <c r="E152" s="2">
        <v>1.480115863E9</v>
      </c>
      <c r="F152" s="8"/>
      <c r="G152" s="2">
        <v>0.0</v>
      </c>
      <c r="H152" s="2">
        <v>0.0</v>
      </c>
      <c r="I152" s="2" t="s">
        <v>61</v>
      </c>
      <c r="J152" s="2">
        <v>0.0</v>
      </c>
      <c r="K152" s="2">
        <v>0.0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>
      <c r="A153" s="2">
        <v>443.0</v>
      </c>
      <c r="B153" s="2">
        <v>1517.0</v>
      </c>
      <c r="C153" s="2">
        <v>34.0</v>
      </c>
      <c r="D153" s="2">
        <v>10127.0</v>
      </c>
      <c r="E153" s="2">
        <v>1.480116743E9</v>
      </c>
      <c r="F153" s="8"/>
      <c r="G153" s="2">
        <v>0.0</v>
      </c>
      <c r="H153" s="2">
        <v>0.0</v>
      </c>
      <c r="I153" s="2" t="s">
        <v>61</v>
      </c>
      <c r="J153" s="2">
        <v>0.0</v>
      </c>
      <c r="K153" s="2">
        <v>0.0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>
      <c r="A154" s="2">
        <v>443.0</v>
      </c>
      <c r="B154" s="2">
        <v>1525.0</v>
      </c>
      <c r="C154" s="2">
        <v>34.0</v>
      </c>
      <c r="D154" s="2">
        <v>10127.0</v>
      </c>
      <c r="E154" s="2">
        <v>1.480116808E9</v>
      </c>
      <c r="F154" s="8"/>
      <c r="G154" s="2">
        <v>0.0</v>
      </c>
      <c r="H154" s="2">
        <v>0.0</v>
      </c>
      <c r="I154" s="2" t="s">
        <v>61</v>
      </c>
      <c r="J154" s="2">
        <v>0.0</v>
      </c>
      <c r="K154" s="2">
        <v>0.0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>
      <c r="A155" s="2">
        <v>443.0</v>
      </c>
      <c r="B155" s="2">
        <v>1527.0</v>
      </c>
      <c r="C155" s="2">
        <v>34.0</v>
      </c>
      <c r="D155" s="2">
        <v>10127.0</v>
      </c>
      <c r="E155" s="2">
        <v>1.48011684E9</v>
      </c>
      <c r="F155" s="8"/>
      <c r="G155" s="2">
        <v>0.0</v>
      </c>
      <c r="H155" s="2">
        <v>0.0</v>
      </c>
      <c r="I155" s="2" t="s">
        <v>61</v>
      </c>
      <c r="J155" s="2">
        <v>0.0</v>
      </c>
      <c r="K155" s="2">
        <v>0.0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>
      <c r="A156" s="2">
        <v>443.0</v>
      </c>
      <c r="B156" s="2">
        <v>1533.0</v>
      </c>
      <c r="C156" s="2">
        <v>34.0</v>
      </c>
      <c r="D156" s="2">
        <v>10127.0</v>
      </c>
      <c r="E156" s="2">
        <v>1.480116895E9</v>
      </c>
      <c r="F156" s="8"/>
      <c r="G156" s="2">
        <v>0.0</v>
      </c>
      <c r="H156" s="2">
        <v>0.0</v>
      </c>
      <c r="I156" s="2" t="s">
        <v>61</v>
      </c>
      <c r="J156" s="2">
        <v>0.0</v>
      </c>
      <c r="K156" s="2">
        <v>0.0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>
      <c r="A157" s="2">
        <v>443.0</v>
      </c>
      <c r="B157" s="2">
        <v>1536.0</v>
      </c>
      <c r="C157" s="2">
        <v>34.0</v>
      </c>
      <c r="D157" s="2">
        <v>10127.0</v>
      </c>
      <c r="E157" s="2">
        <v>1.480116921E9</v>
      </c>
      <c r="F157" s="8"/>
      <c r="G157" s="2">
        <v>0.0</v>
      </c>
      <c r="H157" s="2">
        <v>0.0</v>
      </c>
      <c r="I157" s="2" t="s">
        <v>61</v>
      </c>
      <c r="J157" s="2">
        <v>0.0</v>
      </c>
      <c r="K157" s="2">
        <v>0.0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>
      <c r="A158" s="2">
        <v>443.0</v>
      </c>
      <c r="B158" s="2">
        <v>1540.0</v>
      </c>
      <c r="C158" s="2">
        <v>34.0</v>
      </c>
      <c r="D158" s="2">
        <v>10127.0</v>
      </c>
      <c r="E158" s="2">
        <v>1.480116968E9</v>
      </c>
      <c r="F158" s="8"/>
      <c r="G158" s="2">
        <v>0.0</v>
      </c>
      <c r="H158" s="2">
        <v>0.0</v>
      </c>
      <c r="I158" s="2" t="s">
        <v>61</v>
      </c>
      <c r="J158" s="2">
        <v>0.0</v>
      </c>
      <c r="K158" s="2">
        <v>0.0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>
      <c r="A159" s="2">
        <v>443.0</v>
      </c>
      <c r="B159" s="2">
        <v>1546.0</v>
      </c>
      <c r="C159" s="2">
        <v>34.0</v>
      </c>
      <c r="D159" s="2">
        <v>10127.0</v>
      </c>
      <c r="E159" s="2">
        <v>1.480117012E9</v>
      </c>
      <c r="F159" s="8"/>
      <c r="G159" s="2">
        <v>0.0</v>
      </c>
      <c r="H159" s="2">
        <v>0.0</v>
      </c>
      <c r="I159" s="2" t="s">
        <v>61</v>
      </c>
      <c r="J159" s="2">
        <v>0.0</v>
      </c>
      <c r="K159" s="2">
        <v>0.0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>
      <c r="A160" s="2">
        <v>443.0</v>
      </c>
      <c r="B160" s="2">
        <v>1547.0</v>
      </c>
      <c r="C160" s="2">
        <v>34.0</v>
      </c>
      <c r="D160" s="2">
        <v>10127.0</v>
      </c>
      <c r="E160" s="2">
        <v>1.48011703E9</v>
      </c>
      <c r="F160" s="8"/>
      <c r="G160" s="2">
        <v>0.0</v>
      </c>
      <c r="H160" s="2">
        <v>0.0</v>
      </c>
      <c r="I160" s="2" t="s">
        <v>61</v>
      </c>
      <c r="J160" s="2">
        <v>0.0</v>
      </c>
      <c r="K160" s="2">
        <v>0.0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>
      <c r="A161" s="2">
        <v>443.0</v>
      </c>
      <c r="B161" s="2">
        <v>1665.0</v>
      </c>
      <c r="C161" s="2">
        <v>34.0</v>
      </c>
      <c r="D161" s="2">
        <v>10127.0</v>
      </c>
      <c r="E161" s="2">
        <v>1.480118815E9</v>
      </c>
      <c r="F161" s="8"/>
      <c r="G161" s="2">
        <v>0.0</v>
      </c>
      <c r="H161" s="2">
        <v>1.480118829E9</v>
      </c>
      <c r="I161" s="2">
        <v>10.0</v>
      </c>
      <c r="J161" s="2">
        <v>0.0</v>
      </c>
      <c r="K161" s="2">
        <v>0.0</v>
      </c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>
      <c r="A162" s="2">
        <v>443.0</v>
      </c>
      <c r="B162" s="2">
        <v>1537.0</v>
      </c>
      <c r="C162" s="2">
        <v>34.0</v>
      </c>
      <c r="D162" s="2">
        <v>10128.0</v>
      </c>
      <c r="E162" s="2">
        <v>1.480116929E9</v>
      </c>
      <c r="F162" s="8"/>
      <c r="G162" s="2">
        <v>0.0</v>
      </c>
      <c r="H162" s="2">
        <v>1.480116931E9</v>
      </c>
      <c r="I162" s="2">
        <v>8.0</v>
      </c>
      <c r="J162" s="2">
        <v>0.0</v>
      </c>
      <c r="K162" s="2">
        <v>0.0</v>
      </c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>
      <c r="A163" s="2">
        <v>443.0</v>
      </c>
      <c r="B163" s="2">
        <v>1500.0</v>
      </c>
      <c r="C163" s="2">
        <v>34.0</v>
      </c>
      <c r="D163" s="2">
        <v>10129.0</v>
      </c>
      <c r="E163" s="2">
        <v>1.480116353E9</v>
      </c>
      <c r="F163" s="8"/>
      <c r="G163" s="2">
        <v>0.0</v>
      </c>
      <c r="H163" s="2">
        <v>1.480116367E9</v>
      </c>
      <c r="I163" s="2">
        <v>0.0</v>
      </c>
      <c r="J163" s="2">
        <v>0.0</v>
      </c>
      <c r="K163" s="2">
        <v>0.0</v>
      </c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>
      <c r="A164" s="2">
        <v>443.0</v>
      </c>
      <c r="B164" s="2">
        <v>1508.0</v>
      </c>
      <c r="C164" s="2">
        <v>34.0</v>
      </c>
      <c r="D164" s="2">
        <v>10129.0</v>
      </c>
      <c r="E164" s="2">
        <v>1.480116576E9</v>
      </c>
      <c r="F164" s="8"/>
      <c r="G164" s="2">
        <v>0.0</v>
      </c>
      <c r="H164" s="2">
        <v>1.480116581E9</v>
      </c>
      <c r="I164" s="2">
        <v>0.0</v>
      </c>
      <c r="J164" s="2">
        <v>0.0</v>
      </c>
      <c r="K164" s="2">
        <v>0.0</v>
      </c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>
      <c r="A165" s="2">
        <v>443.0</v>
      </c>
      <c r="B165" s="2">
        <v>1510.0</v>
      </c>
      <c r="C165" s="2">
        <v>34.0</v>
      </c>
      <c r="D165" s="2">
        <v>10129.0</v>
      </c>
      <c r="E165" s="2">
        <v>1.480116676E9</v>
      </c>
      <c r="F165" s="8"/>
      <c r="G165" s="2">
        <v>0.0</v>
      </c>
      <c r="H165" s="2">
        <v>1.480116685E9</v>
      </c>
      <c r="I165" s="2">
        <v>10.0</v>
      </c>
      <c r="J165" s="2">
        <v>0.0</v>
      </c>
      <c r="K165" s="2">
        <v>0.0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>
      <c r="A166" s="2">
        <v>443.0</v>
      </c>
      <c r="B166" s="2">
        <v>1562.0</v>
      </c>
      <c r="C166" s="2">
        <v>34.0</v>
      </c>
      <c r="D166" s="2">
        <v>10130.0</v>
      </c>
      <c r="E166" s="2">
        <v>1.480117219E9</v>
      </c>
      <c r="F166" s="8"/>
      <c r="G166" s="2">
        <v>0.0</v>
      </c>
      <c r="H166" s="2">
        <v>1.480117222E9</v>
      </c>
      <c r="I166" s="2">
        <v>10.0</v>
      </c>
      <c r="J166" s="2">
        <v>0.0</v>
      </c>
      <c r="K166" s="2">
        <v>0.0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>
      <c r="A167" s="2">
        <v>443.0</v>
      </c>
      <c r="B167" s="2">
        <v>1577.0</v>
      </c>
      <c r="C167" s="2">
        <v>34.0</v>
      </c>
      <c r="D167" s="2">
        <v>10131.0</v>
      </c>
      <c r="E167" s="2">
        <v>1.480117362E9</v>
      </c>
      <c r="F167" s="8"/>
      <c r="G167" s="2">
        <v>0.0</v>
      </c>
      <c r="H167" s="2">
        <v>0.0</v>
      </c>
      <c r="I167" s="2" t="s">
        <v>61</v>
      </c>
      <c r="J167" s="2">
        <v>0.0</v>
      </c>
      <c r="K167" s="2">
        <v>0.0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>
      <c r="A168" s="2">
        <v>443.0</v>
      </c>
      <c r="B168" s="2">
        <v>1579.0</v>
      </c>
      <c r="C168" s="2">
        <v>34.0</v>
      </c>
      <c r="D168" s="2">
        <v>10131.0</v>
      </c>
      <c r="E168" s="2">
        <v>1.480117371E9</v>
      </c>
      <c r="F168" s="8"/>
      <c r="G168" s="2">
        <v>0.0</v>
      </c>
      <c r="H168" s="2">
        <v>1.480117374E9</v>
      </c>
      <c r="I168" s="2">
        <v>10.0</v>
      </c>
      <c r="J168" s="2">
        <v>0.0</v>
      </c>
      <c r="K168" s="2">
        <v>0.0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>
      <c r="A169" s="2">
        <v>443.0</v>
      </c>
      <c r="B169" s="2">
        <v>1583.0</v>
      </c>
      <c r="C169" s="2">
        <v>34.0</v>
      </c>
      <c r="D169" s="2">
        <v>10131.0</v>
      </c>
      <c r="E169" s="2">
        <v>1.480117439E9</v>
      </c>
      <c r="F169" s="8"/>
      <c r="G169" s="2">
        <v>0.0</v>
      </c>
      <c r="H169" s="2">
        <v>1.480117452E9</v>
      </c>
      <c r="I169" s="2">
        <v>10.0</v>
      </c>
      <c r="J169" s="2">
        <v>0.0</v>
      </c>
      <c r="K169" s="2">
        <v>0.0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>
      <c r="A170" s="2">
        <v>443.0</v>
      </c>
      <c r="B170" s="2">
        <v>1497.0</v>
      </c>
      <c r="C170" s="2">
        <v>34.0</v>
      </c>
      <c r="D170" s="2">
        <v>10132.0</v>
      </c>
      <c r="E170" s="2">
        <v>1.480116264E9</v>
      </c>
      <c r="F170" s="8"/>
      <c r="G170" s="2">
        <v>0.0</v>
      </c>
      <c r="H170" s="2">
        <v>1.480116267E9</v>
      </c>
      <c r="I170" s="2">
        <v>0.0</v>
      </c>
      <c r="J170" s="2">
        <v>0.0</v>
      </c>
      <c r="K170" s="2">
        <v>0.0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>
      <c r="A171" s="2">
        <v>443.0</v>
      </c>
      <c r="B171" s="2">
        <v>1512.0</v>
      </c>
      <c r="C171" s="2">
        <v>34.0</v>
      </c>
      <c r="D171" s="2">
        <v>10132.0</v>
      </c>
      <c r="E171" s="2">
        <v>1.480116697E9</v>
      </c>
      <c r="F171" s="8"/>
      <c r="G171" s="2">
        <v>0.0</v>
      </c>
      <c r="H171" s="2">
        <v>0.0</v>
      </c>
      <c r="I171" s="2" t="s">
        <v>61</v>
      </c>
      <c r="J171" s="2">
        <v>0.0</v>
      </c>
      <c r="K171" s="2">
        <v>0.0</v>
      </c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>
      <c r="A172" s="2">
        <v>443.0</v>
      </c>
      <c r="B172" s="2">
        <v>1518.0</v>
      </c>
      <c r="C172" s="2">
        <v>34.0</v>
      </c>
      <c r="D172" s="2">
        <v>10132.0</v>
      </c>
      <c r="E172" s="2">
        <v>1.480116745E9</v>
      </c>
      <c r="F172" s="8"/>
      <c r="G172" s="2">
        <v>0.0</v>
      </c>
      <c r="H172" s="2">
        <v>0.0</v>
      </c>
      <c r="I172" s="2" t="s">
        <v>61</v>
      </c>
      <c r="J172" s="2">
        <v>0.0</v>
      </c>
      <c r="K172" s="2">
        <v>0.0</v>
      </c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>
      <c r="A173" s="2">
        <v>443.0</v>
      </c>
      <c r="B173" s="2">
        <v>1523.0</v>
      </c>
      <c r="C173" s="2">
        <v>34.0</v>
      </c>
      <c r="D173" s="2">
        <v>10132.0</v>
      </c>
      <c r="E173" s="2">
        <v>1.480116795E9</v>
      </c>
      <c r="F173" s="8"/>
      <c r="G173" s="2">
        <v>0.0</v>
      </c>
      <c r="H173" s="2">
        <v>0.0</v>
      </c>
      <c r="I173" s="2" t="s">
        <v>61</v>
      </c>
      <c r="J173" s="2">
        <v>0.0</v>
      </c>
      <c r="K173" s="2">
        <v>0.0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>
      <c r="A174" s="2">
        <v>443.0</v>
      </c>
      <c r="B174" s="2">
        <v>1545.0</v>
      </c>
      <c r="C174" s="2">
        <v>34.0</v>
      </c>
      <c r="D174" s="2">
        <v>10132.0</v>
      </c>
      <c r="E174" s="2">
        <v>1.480117011E9</v>
      </c>
      <c r="F174" s="8"/>
      <c r="G174" s="2">
        <v>0.0</v>
      </c>
      <c r="H174" s="2">
        <v>0.0</v>
      </c>
      <c r="I174" s="2" t="s">
        <v>61</v>
      </c>
      <c r="J174" s="2">
        <v>0.0</v>
      </c>
      <c r="K174" s="2">
        <v>0.0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>
      <c r="A175" s="2">
        <v>443.0</v>
      </c>
      <c r="B175" s="2">
        <v>1555.0</v>
      </c>
      <c r="C175" s="2">
        <v>34.0</v>
      </c>
      <c r="D175" s="2">
        <v>10132.0</v>
      </c>
      <c r="E175" s="2">
        <v>1.480117114E9</v>
      </c>
      <c r="F175" s="8"/>
      <c r="G175" s="2">
        <v>0.0</v>
      </c>
      <c r="H175" s="2">
        <v>0.0</v>
      </c>
      <c r="I175" s="2" t="s">
        <v>61</v>
      </c>
      <c r="J175" s="2">
        <v>0.0</v>
      </c>
      <c r="K175" s="2">
        <v>0.0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>
      <c r="A176" s="2">
        <v>443.0</v>
      </c>
      <c r="B176" s="2">
        <v>1558.0</v>
      </c>
      <c r="C176" s="2">
        <v>34.0</v>
      </c>
      <c r="D176" s="2">
        <v>10132.0</v>
      </c>
      <c r="E176" s="2">
        <v>1.480117167E9</v>
      </c>
      <c r="F176" s="8"/>
      <c r="G176" s="2">
        <v>0.0</v>
      </c>
      <c r="H176" s="2">
        <v>0.0</v>
      </c>
      <c r="I176" s="2" t="s">
        <v>61</v>
      </c>
      <c r="J176" s="2">
        <v>0.0</v>
      </c>
      <c r="K176" s="2">
        <v>0.0</v>
      </c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>
      <c r="A177" s="2">
        <v>443.0</v>
      </c>
      <c r="B177" s="2">
        <v>1564.0</v>
      </c>
      <c r="C177" s="2">
        <v>34.0</v>
      </c>
      <c r="D177" s="2">
        <v>10132.0</v>
      </c>
      <c r="E177" s="2">
        <v>1.480117237E9</v>
      </c>
      <c r="F177" s="8"/>
      <c r="G177" s="2">
        <v>0.0</v>
      </c>
      <c r="H177" s="2">
        <v>0.0</v>
      </c>
      <c r="I177" s="2" t="s">
        <v>61</v>
      </c>
      <c r="J177" s="2">
        <v>0.0</v>
      </c>
      <c r="K177" s="2">
        <v>0.0</v>
      </c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>
      <c r="A178" s="2">
        <v>443.0</v>
      </c>
      <c r="B178" s="2">
        <v>1570.0</v>
      </c>
      <c r="C178" s="2">
        <v>34.0</v>
      </c>
      <c r="D178" s="2">
        <v>10132.0</v>
      </c>
      <c r="E178" s="2">
        <v>1.480117292E9</v>
      </c>
      <c r="F178" s="8"/>
      <c r="G178" s="2">
        <v>0.0</v>
      </c>
      <c r="H178" s="2">
        <v>1.480117666E9</v>
      </c>
      <c r="I178" s="2">
        <v>0.0</v>
      </c>
      <c r="J178" s="2">
        <v>0.0</v>
      </c>
      <c r="K178" s="2">
        <v>0.0</v>
      </c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>
      <c r="A179" s="2">
        <v>443.0</v>
      </c>
      <c r="B179" s="2">
        <v>1612.0</v>
      </c>
      <c r="C179" s="2">
        <v>34.0</v>
      </c>
      <c r="D179" s="2">
        <v>10132.0</v>
      </c>
      <c r="E179" s="2">
        <v>1.480117826E9</v>
      </c>
      <c r="F179" s="8"/>
      <c r="G179" s="2">
        <v>0.0</v>
      </c>
      <c r="H179" s="2">
        <v>0.0</v>
      </c>
      <c r="I179" s="2" t="s">
        <v>61</v>
      </c>
      <c r="J179" s="2">
        <v>0.0</v>
      </c>
      <c r="K179" s="2">
        <v>0.0</v>
      </c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>
      <c r="A180" s="2">
        <v>443.0</v>
      </c>
      <c r="B180" s="2">
        <v>1620.0</v>
      </c>
      <c r="C180" s="2">
        <v>34.0</v>
      </c>
      <c r="D180" s="2">
        <v>10132.0</v>
      </c>
      <c r="E180" s="2">
        <v>1.480117963E9</v>
      </c>
      <c r="F180" s="8"/>
      <c r="G180" s="2">
        <v>0.0</v>
      </c>
      <c r="H180" s="2">
        <v>0.0</v>
      </c>
      <c r="I180" s="2" t="s">
        <v>61</v>
      </c>
      <c r="J180" s="2">
        <v>0.0</v>
      </c>
      <c r="K180" s="2">
        <v>0.0</v>
      </c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>
      <c r="A181" s="2">
        <v>443.0</v>
      </c>
      <c r="B181" s="2">
        <v>1636.0</v>
      </c>
      <c r="C181" s="2">
        <v>34.0</v>
      </c>
      <c r="D181" s="2">
        <v>10132.0</v>
      </c>
      <c r="E181" s="2">
        <v>1.480118116E9</v>
      </c>
      <c r="F181" s="8"/>
      <c r="G181" s="2">
        <v>0.0</v>
      </c>
      <c r="H181" s="2">
        <v>0.0</v>
      </c>
      <c r="I181" s="2" t="s">
        <v>61</v>
      </c>
      <c r="J181" s="2">
        <v>0.0</v>
      </c>
      <c r="K181" s="2">
        <v>0.0</v>
      </c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>
      <c r="A182" s="2">
        <v>443.0</v>
      </c>
      <c r="B182" s="2">
        <v>1640.0</v>
      </c>
      <c r="C182" s="2">
        <v>34.0</v>
      </c>
      <c r="D182" s="2">
        <v>10132.0</v>
      </c>
      <c r="E182" s="2">
        <v>1.480118193E9</v>
      </c>
      <c r="F182" s="8"/>
      <c r="G182" s="2">
        <v>0.0</v>
      </c>
      <c r="H182" s="2">
        <v>0.0</v>
      </c>
      <c r="I182" s="2" t="s">
        <v>61</v>
      </c>
      <c r="J182" s="2">
        <v>0.0</v>
      </c>
      <c r="K182" s="2">
        <v>0.0</v>
      </c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>
      <c r="A183" s="2">
        <v>443.0</v>
      </c>
      <c r="B183" s="2">
        <v>1648.0</v>
      </c>
      <c r="C183" s="2">
        <v>34.0</v>
      </c>
      <c r="D183" s="2">
        <v>10132.0</v>
      </c>
      <c r="E183" s="2">
        <v>1.480118392E9</v>
      </c>
      <c r="F183" s="8"/>
      <c r="G183" s="2">
        <v>0.0</v>
      </c>
      <c r="H183" s="2">
        <v>0.0</v>
      </c>
      <c r="I183" s="2" t="s">
        <v>61</v>
      </c>
      <c r="J183" s="2">
        <v>0.0</v>
      </c>
      <c r="K183" s="2">
        <v>0.0</v>
      </c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>
      <c r="A184" s="2">
        <v>443.0</v>
      </c>
      <c r="B184" s="2">
        <v>1649.0</v>
      </c>
      <c r="C184" s="2">
        <v>34.0</v>
      </c>
      <c r="D184" s="2">
        <v>10132.0</v>
      </c>
      <c r="E184" s="2">
        <v>1.480118406E9</v>
      </c>
      <c r="F184" s="8"/>
      <c r="G184" s="2">
        <v>0.0</v>
      </c>
      <c r="H184" s="2">
        <v>1.480118416E9</v>
      </c>
      <c r="I184" s="2">
        <v>10.0</v>
      </c>
      <c r="J184" s="2">
        <v>0.0</v>
      </c>
      <c r="K184" s="2">
        <v>0.0</v>
      </c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>
      <c r="A185" s="2">
        <v>443.0</v>
      </c>
      <c r="B185" s="2">
        <v>1595.0</v>
      </c>
      <c r="C185" s="2">
        <v>34.0</v>
      </c>
      <c r="D185" s="2">
        <v>10133.0</v>
      </c>
      <c r="E185" s="2">
        <v>1.480117614E9</v>
      </c>
      <c r="F185" s="8"/>
      <c r="G185" s="2">
        <v>0.0</v>
      </c>
      <c r="H185" s="2">
        <v>1.480117647E9</v>
      </c>
      <c r="I185" s="2">
        <v>0.0</v>
      </c>
      <c r="J185" s="2">
        <v>0.0</v>
      </c>
      <c r="K185" s="2">
        <v>0.0</v>
      </c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>
      <c r="A186" s="2">
        <v>443.0</v>
      </c>
      <c r="B186" s="2">
        <v>1611.0</v>
      </c>
      <c r="C186" s="2">
        <v>34.0</v>
      </c>
      <c r="D186" s="2">
        <v>10133.0</v>
      </c>
      <c r="E186" s="2">
        <v>1.480117785E9</v>
      </c>
      <c r="F186" s="8"/>
      <c r="G186" s="2">
        <v>0.0</v>
      </c>
      <c r="H186" s="2">
        <v>1.4801178E9</v>
      </c>
      <c r="I186" s="2">
        <v>8.0</v>
      </c>
      <c r="J186" s="2">
        <v>0.0</v>
      </c>
      <c r="K186" s="2">
        <v>0.0</v>
      </c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>
      <c r="A187" s="2">
        <v>443.0</v>
      </c>
      <c r="B187" s="2">
        <v>1733.0</v>
      </c>
      <c r="C187" s="2">
        <v>34.0</v>
      </c>
      <c r="D187" s="2">
        <v>10133.0</v>
      </c>
      <c r="E187" s="2">
        <v>1.48012032E9</v>
      </c>
      <c r="F187" s="8"/>
      <c r="G187" s="2">
        <v>0.0</v>
      </c>
      <c r="H187" s="2">
        <v>1.480120327E9</v>
      </c>
      <c r="I187" s="2">
        <v>10.0</v>
      </c>
      <c r="J187" s="2">
        <v>0.0</v>
      </c>
      <c r="K187" s="2">
        <v>0.0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>
      <c r="A188" s="2">
        <v>443.0</v>
      </c>
      <c r="B188" s="2">
        <v>1491.0</v>
      </c>
      <c r="C188" s="2">
        <v>34.0</v>
      </c>
      <c r="D188" s="2">
        <v>10134.0</v>
      </c>
      <c r="E188" s="2">
        <v>1.480116044E9</v>
      </c>
      <c r="F188" s="8"/>
      <c r="G188" s="2">
        <v>0.0</v>
      </c>
      <c r="H188" s="2">
        <v>0.0</v>
      </c>
      <c r="I188" s="2" t="s">
        <v>61</v>
      </c>
      <c r="J188" s="2">
        <v>0.0</v>
      </c>
      <c r="K188" s="2">
        <v>0.0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>
      <c r="A189" s="2">
        <v>443.0</v>
      </c>
      <c r="B189" s="2">
        <v>1493.0</v>
      </c>
      <c r="C189" s="2">
        <v>34.0</v>
      </c>
      <c r="D189" s="2">
        <v>10134.0</v>
      </c>
      <c r="E189" s="2">
        <v>1.480116063E9</v>
      </c>
      <c r="F189" s="8"/>
      <c r="G189" s="2">
        <v>0.0</v>
      </c>
      <c r="H189" s="2">
        <v>0.0</v>
      </c>
      <c r="I189" s="2" t="s">
        <v>61</v>
      </c>
      <c r="J189" s="2">
        <v>0.0</v>
      </c>
      <c r="K189" s="2">
        <v>0.0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>
      <c r="A190" s="2">
        <v>443.0</v>
      </c>
      <c r="B190" s="2">
        <v>1494.0</v>
      </c>
      <c r="C190" s="2">
        <v>34.0</v>
      </c>
      <c r="D190" s="2">
        <v>10134.0</v>
      </c>
      <c r="E190" s="2">
        <v>1.480116117E9</v>
      </c>
      <c r="F190" s="8"/>
      <c r="G190" s="2">
        <v>0.0</v>
      </c>
      <c r="H190" s="2">
        <v>0.0</v>
      </c>
      <c r="I190" s="2" t="s">
        <v>61</v>
      </c>
      <c r="J190" s="2">
        <v>0.0</v>
      </c>
      <c r="K190" s="2">
        <v>0.0</v>
      </c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>
      <c r="A191" s="2">
        <v>443.0</v>
      </c>
      <c r="B191" s="2">
        <v>1498.0</v>
      </c>
      <c r="C191" s="2">
        <v>34.0</v>
      </c>
      <c r="D191" s="2">
        <v>10134.0</v>
      </c>
      <c r="E191" s="2">
        <v>1.480116324E9</v>
      </c>
      <c r="F191" s="8"/>
      <c r="G191" s="2">
        <v>0.0</v>
      </c>
      <c r="H191" s="2">
        <v>0.0</v>
      </c>
      <c r="I191" s="2" t="s">
        <v>61</v>
      </c>
      <c r="J191" s="2">
        <v>0.0</v>
      </c>
      <c r="K191" s="2">
        <v>0.0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>
      <c r="A192" s="2">
        <v>443.0</v>
      </c>
      <c r="B192" s="2">
        <v>1501.0</v>
      </c>
      <c r="C192" s="2">
        <v>34.0</v>
      </c>
      <c r="D192" s="2">
        <v>10134.0</v>
      </c>
      <c r="E192" s="2">
        <v>1.480116455E9</v>
      </c>
      <c r="F192" s="8"/>
      <c r="G192" s="2">
        <v>0.0</v>
      </c>
      <c r="H192" s="2">
        <v>0.0</v>
      </c>
      <c r="I192" s="2" t="s">
        <v>61</v>
      </c>
      <c r="J192" s="2">
        <v>0.0</v>
      </c>
      <c r="K192" s="2">
        <v>0.0</v>
      </c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>
      <c r="A193" s="2">
        <v>443.0</v>
      </c>
      <c r="B193" s="2">
        <v>1505.0</v>
      </c>
      <c r="C193" s="2">
        <v>34.0</v>
      </c>
      <c r="D193" s="2">
        <v>10134.0</v>
      </c>
      <c r="E193" s="2">
        <v>1.48011651E9</v>
      </c>
      <c r="F193" s="8"/>
      <c r="G193" s="2">
        <v>0.0</v>
      </c>
      <c r="H193" s="2">
        <v>0.0</v>
      </c>
      <c r="I193" s="2" t="s">
        <v>61</v>
      </c>
      <c r="J193" s="2">
        <v>0.0</v>
      </c>
      <c r="K193" s="2">
        <v>0.0</v>
      </c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>
      <c r="A194" s="2">
        <v>443.0</v>
      </c>
      <c r="B194" s="2">
        <v>1507.0</v>
      </c>
      <c r="C194" s="2">
        <v>34.0</v>
      </c>
      <c r="D194" s="2">
        <v>10134.0</v>
      </c>
      <c r="E194" s="2">
        <v>1.480116565E9</v>
      </c>
      <c r="F194" s="8"/>
      <c r="G194" s="2">
        <v>0.0</v>
      </c>
      <c r="H194" s="2">
        <v>0.0</v>
      </c>
      <c r="I194" s="2" t="s">
        <v>61</v>
      </c>
      <c r="J194" s="2">
        <v>0.0</v>
      </c>
      <c r="K194" s="2">
        <v>0.0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>
      <c r="A195" s="2">
        <v>443.0</v>
      </c>
      <c r="B195" s="2">
        <v>1511.0</v>
      </c>
      <c r="C195" s="2">
        <v>34.0</v>
      </c>
      <c r="D195" s="2">
        <v>10134.0</v>
      </c>
      <c r="E195" s="2">
        <v>1.480116687E9</v>
      </c>
      <c r="F195" s="8"/>
      <c r="G195" s="2">
        <v>0.0</v>
      </c>
      <c r="H195" s="2">
        <v>0.0</v>
      </c>
      <c r="I195" s="2" t="s">
        <v>61</v>
      </c>
      <c r="J195" s="2">
        <v>0.0</v>
      </c>
      <c r="K195" s="2">
        <v>0.0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>
      <c r="A196" s="2">
        <v>443.0</v>
      </c>
      <c r="B196" s="2">
        <v>1516.0</v>
      </c>
      <c r="C196" s="2">
        <v>34.0</v>
      </c>
      <c r="D196" s="2">
        <v>10134.0</v>
      </c>
      <c r="E196" s="2">
        <v>1.480116736E9</v>
      </c>
      <c r="F196" s="8"/>
      <c r="G196" s="2">
        <v>0.0</v>
      </c>
      <c r="H196" s="2">
        <v>0.0</v>
      </c>
      <c r="I196" s="2" t="s">
        <v>61</v>
      </c>
      <c r="J196" s="2">
        <v>0.0</v>
      </c>
      <c r="K196" s="2">
        <v>0.0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>
      <c r="A197" s="2">
        <v>443.0</v>
      </c>
      <c r="B197" s="2">
        <v>1530.0</v>
      </c>
      <c r="C197" s="2">
        <v>34.0</v>
      </c>
      <c r="D197" s="2">
        <v>10134.0</v>
      </c>
      <c r="E197" s="2">
        <v>1.480116865E9</v>
      </c>
      <c r="F197" s="8"/>
      <c r="G197" s="2">
        <v>0.0</v>
      </c>
      <c r="H197" s="2">
        <v>0.0</v>
      </c>
      <c r="I197" s="2" t="s">
        <v>61</v>
      </c>
      <c r="J197" s="2">
        <v>0.0</v>
      </c>
      <c r="K197" s="2">
        <v>0.0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>
      <c r="A198" s="2">
        <v>443.0</v>
      </c>
      <c r="B198" s="2">
        <v>1538.0</v>
      </c>
      <c r="C198" s="2">
        <v>34.0</v>
      </c>
      <c r="D198" s="2">
        <v>10134.0</v>
      </c>
      <c r="E198" s="2">
        <v>1.480116944E9</v>
      </c>
      <c r="F198" s="8"/>
      <c r="G198" s="2">
        <v>0.0</v>
      </c>
      <c r="H198" s="2">
        <v>0.0</v>
      </c>
      <c r="I198" s="2" t="s">
        <v>61</v>
      </c>
      <c r="J198" s="2">
        <v>0.0</v>
      </c>
      <c r="K198" s="2">
        <v>0.0</v>
      </c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>
      <c r="A199" s="2">
        <v>443.0</v>
      </c>
      <c r="B199" s="2">
        <v>1539.0</v>
      </c>
      <c r="C199" s="2">
        <v>34.0</v>
      </c>
      <c r="D199" s="2">
        <v>10134.0</v>
      </c>
      <c r="E199" s="2">
        <v>1.480116966E9</v>
      </c>
      <c r="F199" s="8"/>
      <c r="G199" s="2">
        <v>0.0</v>
      </c>
      <c r="H199" s="2">
        <v>0.0</v>
      </c>
      <c r="I199" s="2" t="s">
        <v>61</v>
      </c>
      <c r="J199" s="2">
        <v>0.0</v>
      </c>
      <c r="K199" s="2">
        <v>0.0</v>
      </c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>
      <c r="A200" s="2">
        <v>443.0</v>
      </c>
      <c r="B200" s="2">
        <v>1553.0</v>
      </c>
      <c r="C200" s="2">
        <v>34.0</v>
      </c>
      <c r="D200" s="2">
        <v>10134.0</v>
      </c>
      <c r="E200" s="2">
        <v>1.480117085E9</v>
      </c>
      <c r="F200" s="8"/>
      <c r="G200" s="2">
        <v>0.0</v>
      </c>
      <c r="H200" s="2">
        <v>0.0</v>
      </c>
      <c r="I200" s="2" t="s">
        <v>61</v>
      </c>
      <c r="J200" s="2">
        <v>0.0</v>
      </c>
      <c r="K200" s="2">
        <v>0.0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>
      <c r="A201" s="2">
        <v>443.0</v>
      </c>
      <c r="B201" s="2">
        <v>1556.0</v>
      </c>
      <c r="C201" s="2">
        <v>34.0</v>
      </c>
      <c r="D201" s="2">
        <v>10134.0</v>
      </c>
      <c r="E201" s="2">
        <v>1.480117117E9</v>
      </c>
      <c r="F201" s="8"/>
      <c r="G201" s="2">
        <v>0.0</v>
      </c>
      <c r="H201" s="2">
        <v>0.0</v>
      </c>
      <c r="I201" s="2" t="s">
        <v>61</v>
      </c>
      <c r="J201" s="2">
        <v>0.0</v>
      </c>
      <c r="K201" s="2">
        <v>0.0</v>
      </c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>
      <c r="A202" s="2">
        <v>443.0</v>
      </c>
      <c r="B202" s="2">
        <v>1559.0</v>
      </c>
      <c r="C202" s="2">
        <v>34.0</v>
      </c>
      <c r="D202" s="2">
        <v>10134.0</v>
      </c>
      <c r="E202" s="2">
        <v>1.480117171E9</v>
      </c>
      <c r="F202" s="8"/>
      <c r="G202" s="2">
        <v>0.0</v>
      </c>
      <c r="H202" s="2">
        <v>0.0</v>
      </c>
      <c r="I202" s="2" t="s">
        <v>61</v>
      </c>
      <c r="J202" s="2">
        <v>0.0</v>
      </c>
      <c r="K202" s="2">
        <v>0.0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>
      <c r="A203" s="2">
        <v>443.0</v>
      </c>
      <c r="B203" s="2">
        <v>1560.0</v>
      </c>
      <c r="C203" s="2">
        <v>34.0</v>
      </c>
      <c r="D203" s="2">
        <v>10134.0</v>
      </c>
      <c r="E203" s="2">
        <v>1.480117197E9</v>
      </c>
      <c r="F203" s="8"/>
      <c r="G203" s="2">
        <v>0.0</v>
      </c>
      <c r="H203" s="2">
        <v>0.0</v>
      </c>
      <c r="I203" s="2" t="s">
        <v>61</v>
      </c>
      <c r="J203" s="2">
        <v>0.0</v>
      </c>
      <c r="K203" s="2">
        <v>0.0</v>
      </c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>
      <c r="A204" s="2">
        <v>443.0</v>
      </c>
      <c r="B204" s="2">
        <v>1566.0</v>
      </c>
      <c r="C204" s="2">
        <v>34.0</v>
      </c>
      <c r="D204" s="2">
        <v>10134.0</v>
      </c>
      <c r="E204" s="2">
        <v>1.480117245E9</v>
      </c>
      <c r="F204" s="8"/>
      <c r="G204" s="2">
        <v>0.0</v>
      </c>
      <c r="H204" s="2">
        <v>0.0</v>
      </c>
      <c r="I204" s="2" t="s">
        <v>61</v>
      </c>
      <c r="J204" s="2">
        <v>0.0</v>
      </c>
      <c r="K204" s="2">
        <v>0.0</v>
      </c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>
      <c r="A205" s="2">
        <v>443.0</v>
      </c>
      <c r="B205" s="2">
        <v>1571.0</v>
      </c>
      <c r="C205" s="2">
        <v>34.0</v>
      </c>
      <c r="D205" s="2">
        <v>10134.0</v>
      </c>
      <c r="E205" s="2">
        <v>1.480117304E9</v>
      </c>
      <c r="F205" s="8"/>
      <c r="G205" s="2">
        <v>0.0</v>
      </c>
      <c r="H205" s="2">
        <v>0.0</v>
      </c>
      <c r="I205" s="2" t="s">
        <v>61</v>
      </c>
      <c r="J205" s="2">
        <v>0.0</v>
      </c>
      <c r="K205" s="2">
        <v>0.0</v>
      </c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>
      <c r="A206" s="2">
        <v>443.0</v>
      </c>
      <c r="B206" s="2">
        <v>1574.0</v>
      </c>
      <c r="C206" s="2">
        <v>34.0</v>
      </c>
      <c r="D206" s="2">
        <v>10134.0</v>
      </c>
      <c r="E206" s="2">
        <v>1.480117331E9</v>
      </c>
      <c r="F206" s="8"/>
      <c r="G206" s="2">
        <v>0.0</v>
      </c>
      <c r="H206" s="2">
        <v>0.0</v>
      </c>
      <c r="I206" s="2" t="s">
        <v>61</v>
      </c>
      <c r="J206" s="2">
        <v>0.0</v>
      </c>
      <c r="K206" s="2">
        <v>0.0</v>
      </c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>
      <c r="A207" s="2">
        <v>443.0</v>
      </c>
      <c r="B207" s="2">
        <v>1590.0</v>
      </c>
      <c r="C207" s="2">
        <v>34.0</v>
      </c>
      <c r="D207" s="2">
        <v>10134.0</v>
      </c>
      <c r="E207" s="2">
        <v>1.480117525E9</v>
      </c>
      <c r="F207" s="8"/>
      <c r="G207" s="2">
        <v>0.0</v>
      </c>
      <c r="H207" s="2">
        <v>0.0</v>
      </c>
      <c r="I207" s="2" t="s">
        <v>61</v>
      </c>
      <c r="J207" s="2">
        <v>0.0</v>
      </c>
      <c r="K207" s="2">
        <v>0.0</v>
      </c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>
      <c r="A208" s="2">
        <v>443.0</v>
      </c>
      <c r="B208" s="2">
        <v>1593.0</v>
      </c>
      <c r="C208" s="2">
        <v>34.0</v>
      </c>
      <c r="D208" s="2">
        <v>10134.0</v>
      </c>
      <c r="E208" s="2">
        <v>1.480117591E9</v>
      </c>
      <c r="F208" s="8"/>
      <c r="G208" s="2">
        <v>0.0</v>
      </c>
      <c r="H208" s="2">
        <v>0.0</v>
      </c>
      <c r="I208" s="2" t="s">
        <v>61</v>
      </c>
      <c r="J208" s="2">
        <v>0.0</v>
      </c>
      <c r="K208" s="2">
        <v>0.0</v>
      </c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>
      <c r="A209" s="2">
        <v>443.0</v>
      </c>
      <c r="B209" s="2">
        <v>1597.0</v>
      </c>
      <c r="C209" s="2">
        <v>34.0</v>
      </c>
      <c r="D209" s="2">
        <v>10134.0</v>
      </c>
      <c r="E209" s="2">
        <v>1.480117629E9</v>
      </c>
      <c r="F209" s="8"/>
      <c r="G209" s="2">
        <v>0.0</v>
      </c>
      <c r="H209" s="2">
        <v>1.480117658E9</v>
      </c>
      <c r="I209" s="2">
        <v>4.0</v>
      </c>
      <c r="J209" s="2">
        <v>0.0</v>
      </c>
      <c r="K209" s="2">
        <v>0.0</v>
      </c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>
      <c r="A210" s="2">
        <v>443.0</v>
      </c>
      <c r="B210" s="2">
        <v>1618.0</v>
      </c>
      <c r="C210" s="2">
        <v>34.0</v>
      </c>
      <c r="D210" s="2">
        <v>10134.0</v>
      </c>
      <c r="E210" s="2">
        <v>1.480117945E9</v>
      </c>
      <c r="F210" s="8"/>
      <c r="G210" s="2">
        <v>0.0</v>
      </c>
      <c r="H210" s="2">
        <v>0.0</v>
      </c>
      <c r="I210" s="2" t="s">
        <v>61</v>
      </c>
      <c r="J210" s="2">
        <v>0.0</v>
      </c>
      <c r="K210" s="2">
        <v>0.0</v>
      </c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>
      <c r="A211" s="2">
        <v>443.0</v>
      </c>
      <c r="B211" s="2">
        <v>1625.0</v>
      </c>
      <c r="C211" s="2">
        <v>34.0</v>
      </c>
      <c r="D211" s="2">
        <v>10134.0</v>
      </c>
      <c r="E211" s="2">
        <v>1.480117996E9</v>
      </c>
      <c r="F211" s="8"/>
      <c r="G211" s="2">
        <v>0.0</v>
      </c>
      <c r="H211" s="2">
        <v>0.0</v>
      </c>
      <c r="I211" s="2" t="s">
        <v>61</v>
      </c>
      <c r="J211" s="2">
        <v>0.0</v>
      </c>
      <c r="K211" s="2">
        <v>0.0</v>
      </c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>
      <c r="A212" s="2">
        <v>443.0</v>
      </c>
      <c r="B212" s="2">
        <v>1629.0</v>
      </c>
      <c r="C212" s="2">
        <v>34.0</v>
      </c>
      <c r="D212" s="2">
        <v>10134.0</v>
      </c>
      <c r="E212" s="2">
        <v>1.480118035E9</v>
      </c>
      <c r="F212" s="8"/>
      <c r="G212" s="2">
        <v>0.0</v>
      </c>
      <c r="H212" s="2">
        <v>0.0</v>
      </c>
      <c r="I212" s="2" t="s">
        <v>61</v>
      </c>
      <c r="J212" s="2">
        <v>0.0</v>
      </c>
      <c r="K212" s="2">
        <v>0.0</v>
      </c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>
      <c r="A213" s="2">
        <v>443.0</v>
      </c>
      <c r="B213" s="2">
        <v>1632.0</v>
      </c>
      <c r="C213" s="2">
        <v>34.0</v>
      </c>
      <c r="D213" s="2">
        <v>10134.0</v>
      </c>
      <c r="E213" s="2">
        <v>1.480118086E9</v>
      </c>
      <c r="F213" s="8"/>
      <c r="G213" s="2">
        <v>0.0</v>
      </c>
      <c r="H213" s="2">
        <v>0.0</v>
      </c>
      <c r="I213" s="2" t="s">
        <v>61</v>
      </c>
      <c r="J213" s="2">
        <v>0.0</v>
      </c>
      <c r="K213" s="2">
        <v>0.0</v>
      </c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>
      <c r="A214" s="2">
        <v>443.0</v>
      </c>
      <c r="B214" s="2">
        <v>1634.0</v>
      </c>
      <c r="C214" s="2">
        <v>34.0</v>
      </c>
      <c r="D214" s="2">
        <v>10134.0</v>
      </c>
      <c r="E214" s="2">
        <v>1.480118098E9</v>
      </c>
      <c r="F214" s="8"/>
      <c r="G214" s="2">
        <v>0.0</v>
      </c>
      <c r="H214" s="2">
        <v>1.480118169E9</v>
      </c>
      <c r="I214" s="2">
        <v>8.0</v>
      </c>
      <c r="J214" s="2">
        <v>0.0</v>
      </c>
      <c r="K214" s="2">
        <v>0.0</v>
      </c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>
      <c r="A215" s="2">
        <v>443.0</v>
      </c>
      <c r="B215" s="2">
        <v>1639.0</v>
      </c>
      <c r="C215" s="2">
        <v>34.0</v>
      </c>
      <c r="D215" s="2">
        <v>10134.0</v>
      </c>
      <c r="E215" s="2">
        <v>1.480118188E9</v>
      </c>
      <c r="F215" s="8"/>
      <c r="G215" s="2">
        <v>0.0</v>
      </c>
      <c r="H215" s="2">
        <v>0.0</v>
      </c>
      <c r="I215" s="2" t="s">
        <v>61</v>
      </c>
      <c r="J215" s="2">
        <v>0.0</v>
      </c>
      <c r="K215" s="2">
        <v>0.0</v>
      </c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>
      <c r="A216" s="2">
        <v>443.0</v>
      </c>
      <c r="B216" s="2">
        <v>1641.0</v>
      </c>
      <c r="C216" s="2">
        <v>34.0</v>
      </c>
      <c r="D216" s="2">
        <v>10134.0</v>
      </c>
      <c r="E216" s="2">
        <v>1.480118204E9</v>
      </c>
      <c r="F216" s="8"/>
      <c r="G216" s="2">
        <v>0.0</v>
      </c>
      <c r="H216" s="2">
        <v>1.48011821E9</v>
      </c>
      <c r="I216" s="2">
        <v>10.0</v>
      </c>
      <c r="J216" s="2">
        <v>0.0</v>
      </c>
      <c r="K216" s="2">
        <v>0.0</v>
      </c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>
      <c r="A217" s="2">
        <v>443.0</v>
      </c>
      <c r="B217" s="2">
        <v>1487.0</v>
      </c>
      <c r="C217" s="2">
        <v>34.0</v>
      </c>
      <c r="D217" s="2">
        <v>10135.0</v>
      </c>
      <c r="E217" s="2">
        <v>1.480115854E9</v>
      </c>
      <c r="F217" s="8"/>
      <c r="G217" s="2">
        <v>0.0</v>
      </c>
      <c r="H217" s="2">
        <v>0.0</v>
      </c>
      <c r="I217" s="2" t="s">
        <v>61</v>
      </c>
      <c r="J217" s="2">
        <v>0.0</v>
      </c>
      <c r="K217" s="2">
        <v>0.0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>
      <c r="A218" s="2">
        <v>443.0</v>
      </c>
      <c r="B218" s="2">
        <v>1845.0</v>
      </c>
      <c r="C218" s="2">
        <v>34.0</v>
      </c>
      <c r="D218" s="2">
        <v>10135.0</v>
      </c>
      <c r="E218" s="2">
        <v>1.480334668E9</v>
      </c>
      <c r="F218" s="8"/>
      <c r="G218" s="2">
        <v>0.0</v>
      </c>
      <c r="H218" s="2">
        <v>1.480334686E9</v>
      </c>
      <c r="I218" s="2">
        <v>10.0</v>
      </c>
      <c r="J218" s="2">
        <v>0.0</v>
      </c>
      <c r="K218" s="2">
        <v>0.0</v>
      </c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>
      <c r="A219" s="2">
        <v>443.0</v>
      </c>
      <c r="B219" s="2">
        <v>1490.0</v>
      </c>
      <c r="C219" s="2">
        <v>34.0</v>
      </c>
      <c r="D219" s="2">
        <v>10136.0</v>
      </c>
      <c r="E219" s="2">
        <v>1.480116041E9</v>
      </c>
      <c r="F219" s="8"/>
      <c r="G219" s="2">
        <v>0.0</v>
      </c>
      <c r="H219" s="2">
        <v>0.0</v>
      </c>
      <c r="I219" s="2" t="s">
        <v>61</v>
      </c>
      <c r="J219" s="2">
        <v>0.0</v>
      </c>
      <c r="K219" s="2">
        <v>0.0</v>
      </c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>
      <c r="A220" s="2">
        <v>443.0</v>
      </c>
      <c r="B220" s="2">
        <v>1495.0</v>
      </c>
      <c r="C220" s="2">
        <v>34.0</v>
      </c>
      <c r="D220" s="2">
        <v>10136.0</v>
      </c>
      <c r="E220" s="2">
        <v>1.480116126E9</v>
      </c>
      <c r="F220" s="8"/>
      <c r="G220" s="2">
        <v>0.0</v>
      </c>
      <c r="H220" s="2">
        <v>1.480116137E9</v>
      </c>
      <c r="I220" s="2">
        <v>10.0</v>
      </c>
      <c r="J220" s="2">
        <v>0.0</v>
      </c>
      <c r="K220" s="2">
        <v>0.0</v>
      </c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>
      <c r="A221" s="2">
        <v>443.0</v>
      </c>
      <c r="B221" s="2">
        <v>1521.0</v>
      </c>
      <c r="C221" s="2">
        <v>34.0</v>
      </c>
      <c r="D221" s="2">
        <v>10137.0</v>
      </c>
      <c r="E221" s="2">
        <v>1.480116776E9</v>
      </c>
      <c r="F221" s="8"/>
      <c r="G221" s="2">
        <v>0.0</v>
      </c>
      <c r="H221" s="2">
        <v>0.0</v>
      </c>
      <c r="I221" s="2" t="s">
        <v>61</v>
      </c>
      <c r="J221" s="2">
        <v>0.0</v>
      </c>
      <c r="K221" s="2">
        <v>0.0</v>
      </c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>
      <c r="A222" s="2">
        <v>443.0</v>
      </c>
      <c r="B222" s="2">
        <v>1528.0</v>
      </c>
      <c r="C222" s="2">
        <v>34.0</v>
      </c>
      <c r="D222" s="2">
        <v>10137.0</v>
      </c>
      <c r="E222" s="2">
        <v>1.480116851E9</v>
      </c>
      <c r="F222" s="8"/>
      <c r="G222" s="2">
        <v>0.0</v>
      </c>
      <c r="H222" s="2">
        <v>0.0</v>
      </c>
      <c r="I222" s="2" t="s">
        <v>61</v>
      </c>
      <c r="J222" s="2">
        <v>0.0</v>
      </c>
      <c r="K222" s="2">
        <v>0.0</v>
      </c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>
      <c r="A223" s="2">
        <v>443.0</v>
      </c>
      <c r="B223" s="2">
        <v>1532.0</v>
      </c>
      <c r="C223" s="2">
        <v>34.0</v>
      </c>
      <c r="D223" s="2">
        <v>10137.0</v>
      </c>
      <c r="E223" s="2">
        <v>1.480116879E9</v>
      </c>
      <c r="F223" s="8"/>
      <c r="G223" s="2">
        <v>0.0</v>
      </c>
      <c r="H223" s="2">
        <v>0.0</v>
      </c>
      <c r="I223" s="2" t="s">
        <v>61</v>
      </c>
      <c r="J223" s="2">
        <v>0.0</v>
      </c>
      <c r="K223" s="2">
        <v>0.0</v>
      </c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>
      <c r="A224" s="2">
        <v>443.0</v>
      </c>
      <c r="B224" s="2">
        <v>1535.0</v>
      </c>
      <c r="C224" s="2">
        <v>34.0</v>
      </c>
      <c r="D224" s="2">
        <v>10137.0</v>
      </c>
      <c r="E224" s="2">
        <v>1.480116916E9</v>
      </c>
      <c r="F224" s="8"/>
      <c r="G224" s="2">
        <v>0.0</v>
      </c>
      <c r="H224" s="2">
        <v>0.0</v>
      </c>
      <c r="I224" s="2" t="s">
        <v>61</v>
      </c>
      <c r="J224" s="2">
        <v>0.0</v>
      </c>
      <c r="K224" s="2">
        <v>0.0</v>
      </c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>
      <c r="A225" s="2">
        <v>443.0</v>
      </c>
      <c r="B225" s="2">
        <v>1542.0</v>
      </c>
      <c r="C225" s="2">
        <v>34.0</v>
      </c>
      <c r="D225" s="2">
        <v>10137.0</v>
      </c>
      <c r="E225" s="2">
        <v>1.480116983E9</v>
      </c>
      <c r="F225" s="8"/>
      <c r="G225" s="2">
        <v>0.0</v>
      </c>
      <c r="H225" s="2">
        <v>0.0</v>
      </c>
      <c r="I225" s="2" t="s">
        <v>61</v>
      </c>
      <c r="J225" s="2">
        <v>0.0</v>
      </c>
      <c r="K225" s="2">
        <v>0.0</v>
      </c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>
      <c r="A226" s="2">
        <v>443.0</v>
      </c>
      <c r="B226" s="2">
        <v>1549.0</v>
      </c>
      <c r="C226" s="2">
        <v>34.0</v>
      </c>
      <c r="D226" s="2">
        <v>10137.0</v>
      </c>
      <c r="E226" s="2">
        <v>1.480117057E9</v>
      </c>
      <c r="F226" s="8"/>
      <c r="G226" s="2">
        <v>0.0</v>
      </c>
      <c r="H226" s="2">
        <v>0.0</v>
      </c>
      <c r="I226" s="2" t="s">
        <v>61</v>
      </c>
      <c r="J226" s="2">
        <v>0.0</v>
      </c>
      <c r="K226" s="2">
        <v>0.0</v>
      </c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>
      <c r="A227" s="2">
        <v>443.0</v>
      </c>
      <c r="B227" s="2">
        <v>1573.0</v>
      </c>
      <c r="C227" s="2">
        <v>34.0</v>
      </c>
      <c r="D227" s="2">
        <v>10137.0</v>
      </c>
      <c r="E227" s="2">
        <v>1.480117311E9</v>
      </c>
      <c r="F227" s="8"/>
      <c r="G227" s="2">
        <v>0.0</v>
      </c>
      <c r="H227" s="2">
        <v>0.0</v>
      </c>
      <c r="I227" s="2" t="s">
        <v>61</v>
      </c>
      <c r="J227" s="2">
        <v>0.0</v>
      </c>
      <c r="K227" s="2">
        <v>0.0</v>
      </c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>
      <c r="A228" s="2">
        <v>443.0</v>
      </c>
      <c r="B228" s="2">
        <v>1575.0</v>
      </c>
      <c r="C228" s="2">
        <v>34.0</v>
      </c>
      <c r="D228" s="2">
        <v>10137.0</v>
      </c>
      <c r="E228" s="2">
        <v>1.480117334E9</v>
      </c>
      <c r="F228" s="8"/>
      <c r="G228" s="2">
        <v>0.0</v>
      </c>
      <c r="H228" s="2">
        <v>0.0</v>
      </c>
      <c r="I228" s="2" t="s">
        <v>61</v>
      </c>
      <c r="J228" s="2">
        <v>0.0</v>
      </c>
      <c r="K228" s="2">
        <v>0.0</v>
      </c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>
      <c r="A229" s="2">
        <v>443.0</v>
      </c>
      <c r="B229" s="2">
        <v>1592.0</v>
      </c>
      <c r="C229" s="2">
        <v>34.0</v>
      </c>
      <c r="D229" s="2">
        <v>10137.0</v>
      </c>
      <c r="E229" s="2">
        <v>1.480117531E9</v>
      </c>
      <c r="F229" s="8"/>
      <c r="G229" s="2">
        <v>0.0</v>
      </c>
      <c r="H229" s="2">
        <v>0.0</v>
      </c>
      <c r="I229" s="2" t="s">
        <v>61</v>
      </c>
      <c r="J229" s="2">
        <v>0.0</v>
      </c>
      <c r="K229" s="2">
        <v>0.0</v>
      </c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>
      <c r="A230" s="2">
        <v>443.0</v>
      </c>
      <c r="B230" s="2">
        <v>1602.0</v>
      </c>
      <c r="C230" s="2">
        <v>34.0</v>
      </c>
      <c r="D230" s="2">
        <v>10137.0</v>
      </c>
      <c r="E230" s="2">
        <v>1.480117651E9</v>
      </c>
      <c r="F230" s="8"/>
      <c r="G230" s="2">
        <v>0.0</v>
      </c>
      <c r="H230" s="2">
        <v>1.48011767E9</v>
      </c>
      <c r="I230" s="2">
        <v>10.0</v>
      </c>
      <c r="J230" s="2">
        <v>0.0</v>
      </c>
      <c r="K230" s="2">
        <v>0.0</v>
      </c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>
      <c r="A231" s="2">
        <v>443.0</v>
      </c>
      <c r="B231" s="2">
        <v>1486.0</v>
      </c>
      <c r="C231" s="2">
        <v>34.0</v>
      </c>
      <c r="D231" s="2">
        <v>10138.0</v>
      </c>
      <c r="E231" s="2">
        <v>1.480115816E9</v>
      </c>
      <c r="F231" s="8"/>
      <c r="G231" s="2">
        <v>0.0</v>
      </c>
      <c r="H231" s="2">
        <v>1.480115919E9</v>
      </c>
      <c r="I231" s="2">
        <v>10.0</v>
      </c>
      <c r="J231" s="2">
        <v>0.0</v>
      </c>
      <c r="K231" s="2">
        <v>0.0</v>
      </c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>
      <c r="A232" s="2">
        <v>443.0</v>
      </c>
      <c r="B232" s="2">
        <v>1646.0</v>
      </c>
      <c r="C232" s="2">
        <v>34.0</v>
      </c>
      <c r="D232" s="2">
        <v>10139.0</v>
      </c>
      <c r="E232" s="2">
        <v>1.480118273E9</v>
      </c>
      <c r="F232" s="8"/>
      <c r="G232" s="2">
        <v>0.0</v>
      </c>
      <c r="H232" s="2">
        <v>1.480118281E9</v>
      </c>
      <c r="I232" s="2">
        <v>10.0</v>
      </c>
      <c r="J232" s="2">
        <v>0.0</v>
      </c>
      <c r="K232" s="2">
        <v>0.0</v>
      </c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>
      <c r="A233" s="2">
        <v>443.0</v>
      </c>
      <c r="B233" s="2">
        <v>1617.0</v>
      </c>
      <c r="C233" s="2">
        <v>34.0</v>
      </c>
      <c r="D233" s="2">
        <v>10140.0</v>
      </c>
      <c r="E233" s="2">
        <v>1.480117912E9</v>
      </c>
      <c r="F233" s="8"/>
      <c r="G233" s="2">
        <v>0.0</v>
      </c>
      <c r="H233" s="2">
        <v>1.480117922E9</v>
      </c>
      <c r="I233" s="2">
        <v>10.0</v>
      </c>
      <c r="J233" s="2">
        <v>0.0</v>
      </c>
      <c r="K233" s="2">
        <v>0.0</v>
      </c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>
      <c r="A234" s="2">
        <v>443.0</v>
      </c>
      <c r="B234" s="2">
        <v>1605.0</v>
      </c>
      <c r="C234" s="2">
        <v>34.0</v>
      </c>
      <c r="D234" s="2">
        <v>10141.0</v>
      </c>
      <c r="E234" s="2">
        <v>1.480117675E9</v>
      </c>
      <c r="F234" s="8"/>
      <c r="G234" s="2">
        <v>0.0</v>
      </c>
      <c r="H234" s="2">
        <v>1.480117678E9</v>
      </c>
      <c r="I234" s="2">
        <v>8.0</v>
      </c>
      <c r="J234" s="2">
        <v>0.0</v>
      </c>
      <c r="K234" s="2">
        <v>0.0</v>
      </c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>
      <c r="A235" s="2">
        <v>443.0</v>
      </c>
      <c r="B235" s="2">
        <v>1609.0</v>
      </c>
      <c r="C235" s="2">
        <v>34.0</v>
      </c>
      <c r="D235" s="2">
        <v>10141.0</v>
      </c>
      <c r="E235" s="2">
        <v>1.480117743E9</v>
      </c>
      <c r="F235" s="8"/>
      <c r="G235" s="2">
        <v>0.0</v>
      </c>
      <c r="H235" s="2">
        <v>1.480117746E9</v>
      </c>
      <c r="I235" s="2">
        <v>10.0</v>
      </c>
      <c r="J235" s="2">
        <v>0.0</v>
      </c>
      <c r="K235" s="2">
        <v>0.0</v>
      </c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>
      <c r="A236" s="2">
        <v>443.0</v>
      </c>
      <c r="B236" s="2">
        <v>1548.0</v>
      </c>
      <c r="C236" s="2">
        <v>34.0</v>
      </c>
      <c r="D236" s="2">
        <v>10144.0</v>
      </c>
      <c r="E236" s="2">
        <v>1.480117032E9</v>
      </c>
      <c r="F236" s="8"/>
      <c r="G236" s="2">
        <v>0.0</v>
      </c>
      <c r="H236" s="2">
        <v>0.0</v>
      </c>
      <c r="I236" s="2" t="s">
        <v>61</v>
      </c>
      <c r="J236" s="2">
        <v>0.0</v>
      </c>
      <c r="K236" s="2">
        <v>0.0</v>
      </c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>
      <c r="A237" s="2">
        <v>443.0</v>
      </c>
      <c r="B237" s="2">
        <v>1550.0</v>
      </c>
      <c r="C237" s="2">
        <v>34.0</v>
      </c>
      <c r="D237" s="2">
        <v>10144.0</v>
      </c>
      <c r="E237" s="2">
        <v>1.480117076E9</v>
      </c>
      <c r="F237" s="8"/>
      <c r="G237" s="2">
        <v>0.0</v>
      </c>
      <c r="H237" s="2">
        <v>0.0</v>
      </c>
      <c r="I237" s="2" t="s">
        <v>61</v>
      </c>
      <c r="J237" s="2">
        <v>0.0</v>
      </c>
      <c r="K237" s="2">
        <v>0.0</v>
      </c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>
      <c r="A238" s="2">
        <v>443.0</v>
      </c>
      <c r="B238" s="2">
        <v>1561.0</v>
      </c>
      <c r="C238" s="2">
        <v>34.0</v>
      </c>
      <c r="D238" s="2">
        <v>10144.0</v>
      </c>
      <c r="E238" s="2">
        <v>1.4801172E9</v>
      </c>
      <c r="F238" s="8"/>
      <c r="G238" s="2">
        <v>0.0</v>
      </c>
      <c r="H238" s="2">
        <v>1.480117321E9</v>
      </c>
      <c r="I238" s="2">
        <v>10.0</v>
      </c>
      <c r="J238" s="2">
        <v>0.0</v>
      </c>
      <c r="K238" s="2">
        <v>0.0</v>
      </c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>
      <c r="A239" s="2">
        <v>443.0</v>
      </c>
      <c r="B239" s="2">
        <v>1514.0</v>
      </c>
      <c r="C239" s="2">
        <v>34.0</v>
      </c>
      <c r="D239" s="2">
        <v>10145.0</v>
      </c>
      <c r="E239" s="2">
        <v>1.480116724E9</v>
      </c>
      <c r="F239" s="8"/>
      <c r="G239" s="2">
        <v>0.0</v>
      </c>
      <c r="H239" s="2">
        <v>1.480116732E9</v>
      </c>
      <c r="I239" s="2">
        <v>0.0</v>
      </c>
      <c r="J239" s="2">
        <v>0.0</v>
      </c>
      <c r="K239" s="2">
        <v>0.0</v>
      </c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>
      <c r="A240" s="2">
        <v>443.0</v>
      </c>
      <c r="B240" s="2">
        <v>1522.0</v>
      </c>
      <c r="C240" s="2">
        <v>34.0</v>
      </c>
      <c r="D240" s="2">
        <v>10145.0</v>
      </c>
      <c r="E240" s="2">
        <v>1.480116794E9</v>
      </c>
      <c r="F240" s="8"/>
      <c r="G240" s="2">
        <v>0.0</v>
      </c>
      <c r="H240" s="2">
        <v>1.480116796E9</v>
      </c>
      <c r="I240" s="2">
        <v>10.0</v>
      </c>
      <c r="J240" s="2">
        <v>0.0</v>
      </c>
      <c r="K240" s="2">
        <v>0.0</v>
      </c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>
      <c r="A241" s="2">
        <v>443.0</v>
      </c>
      <c r="B241" s="2">
        <v>1496.0</v>
      </c>
      <c r="C241" s="2">
        <v>34.0</v>
      </c>
      <c r="D241" s="2">
        <v>10146.0</v>
      </c>
      <c r="E241" s="2">
        <v>1.480116262E9</v>
      </c>
      <c r="F241" s="8"/>
      <c r="G241" s="2">
        <v>0.0</v>
      </c>
      <c r="H241" s="2">
        <v>0.0</v>
      </c>
      <c r="I241" s="2" t="s">
        <v>61</v>
      </c>
      <c r="J241" s="2">
        <v>0.0</v>
      </c>
      <c r="K241" s="2">
        <v>0.0</v>
      </c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>
      <c r="A242" s="2">
        <v>443.0</v>
      </c>
      <c r="B242" s="2">
        <v>1499.0</v>
      </c>
      <c r="C242" s="2">
        <v>34.0</v>
      </c>
      <c r="D242" s="2">
        <v>10146.0</v>
      </c>
      <c r="E242" s="2">
        <v>1.480116328E9</v>
      </c>
      <c r="F242" s="8"/>
      <c r="G242" s="2">
        <v>0.0</v>
      </c>
      <c r="H242" s="2">
        <v>0.0</v>
      </c>
      <c r="I242" s="2" t="s">
        <v>61</v>
      </c>
      <c r="J242" s="2">
        <v>0.0</v>
      </c>
      <c r="K242" s="2">
        <v>0.0</v>
      </c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>
      <c r="A243" s="2">
        <v>443.0</v>
      </c>
      <c r="B243" s="2">
        <v>1509.0</v>
      </c>
      <c r="C243" s="2">
        <v>34.0</v>
      </c>
      <c r="D243" s="2">
        <v>10146.0</v>
      </c>
      <c r="E243" s="2">
        <v>1.480116622E9</v>
      </c>
      <c r="F243" s="8"/>
      <c r="G243" s="2">
        <v>0.0</v>
      </c>
      <c r="H243" s="2">
        <v>1.480116624E9</v>
      </c>
      <c r="I243" s="2">
        <v>10.0</v>
      </c>
      <c r="J243" s="2">
        <v>0.0</v>
      </c>
      <c r="K243" s="2">
        <v>0.0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>
      <c r="A244" s="2">
        <v>443.0</v>
      </c>
      <c r="B244" s="2">
        <v>1613.0</v>
      </c>
      <c r="C244" s="2">
        <v>34.0</v>
      </c>
      <c r="D244" s="2">
        <v>10148.0</v>
      </c>
      <c r="E244" s="2">
        <v>1.480117832E9</v>
      </c>
      <c r="F244" s="8"/>
      <c r="G244" s="2">
        <v>0.0</v>
      </c>
      <c r="H244" s="2">
        <v>1.480117931E9</v>
      </c>
      <c r="I244" s="2">
        <v>10.0</v>
      </c>
      <c r="J244" s="2">
        <v>0.0</v>
      </c>
      <c r="K244" s="2">
        <v>0.0</v>
      </c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>
      <c r="A245" s="2">
        <v>443.0</v>
      </c>
      <c r="B245" s="2">
        <v>1626.0</v>
      </c>
      <c r="C245" s="2">
        <v>34.0</v>
      </c>
      <c r="D245" s="2">
        <v>10148.0</v>
      </c>
      <c r="E245" s="2">
        <v>1.480117997E9</v>
      </c>
      <c r="F245" s="8"/>
      <c r="G245" s="2">
        <v>0.0</v>
      </c>
      <c r="H245" s="2">
        <v>0.0</v>
      </c>
      <c r="I245" s="2" t="s">
        <v>61</v>
      </c>
      <c r="J245" s="2">
        <v>0.0</v>
      </c>
      <c r="K245" s="2">
        <v>0.0</v>
      </c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>
      <c r="A246" s="2">
        <v>443.0</v>
      </c>
      <c r="B246" s="2">
        <v>1628.0</v>
      </c>
      <c r="C246" s="2">
        <v>34.0</v>
      </c>
      <c r="D246" s="2">
        <v>10148.0</v>
      </c>
      <c r="E246" s="2">
        <v>1.480118001E9</v>
      </c>
      <c r="F246" s="8"/>
      <c r="G246" s="2">
        <v>0.0</v>
      </c>
      <c r="H246" s="2">
        <v>1.480118014E9</v>
      </c>
      <c r="I246" s="2">
        <v>10.0</v>
      </c>
      <c r="J246" s="2">
        <v>0.0</v>
      </c>
      <c r="K246" s="2">
        <v>0.0</v>
      </c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>
      <c r="A247" s="2">
        <v>443.0</v>
      </c>
      <c r="B247" s="2">
        <v>1589.0</v>
      </c>
      <c r="C247" s="2">
        <v>34.0</v>
      </c>
      <c r="D247" s="2">
        <v>10149.0</v>
      </c>
      <c r="E247" s="2">
        <v>1.4801175E9</v>
      </c>
      <c r="F247" s="8"/>
      <c r="G247" s="2">
        <v>0.0</v>
      </c>
      <c r="H247" s="2">
        <v>1.480117503E9</v>
      </c>
      <c r="I247" s="2">
        <v>10.0</v>
      </c>
      <c r="J247" s="2">
        <v>0.0</v>
      </c>
      <c r="K247" s="2">
        <v>0.0</v>
      </c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>
      <c r="A248" s="2">
        <v>443.0</v>
      </c>
      <c r="B248" s="2">
        <v>1513.0</v>
      </c>
      <c r="C248" s="2">
        <v>34.0</v>
      </c>
      <c r="D248" s="2">
        <v>10152.0</v>
      </c>
      <c r="E248" s="2">
        <v>1.480116712E9</v>
      </c>
      <c r="F248" s="8"/>
      <c r="G248" s="2">
        <v>0.0</v>
      </c>
      <c r="H248" s="2">
        <v>1.480116732E9</v>
      </c>
      <c r="I248" s="2">
        <v>10.0</v>
      </c>
      <c r="J248" s="2">
        <v>0.0</v>
      </c>
      <c r="K248" s="2">
        <v>0.0</v>
      </c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>
      <c r="A249" s="2">
        <v>443.0</v>
      </c>
      <c r="B249" s="2">
        <v>1798.0</v>
      </c>
      <c r="C249" s="2">
        <v>34.0</v>
      </c>
      <c r="D249" s="2">
        <v>10153.0</v>
      </c>
      <c r="E249" s="2">
        <v>1.480266746E9</v>
      </c>
      <c r="F249" s="8"/>
      <c r="G249" s="2">
        <v>0.0</v>
      </c>
      <c r="H249" s="2">
        <v>1.480266795E9</v>
      </c>
      <c r="I249" s="2">
        <v>0.0</v>
      </c>
      <c r="J249" s="2">
        <v>0.0</v>
      </c>
      <c r="K249" s="2">
        <v>0.0</v>
      </c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>
      <c r="A250" s="2">
        <v>443.0</v>
      </c>
      <c r="B250" s="2">
        <v>1799.0</v>
      </c>
      <c r="C250" s="2">
        <v>34.0</v>
      </c>
      <c r="D250" s="2">
        <v>10153.0</v>
      </c>
      <c r="E250" s="2">
        <v>1.480266844E9</v>
      </c>
      <c r="F250" s="8"/>
      <c r="G250" s="2">
        <v>0.0</v>
      </c>
      <c r="H250" s="2">
        <v>1.480266858E9</v>
      </c>
      <c r="I250" s="2">
        <v>0.0</v>
      </c>
      <c r="J250" s="2">
        <v>0.0</v>
      </c>
      <c r="K250" s="2">
        <v>0.0</v>
      </c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>
      <c r="A251" s="2">
        <v>443.0</v>
      </c>
      <c r="B251" s="2">
        <v>1800.0</v>
      </c>
      <c r="C251" s="2">
        <v>34.0</v>
      </c>
      <c r="D251" s="2">
        <v>10153.0</v>
      </c>
      <c r="E251" s="2">
        <v>1.480266864E9</v>
      </c>
      <c r="F251" s="8"/>
      <c r="G251" s="2">
        <v>0.0</v>
      </c>
      <c r="H251" s="2">
        <v>0.0</v>
      </c>
      <c r="I251" s="2" t="s">
        <v>61</v>
      </c>
      <c r="J251" s="2">
        <v>0.0</v>
      </c>
      <c r="K251" s="2">
        <v>0.0</v>
      </c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>
      <c r="A252" s="2">
        <v>443.0</v>
      </c>
      <c r="B252" s="2">
        <v>1801.0</v>
      </c>
      <c r="C252" s="2">
        <v>34.0</v>
      </c>
      <c r="D252" s="2">
        <v>10153.0</v>
      </c>
      <c r="E252" s="2">
        <v>1.480266905E9</v>
      </c>
      <c r="F252" s="8"/>
      <c r="G252" s="2">
        <v>0.0</v>
      </c>
      <c r="H252" s="2">
        <v>1.480266919E9</v>
      </c>
      <c r="I252" s="2">
        <v>10.0</v>
      </c>
      <c r="J252" s="2">
        <v>0.0</v>
      </c>
      <c r="K252" s="2">
        <v>0.0</v>
      </c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>
      <c r="A253" s="2">
        <v>443.0</v>
      </c>
      <c r="B253" s="2">
        <v>1793.0</v>
      </c>
      <c r="C253" s="2">
        <v>34.0</v>
      </c>
      <c r="D253" s="2">
        <v>10158.0</v>
      </c>
      <c r="E253" s="2">
        <v>1.480180276E9</v>
      </c>
      <c r="F253" s="8"/>
      <c r="G253" s="2">
        <v>0.0</v>
      </c>
      <c r="H253" s="2">
        <v>0.0</v>
      </c>
      <c r="I253" s="2" t="s">
        <v>61</v>
      </c>
      <c r="J253" s="2">
        <v>0.0</v>
      </c>
      <c r="K253" s="2">
        <v>0.0</v>
      </c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>
      <c r="A254" s="2">
        <v>443.0</v>
      </c>
      <c r="B254" s="2">
        <v>1794.0</v>
      </c>
      <c r="C254" s="2">
        <v>34.0</v>
      </c>
      <c r="D254" s="2">
        <v>10158.0</v>
      </c>
      <c r="E254" s="2">
        <v>1.48018032E9</v>
      </c>
      <c r="F254" s="8"/>
      <c r="G254" s="2">
        <v>0.0</v>
      </c>
      <c r="H254" s="2">
        <v>1.480180322E9</v>
      </c>
      <c r="I254" s="2">
        <v>10.0</v>
      </c>
      <c r="J254" s="2">
        <v>0.0</v>
      </c>
      <c r="K254" s="2">
        <v>0.0</v>
      </c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>
      <c r="A255" s="2">
        <v>443.0</v>
      </c>
      <c r="B255" s="2">
        <v>1868.0</v>
      </c>
      <c r="C255" s="2">
        <v>34.0</v>
      </c>
      <c r="D255" s="2">
        <v>10166.0</v>
      </c>
      <c r="E255" s="2">
        <v>1.481422183E9</v>
      </c>
      <c r="F255" s="9" t="s">
        <v>66</v>
      </c>
      <c r="G255" s="2">
        <v>0.0</v>
      </c>
      <c r="H255" s="2">
        <v>0.0</v>
      </c>
      <c r="I255" s="2" t="s">
        <v>61</v>
      </c>
      <c r="J255" s="2">
        <v>0.0</v>
      </c>
      <c r="K255" s="2">
        <v>0.0</v>
      </c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>
      <c r="A256" s="2">
        <v>443.0</v>
      </c>
      <c r="B256" s="2">
        <v>1872.0</v>
      </c>
      <c r="C256" s="2">
        <v>34.0</v>
      </c>
      <c r="D256" s="2">
        <v>10167.0</v>
      </c>
      <c r="E256" s="2">
        <v>1.481589985E9</v>
      </c>
      <c r="F256" s="8"/>
      <c r="G256" s="2">
        <v>0.0</v>
      </c>
      <c r="H256" s="2">
        <v>1.481590005E9</v>
      </c>
      <c r="I256" s="2">
        <v>10.0</v>
      </c>
      <c r="J256" s="2">
        <v>0.0</v>
      </c>
      <c r="K256" s="2">
        <v>0.0</v>
      </c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>
      <c r="A257" s="2">
        <v>444.0</v>
      </c>
      <c r="B257" s="2">
        <v>1596.0</v>
      </c>
      <c r="C257" s="2">
        <v>35.0</v>
      </c>
      <c r="D257" s="2">
        <v>10116.0</v>
      </c>
      <c r="E257" s="2">
        <v>1.480117623E9</v>
      </c>
      <c r="F257" s="8"/>
      <c r="G257" s="2">
        <v>0.0</v>
      </c>
      <c r="H257" s="2">
        <v>0.0</v>
      </c>
      <c r="I257" s="2" t="s">
        <v>61</v>
      </c>
      <c r="J257" s="2">
        <v>0.0</v>
      </c>
      <c r="K257" s="2">
        <v>0.0</v>
      </c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>
      <c r="A258" s="2">
        <v>444.0</v>
      </c>
      <c r="B258" s="2">
        <v>1603.0</v>
      </c>
      <c r="C258" s="2">
        <v>35.0</v>
      </c>
      <c r="D258" s="2">
        <v>10116.0</v>
      </c>
      <c r="E258" s="2">
        <v>1.480117669E9</v>
      </c>
      <c r="F258" s="8"/>
      <c r="G258" s="2">
        <v>0.0</v>
      </c>
      <c r="H258" s="2">
        <v>0.0</v>
      </c>
      <c r="I258" s="2" t="s">
        <v>61</v>
      </c>
      <c r="J258" s="2">
        <v>0.0</v>
      </c>
      <c r="K258" s="2">
        <v>0.0</v>
      </c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>
      <c r="A259" s="2">
        <v>444.0</v>
      </c>
      <c r="B259" s="2">
        <v>1614.0</v>
      </c>
      <c r="C259" s="2">
        <v>35.0</v>
      </c>
      <c r="D259" s="2">
        <v>10116.0</v>
      </c>
      <c r="E259" s="2">
        <v>1.480117856E9</v>
      </c>
      <c r="F259" s="8"/>
      <c r="G259" s="2">
        <v>0.0</v>
      </c>
      <c r="H259" s="2">
        <v>0.0</v>
      </c>
      <c r="I259" s="2" t="s">
        <v>61</v>
      </c>
      <c r="J259" s="2">
        <v>0.0</v>
      </c>
      <c r="K259" s="2">
        <v>0.0</v>
      </c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>
      <c r="A260" s="2">
        <v>444.0</v>
      </c>
      <c r="B260" s="2">
        <v>1627.0</v>
      </c>
      <c r="C260" s="2">
        <v>35.0</v>
      </c>
      <c r="D260" s="2">
        <v>10116.0</v>
      </c>
      <c r="E260" s="2">
        <v>1.480117999E9</v>
      </c>
      <c r="F260" s="8"/>
      <c r="G260" s="2">
        <v>0.0</v>
      </c>
      <c r="H260" s="2">
        <v>0.0</v>
      </c>
      <c r="I260" s="2" t="s">
        <v>61</v>
      </c>
      <c r="J260" s="2">
        <v>0.0</v>
      </c>
      <c r="K260" s="2">
        <v>0.0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>
      <c r="A261" s="2">
        <v>444.0</v>
      </c>
      <c r="B261" s="2">
        <v>1635.0</v>
      </c>
      <c r="C261" s="2">
        <v>35.0</v>
      </c>
      <c r="D261" s="2">
        <v>10116.0</v>
      </c>
      <c r="E261" s="2">
        <v>1.48011811E9</v>
      </c>
      <c r="F261" s="8"/>
      <c r="G261" s="2">
        <v>0.0</v>
      </c>
      <c r="H261" s="2">
        <v>0.0</v>
      </c>
      <c r="I261" s="2" t="s">
        <v>61</v>
      </c>
      <c r="J261" s="2">
        <v>0.0</v>
      </c>
      <c r="K261" s="2">
        <v>0.0</v>
      </c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>
      <c r="A262" s="2">
        <v>444.0</v>
      </c>
      <c r="B262" s="2">
        <v>1638.0</v>
      </c>
      <c r="C262" s="2">
        <v>35.0</v>
      </c>
      <c r="D262" s="2">
        <v>10116.0</v>
      </c>
      <c r="E262" s="2">
        <v>1.480118147E9</v>
      </c>
      <c r="F262" s="8"/>
      <c r="G262" s="2">
        <v>0.0</v>
      </c>
      <c r="H262" s="2">
        <v>0.0</v>
      </c>
      <c r="I262" s="2" t="s">
        <v>61</v>
      </c>
      <c r="J262" s="2">
        <v>0.0</v>
      </c>
      <c r="K262" s="2">
        <v>0.0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>
      <c r="A263" s="2">
        <v>444.0</v>
      </c>
      <c r="B263" s="2">
        <v>1642.0</v>
      </c>
      <c r="C263" s="2">
        <v>35.0</v>
      </c>
      <c r="D263" s="2">
        <v>10116.0</v>
      </c>
      <c r="E263" s="2">
        <v>1.480118213E9</v>
      </c>
      <c r="F263" s="8"/>
      <c r="G263" s="2">
        <v>0.0</v>
      </c>
      <c r="H263" s="2">
        <v>0.0</v>
      </c>
      <c r="I263" s="2" t="s">
        <v>61</v>
      </c>
      <c r="J263" s="2">
        <v>0.0</v>
      </c>
      <c r="K263" s="2">
        <v>0.0</v>
      </c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>
      <c r="A264" s="2">
        <v>444.0</v>
      </c>
      <c r="B264" s="2">
        <v>1645.0</v>
      </c>
      <c r="C264" s="2">
        <v>35.0</v>
      </c>
      <c r="D264" s="2">
        <v>10116.0</v>
      </c>
      <c r="E264" s="2">
        <v>1.480118268E9</v>
      </c>
      <c r="F264" s="8"/>
      <c r="G264" s="2">
        <v>0.0</v>
      </c>
      <c r="H264" s="2">
        <v>0.0</v>
      </c>
      <c r="I264" s="2" t="s">
        <v>61</v>
      </c>
      <c r="J264" s="2">
        <v>0.0</v>
      </c>
      <c r="K264" s="2">
        <v>0.0</v>
      </c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>
      <c r="A265" s="2">
        <v>444.0</v>
      </c>
      <c r="B265" s="2">
        <v>1683.0</v>
      </c>
      <c r="C265" s="2">
        <v>35.0</v>
      </c>
      <c r="D265" s="2">
        <v>10116.0</v>
      </c>
      <c r="E265" s="2">
        <v>1.480119134E9</v>
      </c>
      <c r="F265" s="8"/>
      <c r="G265" s="2">
        <v>0.0</v>
      </c>
      <c r="H265" s="2">
        <v>1.480119143E9</v>
      </c>
      <c r="I265" s="2">
        <v>10.0</v>
      </c>
      <c r="J265" s="2">
        <v>0.0</v>
      </c>
      <c r="K265" s="2">
        <v>0.0</v>
      </c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>
      <c r="A266" s="2">
        <v>444.0</v>
      </c>
      <c r="B266" s="2">
        <v>1650.0</v>
      </c>
      <c r="C266" s="2">
        <v>35.0</v>
      </c>
      <c r="D266" s="2">
        <v>10120.0</v>
      </c>
      <c r="E266" s="2">
        <v>1.480118414E9</v>
      </c>
      <c r="F266" s="8"/>
      <c r="G266" s="2">
        <v>0.0</v>
      </c>
      <c r="H266" s="2">
        <v>1.480118418E9</v>
      </c>
      <c r="I266" s="2">
        <v>10.0</v>
      </c>
      <c r="J266" s="2">
        <v>0.0</v>
      </c>
      <c r="K266" s="2">
        <v>0.0</v>
      </c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>
      <c r="A267" s="2">
        <v>444.0</v>
      </c>
      <c r="B267" s="2">
        <v>1858.0</v>
      </c>
      <c r="C267" s="2">
        <v>35.0</v>
      </c>
      <c r="D267" s="2">
        <v>10120.0</v>
      </c>
      <c r="E267" s="2">
        <v>1.480699159E9</v>
      </c>
      <c r="F267" s="8"/>
      <c r="G267" s="2">
        <v>0.0</v>
      </c>
      <c r="H267" s="2">
        <v>1.484754712E9</v>
      </c>
      <c r="I267" s="2">
        <v>10.0</v>
      </c>
      <c r="J267" s="2">
        <v>0.0</v>
      </c>
      <c r="K267" s="2">
        <v>0.0</v>
      </c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>
      <c r="A268" s="2">
        <v>444.0</v>
      </c>
      <c r="B268" s="2">
        <v>1697.0</v>
      </c>
      <c r="C268" s="2">
        <v>35.0</v>
      </c>
      <c r="D268" s="2">
        <v>10121.0</v>
      </c>
      <c r="E268" s="2">
        <v>1.480119428E9</v>
      </c>
      <c r="F268" s="8"/>
      <c r="G268" s="2">
        <v>0.0</v>
      </c>
      <c r="H268" s="2">
        <v>0.0</v>
      </c>
      <c r="I268" s="2" t="s">
        <v>61</v>
      </c>
      <c r="J268" s="2">
        <v>0.0</v>
      </c>
      <c r="K268" s="2">
        <v>0.0</v>
      </c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>
      <c r="A269" s="2">
        <v>444.0</v>
      </c>
      <c r="B269" s="2">
        <v>1701.0</v>
      </c>
      <c r="C269" s="2">
        <v>35.0</v>
      </c>
      <c r="D269" s="2">
        <v>10121.0</v>
      </c>
      <c r="E269" s="2">
        <v>1.48011953E9</v>
      </c>
      <c r="F269" s="8"/>
      <c r="G269" s="2">
        <v>0.0</v>
      </c>
      <c r="H269" s="2">
        <v>0.0</v>
      </c>
      <c r="I269" s="2" t="s">
        <v>61</v>
      </c>
      <c r="J269" s="2">
        <v>0.0</v>
      </c>
      <c r="K269" s="2">
        <v>0.0</v>
      </c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>
      <c r="A270" s="2">
        <v>444.0</v>
      </c>
      <c r="B270" s="2">
        <v>1711.0</v>
      </c>
      <c r="C270" s="2">
        <v>35.0</v>
      </c>
      <c r="D270" s="2">
        <v>10121.0</v>
      </c>
      <c r="E270" s="2">
        <v>1.480119779E9</v>
      </c>
      <c r="F270" s="8"/>
      <c r="G270" s="2">
        <v>0.0</v>
      </c>
      <c r="H270" s="2">
        <v>0.0</v>
      </c>
      <c r="I270" s="2" t="s">
        <v>61</v>
      </c>
      <c r="J270" s="2">
        <v>0.0</v>
      </c>
      <c r="K270" s="2">
        <v>0.0</v>
      </c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>
      <c r="A271" s="2">
        <v>444.0</v>
      </c>
      <c r="B271" s="2">
        <v>1713.0</v>
      </c>
      <c r="C271" s="2">
        <v>35.0</v>
      </c>
      <c r="D271" s="2">
        <v>10121.0</v>
      </c>
      <c r="E271" s="2">
        <v>1.480119812E9</v>
      </c>
      <c r="F271" s="8"/>
      <c r="G271" s="2">
        <v>0.0</v>
      </c>
      <c r="H271" s="2">
        <v>0.0</v>
      </c>
      <c r="I271" s="2" t="s">
        <v>61</v>
      </c>
      <c r="J271" s="2">
        <v>0.0</v>
      </c>
      <c r="K271" s="2">
        <v>0.0</v>
      </c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>
      <c r="A272" s="2">
        <v>444.0</v>
      </c>
      <c r="B272" s="2">
        <v>1720.0</v>
      </c>
      <c r="C272" s="2">
        <v>35.0</v>
      </c>
      <c r="D272" s="2">
        <v>10121.0</v>
      </c>
      <c r="E272" s="2">
        <v>1.480119987E9</v>
      </c>
      <c r="F272" s="8"/>
      <c r="G272" s="2">
        <v>0.0</v>
      </c>
      <c r="H272" s="2">
        <v>0.0</v>
      </c>
      <c r="I272" s="2" t="s">
        <v>61</v>
      </c>
      <c r="J272" s="2">
        <v>0.0</v>
      </c>
      <c r="K272" s="2">
        <v>0.0</v>
      </c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>
      <c r="A273" s="2">
        <v>444.0</v>
      </c>
      <c r="B273" s="2">
        <v>1722.0</v>
      </c>
      <c r="C273" s="2">
        <v>35.0</v>
      </c>
      <c r="D273" s="2">
        <v>10121.0</v>
      </c>
      <c r="E273" s="2">
        <v>1.480120003E9</v>
      </c>
      <c r="F273" s="8"/>
      <c r="G273" s="2">
        <v>0.0</v>
      </c>
      <c r="H273" s="2">
        <v>0.0</v>
      </c>
      <c r="I273" s="2" t="s">
        <v>61</v>
      </c>
      <c r="J273" s="2">
        <v>0.0</v>
      </c>
      <c r="K273" s="2">
        <v>0.0</v>
      </c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>
      <c r="A274" s="2">
        <v>444.0</v>
      </c>
      <c r="B274" s="2">
        <v>1726.0</v>
      </c>
      <c r="C274" s="2">
        <v>35.0</v>
      </c>
      <c r="D274" s="2">
        <v>10121.0</v>
      </c>
      <c r="E274" s="2">
        <v>1.480120082E9</v>
      </c>
      <c r="F274" s="8"/>
      <c r="G274" s="2">
        <v>0.0</v>
      </c>
      <c r="H274" s="2">
        <v>0.0</v>
      </c>
      <c r="I274" s="2" t="s">
        <v>61</v>
      </c>
      <c r="J274" s="2">
        <v>0.0</v>
      </c>
      <c r="K274" s="2">
        <v>0.0</v>
      </c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>
      <c r="A275" s="2">
        <v>444.0</v>
      </c>
      <c r="B275" s="2">
        <v>1739.0</v>
      </c>
      <c r="C275" s="2">
        <v>35.0</v>
      </c>
      <c r="D275" s="2">
        <v>10121.0</v>
      </c>
      <c r="E275" s="2">
        <v>1.480120444E9</v>
      </c>
      <c r="F275" s="8"/>
      <c r="G275" s="2">
        <v>0.0</v>
      </c>
      <c r="H275" s="2">
        <v>0.0</v>
      </c>
      <c r="I275" s="2" t="s">
        <v>61</v>
      </c>
      <c r="J275" s="2">
        <v>0.0</v>
      </c>
      <c r="K275" s="2">
        <v>0.0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>
      <c r="A276" s="2">
        <v>444.0</v>
      </c>
      <c r="B276" s="2">
        <v>1744.0</v>
      </c>
      <c r="C276" s="2">
        <v>35.0</v>
      </c>
      <c r="D276" s="2">
        <v>10121.0</v>
      </c>
      <c r="E276" s="2">
        <v>1.480120558E9</v>
      </c>
      <c r="F276" s="8"/>
      <c r="G276" s="2">
        <v>0.0</v>
      </c>
      <c r="H276" s="2">
        <v>0.0</v>
      </c>
      <c r="I276" s="2" t="s">
        <v>61</v>
      </c>
      <c r="J276" s="2">
        <v>0.0</v>
      </c>
      <c r="K276" s="2">
        <v>0.0</v>
      </c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>
      <c r="A277" s="2">
        <v>444.0</v>
      </c>
      <c r="B277" s="2">
        <v>1746.0</v>
      </c>
      <c r="C277" s="2">
        <v>35.0</v>
      </c>
      <c r="D277" s="2">
        <v>10121.0</v>
      </c>
      <c r="E277" s="2">
        <v>1.480120595E9</v>
      </c>
      <c r="F277" s="8"/>
      <c r="G277" s="2">
        <v>0.0</v>
      </c>
      <c r="H277" s="2">
        <v>0.0</v>
      </c>
      <c r="I277" s="2" t="s">
        <v>61</v>
      </c>
      <c r="J277" s="2">
        <v>0.0</v>
      </c>
      <c r="K277" s="2">
        <v>0.0</v>
      </c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>
      <c r="A278" s="2">
        <v>444.0</v>
      </c>
      <c r="B278" s="2">
        <v>1748.0</v>
      </c>
      <c r="C278" s="2">
        <v>35.0</v>
      </c>
      <c r="D278" s="2">
        <v>10121.0</v>
      </c>
      <c r="E278" s="2">
        <v>1.480120838E9</v>
      </c>
      <c r="F278" s="8"/>
      <c r="G278" s="2">
        <v>0.0</v>
      </c>
      <c r="H278" s="2">
        <v>0.0</v>
      </c>
      <c r="I278" s="2" t="s">
        <v>61</v>
      </c>
      <c r="J278" s="2">
        <v>0.0</v>
      </c>
      <c r="K278" s="2">
        <v>0.0</v>
      </c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>
      <c r="A279" s="2">
        <v>444.0</v>
      </c>
      <c r="B279" s="2">
        <v>1633.0</v>
      </c>
      <c r="C279" s="2">
        <v>35.0</v>
      </c>
      <c r="D279" s="2">
        <v>10122.0</v>
      </c>
      <c r="E279" s="2">
        <v>1.48011809E9</v>
      </c>
      <c r="F279" s="8"/>
      <c r="G279" s="2">
        <v>0.0</v>
      </c>
      <c r="H279" s="2">
        <v>1.480118115E9</v>
      </c>
      <c r="I279" s="2">
        <v>10.0</v>
      </c>
      <c r="J279" s="2">
        <v>0.0</v>
      </c>
      <c r="K279" s="2">
        <v>0.0</v>
      </c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>
      <c r="A280" s="2">
        <v>444.0</v>
      </c>
      <c r="B280" s="2">
        <v>1786.0</v>
      </c>
      <c r="C280" s="2">
        <v>35.0</v>
      </c>
      <c r="D280" s="2">
        <v>10126.0</v>
      </c>
      <c r="E280" s="2">
        <v>1.480163543E9</v>
      </c>
      <c r="F280" s="8"/>
      <c r="G280" s="2">
        <v>0.0</v>
      </c>
      <c r="H280" s="2">
        <v>1.480163581E9</v>
      </c>
      <c r="I280" s="2">
        <v>6.0</v>
      </c>
      <c r="J280" s="2">
        <v>0.0</v>
      </c>
      <c r="K280" s="2">
        <v>0.0</v>
      </c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>
      <c r="A281" s="2">
        <v>444.0</v>
      </c>
      <c r="B281" s="2">
        <v>1788.0</v>
      </c>
      <c r="C281" s="2">
        <v>35.0</v>
      </c>
      <c r="D281" s="2">
        <v>10126.0</v>
      </c>
      <c r="E281" s="2">
        <v>1.480163695E9</v>
      </c>
      <c r="F281" s="8"/>
      <c r="G281" s="2">
        <v>0.0</v>
      </c>
      <c r="H281" s="2">
        <v>1.480163703E9</v>
      </c>
      <c r="I281" s="2">
        <v>10.0</v>
      </c>
      <c r="J281" s="2">
        <v>0.0</v>
      </c>
      <c r="K281" s="2">
        <v>0.0</v>
      </c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>
      <c r="A282" s="2">
        <v>444.0</v>
      </c>
      <c r="B282" s="2">
        <v>1715.0</v>
      </c>
      <c r="C282" s="2">
        <v>35.0</v>
      </c>
      <c r="D282" s="2">
        <v>10127.0</v>
      </c>
      <c r="E282" s="2">
        <v>1.48011991E9</v>
      </c>
      <c r="F282" s="8"/>
      <c r="G282" s="2">
        <v>0.0</v>
      </c>
      <c r="H282" s="2">
        <v>0.0</v>
      </c>
      <c r="I282" s="2" t="s">
        <v>61</v>
      </c>
      <c r="J282" s="2">
        <v>0.0</v>
      </c>
      <c r="K282" s="2">
        <v>0.0</v>
      </c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>
      <c r="A283" s="2">
        <v>444.0</v>
      </c>
      <c r="B283" s="2">
        <v>1717.0</v>
      </c>
      <c r="C283" s="2">
        <v>35.0</v>
      </c>
      <c r="D283" s="2">
        <v>10127.0</v>
      </c>
      <c r="E283" s="2">
        <v>1.480119945E9</v>
      </c>
      <c r="F283" s="8"/>
      <c r="G283" s="2">
        <v>0.0</v>
      </c>
      <c r="H283" s="2">
        <v>0.0</v>
      </c>
      <c r="I283" s="2" t="s">
        <v>61</v>
      </c>
      <c r="J283" s="2">
        <v>0.0</v>
      </c>
      <c r="K283" s="2">
        <v>0.0</v>
      </c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>
      <c r="A284" s="2">
        <v>444.0</v>
      </c>
      <c r="B284" s="2">
        <v>1724.0</v>
      </c>
      <c r="C284" s="2">
        <v>35.0</v>
      </c>
      <c r="D284" s="2">
        <v>10127.0</v>
      </c>
      <c r="E284" s="2">
        <v>1.480120023E9</v>
      </c>
      <c r="F284" s="8"/>
      <c r="G284" s="2">
        <v>0.0</v>
      </c>
      <c r="H284" s="2">
        <v>0.0</v>
      </c>
      <c r="I284" s="2" t="s">
        <v>61</v>
      </c>
      <c r="J284" s="2">
        <v>0.0</v>
      </c>
      <c r="K284" s="2">
        <v>0.0</v>
      </c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>
      <c r="A285" s="2">
        <v>444.0</v>
      </c>
      <c r="B285" s="2">
        <v>1729.0</v>
      </c>
      <c r="C285" s="2">
        <v>35.0</v>
      </c>
      <c r="D285" s="2">
        <v>10127.0</v>
      </c>
      <c r="E285" s="2">
        <v>1.480120202E9</v>
      </c>
      <c r="F285" s="8"/>
      <c r="G285" s="2">
        <v>0.0</v>
      </c>
      <c r="H285" s="2">
        <v>0.0</v>
      </c>
      <c r="I285" s="2" t="s">
        <v>61</v>
      </c>
      <c r="J285" s="2">
        <v>0.0</v>
      </c>
      <c r="K285" s="2">
        <v>0.0</v>
      </c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>
      <c r="A286" s="2">
        <v>444.0</v>
      </c>
      <c r="B286" s="2">
        <v>1730.0</v>
      </c>
      <c r="C286" s="2">
        <v>35.0</v>
      </c>
      <c r="D286" s="2">
        <v>10127.0</v>
      </c>
      <c r="E286" s="2">
        <v>1.480120244E9</v>
      </c>
      <c r="F286" s="8"/>
      <c r="G286" s="2">
        <v>0.0</v>
      </c>
      <c r="H286" s="2">
        <v>0.0</v>
      </c>
      <c r="I286" s="2" t="s">
        <v>61</v>
      </c>
      <c r="J286" s="2">
        <v>0.0</v>
      </c>
      <c r="K286" s="2">
        <v>0.0</v>
      </c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>
      <c r="A287" s="2">
        <v>444.0</v>
      </c>
      <c r="B287" s="2">
        <v>1736.0</v>
      </c>
      <c r="C287" s="2">
        <v>35.0</v>
      </c>
      <c r="D287" s="2">
        <v>10127.0</v>
      </c>
      <c r="E287" s="2">
        <v>1.480120391E9</v>
      </c>
      <c r="F287" s="8"/>
      <c r="G287" s="2">
        <v>0.0</v>
      </c>
      <c r="H287" s="2">
        <v>0.0</v>
      </c>
      <c r="I287" s="2" t="s">
        <v>61</v>
      </c>
      <c r="J287" s="2">
        <v>0.0</v>
      </c>
      <c r="K287" s="2">
        <v>0.0</v>
      </c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>
      <c r="A288" s="2">
        <v>444.0</v>
      </c>
      <c r="B288" s="2">
        <v>1740.0</v>
      </c>
      <c r="C288" s="2">
        <v>35.0</v>
      </c>
      <c r="D288" s="2">
        <v>10127.0</v>
      </c>
      <c r="E288" s="2">
        <v>1.48012045E9</v>
      </c>
      <c r="F288" s="8"/>
      <c r="G288" s="2">
        <v>0.0</v>
      </c>
      <c r="H288" s="2">
        <v>0.0</v>
      </c>
      <c r="I288" s="2" t="s">
        <v>61</v>
      </c>
      <c r="J288" s="2">
        <v>0.0</v>
      </c>
      <c r="K288" s="2">
        <v>0.0</v>
      </c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>
      <c r="A289" s="2">
        <v>444.0</v>
      </c>
      <c r="B289" s="2">
        <v>1747.0</v>
      </c>
      <c r="C289" s="2">
        <v>35.0</v>
      </c>
      <c r="D289" s="2">
        <v>10127.0</v>
      </c>
      <c r="E289" s="2">
        <v>1.480120728E9</v>
      </c>
      <c r="F289" s="8"/>
      <c r="G289" s="2">
        <v>0.0</v>
      </c>
      <c r="H289" s="2">
        <v>0.0</v>
      </c>
      <c r="I289" s="2" t="s">
        <v>61</v>
      </c>
      <c r="J289" s="2">
        <v>0.0</v>
      </c>
      <c r="K289" s="2">
        <v>0.0</v>
      </c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>
      <c r="A290" s="2">
        <v>444.0</v>
      </c>
      <c r="B290" s="2">
        <v>1750.0</v>
      </c>
      <c r="C290" s="2">
        <v>35.0</v>
      </c>
      <c r="D290" s="2">
        <v>10127.0</v>
      </c>
      <c r="E290" s="2">
        <v>1.480120906E9</v>
      </c>
      <c r="F290" s="8"/>
      <c r="G290" s="2">
        <v>0.0</v>
      </c>
      <c r="H290" s="2">
        <v>0.0</v>
      </c>
      <c r="I290" s="2" t="s">
        <v>61</v>
      </c>
      <c r="J290" s="2">
        <v>0.0</v>
      </c>
      <c r="K290" s="2">
        <v>0.0</v>
      </c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>
      <c r="A291" s="2">
        <v>444.0</v>
      </c>
      <c r="B291" s="2">
        <v>1624.0</v>
      </c>
      <c r="C291" s="2">
        <v>35.0</v>
      </c>
      <c r="D291" s="2">
        <v>10128.0</v>
      </c>
      <c r="E291" s="2">
        <v>1.480117994E9</v>
      </c>
      <c r="F291" s="8"/>
      <c r="G291" s="2">
        <v>0.0</v>
      </c>
      <c r="H291" s="2">
        <v>1.480117996E9</v>
      </c>
      <c r="I291" s="2">
        <v>2.0</v>
      </c>
      <c r="J291" s="2">
        <v>0.0</v>
      </c>
      <c r="K291" s="2">
        <v>0.0</v>
      </c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>
      <c r="A292" s="2">
        <v>444.0</v>
      </c>
      <c r="B292" s="2">
        <v>1643.0</v>
      </c>
      <c r="C292" s="2">
        <v>35.0</v>
      </c>
      <c r="D292" s="2">
        <v>10128.0</v>
      </c>
      <c r="E292" s="2">
        <v>1.480118224E9</v>
      </c>
      <c r="F292" s="8"/>
      <c r="G292" s="2">
        <v>0.0</v>
      </c>
      <c r="H292" s="2">
        <v>1.480118226E9</v>
      </c>
      <c r="I292" s="2">
        <v>8.0</v>
      </c>
      <c r="J292" s="2">
        <v>0.0</v>
      </c>
      <c r="K292" s="2">
        <v>0.0</v>
      </c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>
      <c r="A293" s="2">
        <v>444.0</v>
      </c>
      <c r="B293" s="2">
        <v>1630.0</v>
      </c>
      <c r="C293" s="2">
        <v>35.0</v>
      </c>
      <c r="D293" s="2">
        <v>10129.0</v>
      </c>
      <c r="E293" s="2">
        <v>1.480118054E9</v>
      </c>
      <c r="F293" s="8"/>
      <c r="G293" s="2">
        <v>0.0</v>
      </c>
      <c r="H293" s="2">
        <v>1.480118066E9</v>
      </c>
      <c r="I293" s="2">
        <v>0.0</v>
      </c>
      <c r="J293" s="2">
        <v>0.0</v>
      </c>
      <c r="K293" s="2">
        <v>0.0</v>
      </c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>
      <c r="A294" s="2">
        <v>444.0</v>
      </c>
      <c r="B294" s="2">
        <v>1647.0</v>
      </c>
      <c r="C294" s="2">
        <v>35.0</v>
      </c>
      <c r="D294" s="2">
        <v>10129.0</v>
      </c>
      <c r="E294" s="2">
        <v>1.480118367E9</v>
      </c>
      <c r="F294" s="8"/>
      <c r="G294" s="2">
        <v>0.0</v>
      </c>
      <c r="H294" s="2">
        <v>1.480118378E9</v>
      </c>
      <c r="I294" s="2">
        <v>0.0</v>
      </c>
      <c r="J294" s="2">
        <v>0.0</v>
      </c>
      <c r="K294" s="2">
        <v>0.0</v>
      </c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>
      <c r="A295" s="2">
        <v>444.0</v>
      </c>
      <c r="B295" s="2">
        <v>1660.0</v>
      </c>
      <c r="C295" s="2">
        <v>35.0</v>
      </c>
      <c r="D295" s="2">
        <v>10129.0</v>
      </c>
      <c r="E295" s="2">
        <v>1.480118609E9</v>
      </c>
      <c r="F295" s="8"/>
      <c r="G295" s="2">
        <v>0.0</v>
      </c>
      <c r="H295" s="2">
        <v>1.480118621E9</v>
      </c>
      <c r="I295" s="2">
        <v>0.0</v>
      </c>
      <c r="J295" s="2">
        <v>0.0</v>
      </c>
      <c r="K295" s="2">
        <v>0.0</v>
      </c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>
      <c r="A296" s="2">
        <v>444.0</v>
      </c>
      <c r="B296" s="2">
        <v>1668.0</v>
      </c>
      <c r="C296" s="2">
        <v>35.0</v>
      </c>
      <c r="D296" s="2">
        <v>10129.0</v>
      </c>
      <c r="E296" s="2">
        <v>1.480118847E9</v>
      </c>
      <c r="F296" s="8"/>
      <c r="G296" s="2">
        <v>0.0</v>
      </c>
      <c r="H296" s="2">
        <v>1.480118857E9</v>
      </c>
      <c r="I296" s="2">
        <v>0.0</v>
      </c>
      <c r="J296" s="2">
        <v>0.0</v>
      </c>
      <c r="K296" s="2">
        <v>0.0</v>
      </c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>
      <c r="A297" s="2">
        <v>444.0</v>
      </c>
      <c r="B297" s="2">
        <v>1678.0</v>
      </c>
      <c r="C297" s="2">
        <v>35.0</v>
      </c>
      <c r="D297" s="2">
        <v>10129.0</v>
      </c>
      <c r="E297" s="2">
        <v>1.480119007E9</v>
      </c>
      <c r="F297" s="8"/>
      <c r="G297" s="2">
        <v>0.0</v>
      </c>
      <c r="H297" s="2">
        <v>1.480119013E9</v>
      </c>
      <c r="I297" s="2">
        <v>0.0</v>
      </c>
      <c r="J297" s="2">
        <v>0.0</v>
      </c>
      <c r="K297" s="2">
        <v>0.0</v>
      </c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>
      <c r="A298" s="2">
        <v>444.0</v>
      </c>
      <c r="B298" s="2">
        <v>1791.0</v>
      </c>
      <c r="C298" s="2">
        <v>35.0</v>
      </c>
      <c r="D298" s="2">
        <v>10129.0</v>
      </c>
      <c r="E298" s="2">
        <v>1.480173589E9</v>
      </c>
      <c r="F298" s="8"/>
      <c r="G298" s="2">
        <v>0.0</v>
      </c>
      <c r="H298" s="2">
        <v>1.480173596E9</v>
      </c>
      <c r="I298" s="2">
        <v>10.0</v>
      </c>
      <c r="J298" s="2">
        <v>0.0</v>
      </c>
      <c r="K298" s="2">
        <v>0.0</v>
      </c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>
      <c r="A299" s="2">
        <v>444.0</v>
      </c>
      <c r="B299" s="2">
        <v>1702.0</v>
      </c>
      <c r="C299" s="2">
        <v>35.0</v>
      </c>
      <c r="D299" s="2">
        <v>10130.0</v>
      </c>
      <c r="E299" s="2">
        <v>1.480119573E9</v>
      </c>
      <c r="F299" s="8"/>
      <c r="G299" s="2">
        <v>0.0</v>
      </c>
      <c r="H299" s="2">
        <v>1.480119577E9</v>
      </c>
      <c r="I299" s="2">
        <v>10.0</v>
      </c>
      <c r="J299" s="2">
        <v>0.0</v>
      </c>
      <c r="K299" s="2">
        <v>0.0</v>
      </c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>
      <c r="A300" s="2">
        <v>444.0</v>
      </c>
      <c r="B300" s="2">
        <v>1682.0</v>
      </c>
      <c r="C300" s="2">
        <v>35.0</v>
      </c>
      <c r="D300" s="2">
        <v>10131.0</v>
      </c>
      <c r="E300" s="2">
        <v>1.480119093E9</v>
      </c>
      <c r="F300" s="8"/>
      <c r="G300" s="2">
        <v>0.0</v>
      </c>
      <c r="H300" s="2">
        <v>1.480119098E9</v>
      </c>
      <c r="I300" s="2">
        <v>10.0</v>
      </c>
      <c r="J300" s="2">
        <v>0.0</v>
      </c>
      <c r="K300" s="2">
        <v>0.0</v>
      </c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>
      <c r="A301" s="2">
        <v>444.0</v>
      </c>
      <c r="B301" s="2">
        <v>1684.0</v>
      </c>
      <c r="C301" s="2">
        <v>35.0</v>
      </c>
      <c r="D301" s="2">
        <v>10131.0</v>
      </c>
      <c r="E301" s="2">
        <v>1.480119172E9</v>
      </c>
      <c r="F301" s="8"/>
      <c r="G301" s="2">
        <v>0.0</v>
      </c>
      <c r="H301" s="2">
        <v>1.480119401E9</v>
      </c>
      <c r="I301" s="2">
        <v>10.0</v>
      </c>
      <c r="J301" s="2">
        <v>0.0</v>
      </c>
      <c r="K301" s="2">
        <v>0.0</v>
      </c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>
      <c r="A302" s="2">
        <v>444.0</v>
      </c>
      <c r="B302" s="2">
        <v>1673.0</v>
      </c>
      <c r="C302" s="2">
        <v>35.0</v>
      </c>
      <c r="D302" s="2">
        <v>10132.0</v>
      </c>
      <c r="E302" s="2">
        <v>1.480118914E9</v>
      </c>
      <c r="F302" s="8"/>
      <c r="G302" s="2">
        <v>0.0</v>
      </c>
      <c r="H302" s="2">
        <v>0.0</v>
      </c>
      <c r="I302" s="2" t="s">
        <v>61</v>
      </c>
      <c r="J302" s="2">
        <v>0.0</v>
      </c>
      <c r="K302" s="2">
        <v>0.0</v>
      </c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>
      <c r="A303" s="2">
        <v>444.0</v>
      </c>
      <c r="B303" s="2">
        <v>1677.0</v>
      </c>
      <c r="C303" s="2">
        <v>35.0</v>
      </c>
      <c r="D303" s="2">
        <v>10132.0</v>
      </c>
      <c r="E303" s="2">
        <v>1.480119004E9</v>
      </c>
      <c r="F303" s="8"/>
      <c r="G303" s="2">
        <v>0.0</v>
      </c>
      <c r="H303" s="2">
        <v>1.480119016E9</v>
      </c>
      <c r="I303" s="2">
        <v>10.0</v>
      </c>
      <c r="J303" s="2">
        <v>0.0</v>
      </c>
      <c r="K303" s="2">
        <v>0.0</v>
      </c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>
      <c r="A304" s="2">
        <v>444.0</v>
      </c>
      <c r="B304" s="2">
        <v>1666.0</v>
      </c>
      <c r="C304" s="2">
        <v>35.0</v>
      </c>
      <c r="D304" s="2">
        <v>10134.0</v>
      </c>
      <c r="E304" s="2">
        <v>1.480118826E9</v>
      </c>
      <c r="F304" s="8"/>
      <c r="G304" s="2">
        <v>0.0</v>
      </c>
      <c r="H304" s="2">
        <v>0.0</v>
      </c>
      <c r="I304" s="2" t="s">
        <v>61</v>
      </c>
      <c r="J304" s="2">
        <v>0.0</v>
      </c>
      <c r="K304" s="2">
        <v>0.0</v>
      </c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>
      <c r="A305" s="2">
        <v>444.0</v>
      </c>
      <c r="B305" s="2">
        <v>1671.0</v>
      </c>
      <c r="C305" s="2">
        <v>35.0</v>
      </c>
      <c r="D305" s="2">
        <v>10134.0</v>
      </c>
      <c r="E305" s="2">
        <v>1.480118873E9</v>
      </c>
      <c r="F305" s="8"/>
      <c r="G305" s="2">
        <v>0.0</v>
      </c>
      <c r="H305" s="2">
        <v>1.480118879E9</v>
      </c>
      <c r="I305" s="2">
        <v>10.0</v>
      </c>
      <c r="J305" s="2">
        <v>0.0</v>
      </c>
      <c r="K305" s="2">
        <v>0.0</v>
      </c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>
      <c r="A306" s="2">
        <v>444.0</v>
      </c>
      <c r="B306" s="2">
        <v>1846.0</v>
      </c>
      <c r="C306" s="2">
        <v>35.0</v>
      </c>
      <c r="D306" s="2">
        <v>10135.0</v>
      </c>
      <c r="E306" s="2">
        <v>1.480335124E9</v>
      </c>
      <c r="F306" s="8"/>
      <c r="G306" s="2">
        <v>0.0</v>
      </c>
      <c r="H306" s="2">
        <v>1.480335143E9</v>
      </c>
      <c r="I306" s="2">
        <v>10.0</v>
      </c>
      <c r="J306" s="2">
        <v>0.0</v>
      </c>
      <c r="K306" s="2">
        <v>0.0</v>
      </c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>
      <c r="A307" s="2">
        <v>444.0</v>
      </c>
      <c r="B307" s="2">
        <v>1557.0</v>
      </c>
      <c r="C307" s="2">
        <v>35.0</v>
      </c>
      <c r="D307" s="2">
        <v>10136.0</v>
      </c>
      <c r="E307" s="2">
        <v>1.480117146E9</v>
      </c>
      <c r="F307" s="8"/>
      <c r="G307" s="2">
        <v>0.0</v>
      </c>
      <c r="H307" s="2">
        <v>0.0</v>
      </c>
      <c r="I307" s="2" t="s">
        <v>61</v>
      </c>
      <c r="J307" s="2">
        <v>0.0</v>
      </c>
      <c r="K307" s="2">
        <v>0.0</v>
      </c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>
      <c r="A308" s="2">
        <v>444.0</v>
      </c>
      <c r="B308" s="2">
        <v>1568.0</v>
      </c>
      <c r="C308" s="2">
        <v>35.0</v>
      </c>
      <c r="D308" s="2">
        <v>10136.0</v>
      </c>
      <c r="E308" s="2">
        <v>1.480117269E9</v>
      </c>
      <c r="F308" s="8"/>
      <c r="G308" s="2">
        <v>0.0</v>
      </c>
      <c r="H308" s="2">
        <v>0.0</v>
      </c>
      <c r="I308" s="2" t="s">
        <v>61</v>
      </c>
      <c r="J308" s="2">
        <v>0.0</v>
      </c>
      <c r="K308" s="2">
        <v>0.0</v>
      </c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>
      <c r="A309" s="2">
        <v>444.0</v>
      </c>
      <c r="B309" s="2">
        <v>1572.0</v>
      </c>
      <c r="C309" s="2">
        <v>35.0</v>
      </c>
      <c r="D309" s="2">
        <v>10136.0</v>
      </c>
      <c r="E309" s="2">
        <v>1.480117306E9</v>
      </c>
      <c r="F309" s="8"/>
      <c r="G309" s="2">
        <v>0.0</v>
      </c>
      <c r="H309" s="2">
        <v>0.0</v>
      </c>
      <c r="I309" s="2" t="s">
        <v>61</v>
      </c>
      <c r="J309" s="2">
        <v>0.0</v>
      </c>
      <c r="K309" s="2">
        <v>0.0</v>
      </c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>
      <c r="A310" s="2">
        <v>444.0</v>
      </c>
      <c r="B310" s="2">
        <v>1578.0</v>
      </c>
      <c r="C310" s="2">
        <v>35.0</v>
      </c>
      <c r="D310" s="2">
        <v>10136.0</v>
      </c>
      <c r="E310" s="2">
        <v>1.48011737E9</v>
      </c>
      <c r="F310" s="8"/>
      <c r="G310" s="2">
        <v>0.0</v>
      </c>
      <c r="H310" s="2">
        <v>0.0</v>
      </c>
      <c r="I310" s="2" t="s">
        <v>61</v>
      </c>
      <c r="J310" s="2">
        <v>0.0</v>
      </c>
      <c r="K310" s="2">
        <v>0.0</v>
      </c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>
      <c r="A311" s="2">
        <v>444.0</v>
      </c>
      <c r="B311" s="2">
        <v>1581.0</v>
      </c>
      <c r="C311" s="2">
        <v>35.0</v>
      </c>
      <c r="D311" s="2">
        <v>10136.0</v>
      </c>
      <c r="E311" s="2">
        <v>1.480117413E9</v>
      </c>
      <c r="F311" s="8"/>
      <c r="G311" s="2">
        <v>0.0</v>
      </c>
      <c r="H311" s="2">
        <v>0.0</v>
      </c>
      <c r="I311" s="2" t="s">
        <v>61</v>
      </c>
      <c r="J311" s="2">
        <v>0.0</v>
      </c>
      <c r="K311" s="2">
        <v>0.0</v>
      </c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>
      <c r="A312" s="2">
        <v>444.0</v>
      </c>
      <c r="B312" s="2">
        <v>1584.0</v>
      </c>
      <c r="C312" s="2">
        <v>35.0</v>
      </c>
      <c r="D312" s="2">
        <v>10136.0</v>
      </c>
      <c r="E312" s="2">
        <v>1.480117457E9</v>
      </c>
      <c r="F312" s="8"/>
      <c r="G312" s="2">
        <v>0.0</v>
      </c>
      <c r="H312" s="2">
        <v>0.0</v>
      </c>
      <c r="I312" s="2" t="s">
        <v>61</v>
      </c>
      <c r="J312" s="2">
        <v>0.0</v>
      </c>
      <c r="K312" s="2">
        <v>0.0</v>
      </c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>
      <c r="A313" s="2">
        <v>444.0</v>
      </c>
      <c r="B313" s="2">
        <v>1588.0</v>
      </c>
      <c r="C313" s="2">
        <v>35.0</v>
      </c>
      <c r="D313" s="2">
        <v>10136.0</v>
      </c>
      <c r="E313" s="2">
        <v>1.480117499E9</v>
      </c>
      <c r="F313" s="8"/>
      <c r="G313" s="2">
        <v>0.0</v>
      </c>
      <c r="H313" s="2">
        <v>0.0</v>
      </c>
      <c r="I313" s="2" t="s">
        <v>61</v>
      </c>
      <c r="J313" s="2">
        <v>0.0</v>
      </c>
      <c r="K313" s="2">
        <v>0.0</v>
      </c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>
      <c r="A314" s="2">
        <v>444.0</v>
      </c>
      <c r="B314" s="2">
        <v>1600.0</v>
      </c>
      <c r="C314" s="2">
        <v>35.0</v>
      </c>
      <c r="D314" s="2">
        <v>10136.0</v>
      </c>
      <c r="E314" s="2">
        <v>1.480117646E9</v>
      </c>
      <c r="F314" s="8"/>
      <c r="G314" s="2">
        <v>0.0</v>
      </c>
      <c r="H314" s="2">
        <v>0.0</v>
      </c>
      <c r="I314" s="2" t="s">
        <v>61</v>
      </c>
      <c r="J314" s="2">
        <v>0.0</v>
      </c>
      <c r="K314" s="2">
        <v>0.0</v>
      </c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>
      <c r="A315" s="2">
        <v>444.0</v>
      </c>
      <c r="B315" s="2">
        <v>1607.0</v>
      </c>
      <c r="C315" s="2">
        <v>35.0</v>
      </c>
      <c r="D315" s="2">
        <v>10136.0</v>
      </c>
      <c r="E315" s="2">
        <v>1.480117701E9</v>
      </c>
      <c r="F315" s="8"/>
      <c r="G315" s="2">
        <v>0.0</v>
      </c>
      <c r="H315" s="2">
        <v>1.480117722E9</v>
      </c>
      <c r="I315" s="2">
        <v>10.0</v>
      </c>
      <c r="J315" s="2">
        <v>0.0</v>
      </c>
      <c r="K315" s="2">
        <v>0.0</v>
      </c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>
      <c r="A316" s="2">
        <v>444.0</v>
      </c>
      <c r="B316" s="2">
        <v>1653.0</v>
      </c>
      <c r="C316" s="2">
        <v>35.0</v>
      </c>
      <c r="D316" s="2">
        <v>10137.0</v>
      </c>
      <c r="E316" s="2">
        <v>1.480118475E9</v>
      </c>
      <c r="F316" s="8"/>
      <c r="G316" s="2">
        <v>0.0</v>
      </c>
      <c r="H316" s="2">
        <v>0.0</v>
      </c>
      <c r="I316" s="2" t="s">
        <v>61</v>
      </c>
      <c r="J316" s="2">
        <v>0.0</v>
      </c>
      <c r="K316" s="2">
        <v>0.0</v>
      </c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>
      <c r="A317" s="2">
        <v>444.0</v>
      </c>
      <c r="B317" s="2">
        <v>1656.0</v>
      </c>
      <c r="C317" s="2">
        <v>35.0</v>
      </c>
      <c r="D317" s="2">
        <v>10137.0</v>
      </c>
      <c r="E317" s="2">
        <v>1.480118511E9</v>
      </c>
      <c r="F317" s="8"/>
      <c r="G317" s="2">
        <v>0.0</v>
      </c>
      <c r="H317" s="2">
        <v>1.480118529E9</v>
      </c>
      <c r="I317" s="2">
        <v>2.0</v>
      </c>
      <c r="J317" s="2">
        <v>0.0</v>
      </c>
      <c r="K317" s="2">
        <v>0.0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>
      <c r="A318" s="2">
        <v>444.0</v>
      </c>
      <c r="B318" s="2">
        <v>1658.0</v>
      </c>
      <c r="C318" s="2">
        <v>35.0</v>
      </c>
      <c r="D318" s="2">
        <v>10137.0</v>
      </c>
      <c r="E318" s="2">
        <v>1.480118575E9</v>
      </c>
      <c r="F318" s="8"/>
      <c r="G318" s="2">
        <v>0.0</v>
      </c>
      <c r="H318" s="2">
        <v>0.0</v>
      </c>
      <c r="I318" s="2" t="s">
        <v>61</v>
      </c>
      <c r="J318" s="2">
        <v>0.0</v>
      </c>
      <c r="K318" s="2">
        <v>0.0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>
      <c r="A319" s="2">
        <v>444.0</v>
      </c>
      <c r="B319" s="2">
        <v>1664.0</v>
      </c>
      <c r="C319" s="2">
        <v>35.0</v>
      </c>
      <c r="D319" s="2">
        <v>10137.0</v>
      </c>
      <c r="E319" s="2">
        <v>1.480118774E9</v>
      </c>
      <c r="F319" s="8"/>
      <c r="G319" s="2">
        <v>0.0</v>
      </c>
      <c r="H319" s="2">
        <v>0.0</v>
      </c>
      <c r="I319" s="2" t="s">
        <v>61</v>
      </c>
      <c r="J319" s="2">
        <v>0.0</v>
      </c>
      <c r="K319" s="2">
        <v>0.0</v>
      </c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>
      <c r="A320" s="2">
        <v>444.0</v>
      </c>
      <c r="B320" s="2">
        <v>1674.0</v>
      </c>
      <c r="C320" s="2">
        <v>35.0</v>
      </c>
      <c r="D320" s="2">
        <v>10137.0</v>
      </c>
      <c r="E320" s="2">
        <v>1.480118917E9</v>
      </c>
      <c r="F320" s="8"/>
      <c r="G320" s="2">
        <v>0.0</v>
      </c>
      <c r="H320" s="2">
        <v>0.0</v>
      </c>
      <c r="I320" s="2" t="s">
        <v>61</v>
      </c>
      <c r="J320" s="2">
        <v>0.0</v>
      </c>
      <c r="K320" s="2">
        <v>0.0</v>
      </c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>
      <c r="A321" s="2">
        <v>444.0</v>
      </c>
      <c r="B321" s="2">
        <v>1680.0</v>
      </c>
      <c r="C321" s="2">
        <v>35.0</v>
      </c>
      <c r="D321" s="2">
        <v>10137.0</v>
      </c>
      <c r="E321" s="2">
        <v>1.480119045E9</v>
      </c>
      <c r="F321" s="8"/>
      <c r="G321" s="2">
        <v>0.0</v>
      </c>
      <c r="H321" s="2">
        <v>1.480119076E9</v>
      </c>
      <c r="I321" s="2">
        <v>10.0</v>
      </c>
      <c r="J321" s="2">
        <v>0.0</v>
      </c>
      <c r="K321" s="2">
        <v>0.0</v>
      </c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>
      <c r="A322" s="2">
        <v>444.0</v>
      </c>
      <c r="B322" s="2">
        <v>1519.0</v>
      </c>
      <c r="C322" s="2">
        <v>35.0</v>
      </c>
      <c r="D322" s="2">
        <v>10138.0</v>
      </c>
      <c r="E322" s="2">
        <v>1.480116751E9</v>
      </c>
      <c r="F322" s="8"/>
      <c r="G322" s="2">
        <v>0.0</v>
      </c>
      <c r="H322" s="2">
        <v>0.0</v>
      </c>
      <c r="I322" s="2" t="s">
        <v>61</v>
      </c>
      <c r="J322" s="2">
        <v>0.0</v>
      </c>
      <c r="K322" s="2">
        <v>0.0</v>
      </c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>
      <c r="A323" s="2">
        <v>444.0</v>
      </c>
      <c r="B323" s="2">
        <v>1520.0</v>
      </c>
      <c r="C323" s="2">
        <v>35.0</v>
      </c>
      <c r="D323" s="2">
        <v>10138.0</v>
      </c>
      <c r="E323" s="2">
        <v>1.480116773E9</v>
      </c>
      <c r="F323" s="8"/>
      <c r="G323" s="2">
        <v>0.0</v>
      </c>
      <c r="H323" s="2">
        <v>1.480116781E9</v>
      </c>
      <c r="I323" s="2">
        <v>6.0</v>
      </c>
      <c r="J323" s="2">
        <v>0.0</v>
      </c>
      <c r="K323" s="2">
        <v>0.0</v>
      </c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>
      <c r="A324" s="2">
        <v>444.0</v>
      </c>
      <c r="B324" s="2">
        <v>1526.0</v>
      </c>
      <c r="C324" s="2">
        <v>35.0</v>
      </c>
      <c r="D324" s="2">
        <v>10138.0</v>
      </c>
      <c r="E324" s="2">
        <v>1.480116823E9</v>
      </c>
      <c r="F324" s="8"/>
      <c r="G324" s="2">
        <v>0.0</v>
      </c>
      <c r="H324" s="2">
        <v>1.480116829E9</v>
      </c>
      <c r="I324" s="2">
        <v>6.0</v>
      </c>
      <c r="J324" s="2">
        <v>0.0</v>
      </c>
      <c r="K324" s="2">
        <v>0.0</v>
      </c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>
      <c r="A325" s="2">
        <v>444.0</v>
      </c>
      <c r="B325" s="2">
        <v>1541.0</v>
      </c>
      <c r="C325" s="2">
        <v>35.0</v>
      </c>
      <c r="D325" s="2">
        <v>10138.0</v>
      </c>
      <c r="E325" s="2">
        <v>1.480116978E9</v>
      </c>
      <c r="F325" s="8"/>
      <c r="G325" s="2">
        <v>0.0</v>
      </c>
      <c r="H325" s="2">
        <v>1.480116982E9</v>
      </c>
      <c r="I325" s="2">
        <v>0.0</v>
      </c>
      <c r="J325" s="2">
        <v>0.0</v>
      </c>
      <c r="K325" s="2">
        <v>0.0</v>
      </c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>
      <c r="A326" s="2">
        <v>444.0</v>
      </c>
      <c r="B326" s="2">
        <v>1552.0</v>
      </c>
      <c r="C326" s="2">
        <v>35.0</v>
      </c>
      <c r="D326" s="2">
        <v>10138.0</v>
      </c>
      <c r="E326" s="2">
        <v>1.480117078E9</v>
      </c>
      <c r="F326" s="8"/>
      <c r="G326" s="2">
        <v>0.0</v>
      </c>
      <c r="H326" s="2">
        <v>1.48011708E9</v>
      </c>
      <c r="I326" s="2">
        <v>10.0</v>
      </c>
      <c r="J326" s="2">
        <v>0.0</v>
      </c>
      <c r="K326" s="2">
        <v>0.0</v>
      </c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>
      <c r="A327" s="2">
        <v>444.0</v>
      </c>
      <c r="B327" s="2">
        <v>1676.0</v>
      </c>
      <c r="C327" s="2">
        <v>35.0</v>
      </c>
      <c r="D327" s="2">
        <v>10139.0</v>
      </c>
      <c r="E327" s="2">
        <v>1.480118995E9</v>
      </c>
      <c r="F327" s="8"/>
      <c r="G327" s="2">
        <v>0.0</v>
      </c>
      <c r="H327" s="2">
        <v>1.480119001E9</v>
      </c>
      <c r="I327" s="2">
        <v>10.0</v>
      </c>
      <c r="J327" s="2">
        <v>0.0</v>
      </c>
      <c r="K327" s="2">
        <v>0.0</v>
      </c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>
      <c r="A328" s="2">
        <v>444.0</v>
      </c>
      <c r="B328" s="2">
        <v>1672.0</v>
      </c>
      <c r="C328" s="2">
        <v>35.0</v>
      </c>
      <c r="D328" s="2">
        <v>10140.0</v>
      </c>
      <c r="E328" s="2">
        <v>1.480118873E9</v>
      </c>
      <c r="F328" s="8"/>
      <c r="G328" s="2">
        <v>0.0</v>
      </c>
      <c r="H328" s="2">
        <v>1.480118883E9</v>
      </c>
      <c r="I328" s="2">
        <v>10.0</v>
      </c>
      <c r="J328" s="2">
        <v>0.0</v>
      </c>
      <c r="K328" s="2">
        <v>0.0</v>
      </c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>
      <c r="A329" s="2">
        <v>444.0</v>
      </c>
      <c r="B329" s="2">
        <v>1657.0</v>
      </c>
      <c r="C329" s="2">
        <v>35.0</v>
      </c>
      <c r="D329" s="2">
        <v>10141.0</v>
      </c>
      <c r="E329" s="2">
        <v>1.48011853E9</v>
      </c>
      <c r="F329" s="8"/>
      <c r="G329" s="2">
        <v>0.0</v>
      </c>
      <c r="H329" s="2">
        <v>1.480118532E9</v>
      </c>
      <c r="I329" s="2">
        <v>0.0</v>
      </c>
      <c r="J329" s="2">
        <v>0.0</v>
      </c>
      <c r="K329" s="2">
        <v>0.0</v>
      </c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>
      <c r="A330" s="2">
        <v>444.0</v>
      </c>
      <c r="B330" s="2">
        <v>1662.0</v>
      </c>
      <c r="C330" s="2">
        <v>35.0</v>
      </c>
      <c r="D330" s="2">
        <v>10141.0</v>
      </c>
      <c r="E330" s="2">
        <v>1.48011862E9</v>
      </c>
      <c r="F330" s="8"/>
      <c r="G330" s="2">
        <v>0.0</v>
      </c>
      <c r="H330" s="2">
        <v>1.480118628E9</v>
      </c>
      <c r="I330" s="2">
        <v>0.0</v>
      </c>
      <c r="J330" s="2">
        <v>0.0</v>
      </c>
      <c r="K330" s="2">
        <v>0.0</v>
      </c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>
      <c r="A331" s="2">
        <v>444.0</v>
      </c>
      <c r="B331" s="2">
        <v>1663.0</v>
      </c>
      <c r="C331" s="2">
        <v>35.0</v>
      </c>
      <c r="D331" s="2">
        <v>10141.0</v>
      </c>
      <c r="E331" s="2">
        <v>1.480118726E9</v>
      </c>
      <c r="F331" s="8"/>
      <c r="G331" s="2">
        <v>0.0</v>
      </c>
      <c r="H331" s="2">
        <v>1.480118829E9</v>
      </c>
      <c r="I331" s="2">
        <v>10.0</v>
      </c>
      <c r="J331" s="2">
        <v>0.0</v>
      </c>
      <c r="K331" s="2">
        <v>0.0</v>
      </c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>
      <c r="A332" s="2">
        <v>444.0</v>
      </c>
      <c r="B332" s="2">
        <v>1637.0</v>
      </c>
      <c r="C332" s="2">
        <v>35.0</v>
      </c>
      <c r="D332" s="2">
        <v>10144.0</v>
      </c>
      <c r="E332" s="2">
        <v>1.480118126E9</v>
      </c>
      <c r="F332" s="8"/>
      <c r="G332" s="2">
        <v>0.0</v>
      </c>
      <c r="H332" s="2">
        <v>0.0</v>
      </c>
      <c r="I332" s="2" t="s">
        <v>61</v>
      </c>
      <c r="J332" s="2">
        <v>0.0</v>
      </c>
      <c r="K332" s="2">
        <v>0.0</v>
      </c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>
      <c r="A333" s="2">
        <v>444.0</v>
      </c>
      <c r="B333" s="2">
        <v>1644.0</v>
      </c>
      <c r="C333" s="2">
        <v>35.0</v>
      </c>
      <c r="D333" s="2">
        <v>10144.0</v>
      </c>
      <c r="E333" s="2">
        <v>1.480118243E9</v>
      </c>
      <c r="F333" s="8"/>
      <c r="G333" s="2">
        <v>0.0</v>
      </c>
      <c r="H333" s="2">
        <v>1.480118284E9</v>
      </c>
      <c r="I333" s="2">
        <v>2.0</v>
      </c>
      <c r="J333" s="2">
        <v>0.0</v>
      </c>
      <c r="K333" s="2">
        <v>0.0</v>
      </c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>
      <c r="A334" s="2">
        <v>444.0</v>
      </c>
      <c r="B334" s="2">
        <v>1654.0</v>
      </c>
      <c r="C334" s="2">
        <v>35.0</v>
      </c>
      <c r="D334" s="2">
        <v>10144.0</v>
      </c>
      <c r="E334" s="2">
        <v>1.4801185E9</v>
      </c>
      <c r="F334" s="8"/>
      <c r="G334" s="2">
        <v>0.0</v>
      </c>
      <c r="H334" s="2">
        <v>1.480326171E9</v>
      </c>
      <c r="I334" s="2">
        <v>10.0</v>
      </c>
      <c r="J334" s="2">
        <v>0.0</v>
      </c>
      <c r="K334" s="2">
        <v>0.0</v>
      </c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>
      <c r="A335" s="2">
        <v>444.0</v>
      </c>
      <c r="B335" s="2">
        <v>1599.0</v>
      </c>
      <c r="C335" s="2">
        <v>35.0</v>
      </c>
      <c r="D335" s="2">
        <v>10145.0</v>
      </c>
      <c r="E335" s="2">
        <v>1.480117645E9</v>
      </c>
      <c r="F335" s="8"/>
      <c r="G335" s="2">
        <v>0.0</v>
      </c>
      <c r="H335" s="2">
        <v>1.480117647E9</v>
      </c>
      <c r="I335" s="2">
        <v>6.0</v>
      </c>
      <c r="J335" s="2">
        <v>0.0</v>
      </c>
      <c r="K335" s="2">
        <v>0.0</v>
      </c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>
      <c r="A336" s="2">
        <v>444.0</v>
      </c>
      <c r="B336" s="2">
        <v>1606.0</v>
      </c>
      <c r="C336" s="2">
        <v>35.0</v>
      </c>
      <c r="D336" s="2">
        <v>10145.0</v>
      </c>
      <c r="E336" s="2">
        <v>1.480117688E9</v>
      </c>
      <c r="F336" s="8"/>
      <c r="G336" s="2">
        <v>0.0</v>
      </c>
      <c r="H336" s="2">
        <v>1.48011769E9</v>
      </c>
      <c r="I336" s="2">
        <v>6.0</v>
      </c>
      <c r="J336" s="2">
        <v>0.0</v>
      </c>
      <c r="K336" s="2">
        <v>0.0</v>
      </c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>
      <c r="A337" s="2">
        <v>444.0</v>
      </c>
      <c r="B337" s="2">
        <v>1610.0</v>
      </c>
      <c r="C337" s="2">
        <v>35.0</v>
      </c>
      <c r="D337" s="2">
        <v>10145.0</v>
      </c>
      <c r="E337" s="2">
        <v>1.480117754E9</v>
      </c>
      <c r="F337" s="8"/>
      <c r="G337" s="2">
        <v>0.0</v>
      </c>
      <c r="H337" s="2">
        <v>1.480117756E9</v>
      </c>
      <c r="I337" s="2">
        <v>6.0</v>
      </c>
      <c r="J337" s="2">
        <v>0.0</v>
      </c>
      <c r="K337" s="2">
        <v>0.0</v>
      </c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>
      <c r="A338" s="2">
        <v>444.0</v>
      </c>
      <c r="B338" s="2">
        <v>1616.0</v>
      </c>
      <c r="C338" s="2">
        <v>35.0</v>
      </c>
      <c r="D338" s="2">
        <v>10145.0</v>
      </c>
      <c r="E338" s="2">
        <v>1.48011791E9</v>
      </c>
      <c r="F338" s="8"/>
      <c r="G338" s="2">
        <v>0.0</v>
      </c>
      <c r="H338" s="2">
        <v>1.480117913E9</v>
      </c>
      <c r="I338" s="2">
        <v>10.0</v>
      </c>
      <c r="J338" s="2">
        <v>0.0</v>
      </c>
      <c r="K338" s="2">
        <v>0.0</v>
      </c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>
      <c r="A339" s="2">
        <v>444.0</v>
      </c>
      <c r="B339" s="2">
        <v>1554.0</v>
      </c>
      <c r="C339" s="2">
        <v>35.0</v>
      </c>
      <c r="D339" s="2">
        <v>10146.0</v>
      </c>
      <c r="E339" s="2">
        <v>1.480117105E9</v>
      </c>
      <c r="F339" s="8"/>
      <c r="G339" s="2">
        <v>0.0</v>
      </c>
      <c r="H339" s="2">
        <v>1.480117107E9</v>
      </c>
      <c r="I339" s="2">
        <v>10.0</v>
      </c>
      <c r="J339" s="2">
        <v>0.0</v>
      </c>
      <c r="K339" s="2">
        <v>0.0</v>
      </c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>
      <c r="A340" s="2">
        <v>444.0</v>
      </c>
      <c r="B340" s="2">
        <v>1681.0</v>
      </c>
      <c r="C340" s="2">
        <v>35.0</v>
      </c>
      <c r="D340" s="2">
        <v>10148.0</v>
      </c>
      <c r="E340" s="2">
        <v>1.480119088E9</v>
      </c>
      <c r="F340" s="8"/>
      <c r="G340" s="2">
        <v>0.0</v>
      </c>
      <c r="H340" s="2">
        <v>1.480119112E9</v>
      </c>
      <c r="I340" s="2">
        <v>0.0</v>
      </c>
      <c r="J340" s="2">
        <v>0.0</v>
      </c>
      <c r="K340" s="2">
        <v>0.0</v>
      </c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>
      <c r="A341" s="2">
        <v>444.0</v>
      </c>
      <c r="B341" s="2">
        <v>1685.0</v>
      </c>
      <c r="C341" s="2">
        <v>35.0</v>
      </c>
      <c r="D341" s="2">
        <v>10148.0</v>
      </c>
      <c r="E341" s="2">
        <v>1.480119244E9</v>
      </c>
      <c r="F341" s="8"/>
      <c r="G341" s="2">
        <v>0.0</v>
      </c>
      <c r="H341" s="2">
        <v>0.0</v>
      </c>
      <c r="I341" s="2" t="s">
        <v>61</v>
      </c>
      <c r="J341" s="2">
        <v>0.0</v>
      </c>
      <c r="K341" s="2">
        <v>0.0</v>
      </c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>
      <c r="A342" s="2">
        <v>444.0</v>
      </c>
      <c r="B342" s="2">
        <v>1703.0</v>
      </c>
      <c r="C342" s="2">
        <v>35.0</v>
      </c>
      <c r="D342" s="2">
        <v>10148.0</v>
      </c>
      <c r="E342" s="2">
        <v>1.48011958E9</v>
      </c>
      <c r="F342" s="8"/>
      <c r="G342" s="2">
        <v>0.0</v>
      </c>
      <c r="H342" s="2">
        <v>0.0</v>
      </c>
      <c r="I342" s="2" t="s">
        <v>61</v>
      </c>
      <c r="J342" s="2">
        <v>0.0</v>
      </c>
      <c r="K342" s="2">
        <v>0.0</v>
      </c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>
      <c r="A343" s="2">
        <v>444.0</v>
      </c>
      <c r="B343" s="2">
        <v>1705.0</v>
      </c>
      <c r="C343" s="2">
        <v>35.0</v>
      </c>
      <c r="D343" s="2">
        <v>10148.0</v>
      </c>
      <c r="E343" s="2">
        <v>1.480119608E9</v>
      </c>
      <c r="F343" s="8"/>
      <c r="G343" s="2">
        <v>0.0</v>
      </c>
      <c r="H343" s="2">
        <v>0.0</v>
      </c>
      <c r="I343" s="2" t="s">
        <v>61</v>
      </c>
      <c r="J343" s="2">
        <v>0.0</v>
      </c>
      <c r="K343" s="2">
        <v>0.0</v>
      </c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>
      <c r="A344" s="2">
        <v>444.0</v>
      </c>
      <c r="B344" s="2">
        <v>1707.0</v>
      </c>
      <c r="C344" s="2">
        <v>35.0</v>
      </c>
      <c r="D344" s="2">
        <v>10148.0</v>
      </c>
      <c r="E344" s="2">
        <v>1.480119668E9</v>
      </c>
      <c r="F344" s="8"/>
      <c r="G344" s="2">
        <v>0.0</v>
      </c>
      <c r="H344" s="2">
        <v>0.0</v>
      </c>
      <c r="I344" s="2" t="s">
        <v>61</v>
      </c>
      <c r="J344" s="2">
        <v>0.0</v>
      </c>
      <c r="K344" s="2">
        <v>0.0</v>
      </c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>
      <c r="A345" s="2">
        <v>444.0</v>
      </c>
      <c r="B345" s="2">
        <v>1710.0</v>
      </c>
      <c r="C345" s="2">
        <v>35.0</v>
      </c>
      <c r="D345" s="2">
        <v>10148.0</v>
      </c>
      <c r="E345" s="2">
        <v>1.480119694E9</v>
      </c>
      <c r="F345" s="8"/>
      <c r="G345" s="2">
        <v>0.0</v>
      </c>
      <c r="H345" s="2">
        <v>1.480119754E9</v>
      </c>
      <c r="I345" s="2">
        <v>10.0</v>
      </c>
      <c r="J345" s="2">
        <v>0.0</v>
      </c>
      <c r="K345" s="2">
        <v>0.0</v>
      </c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>
      <c r="A346" s="2">
        <v>444.0</v>
      </c>
      <c r="B346" s="2">
        <v>1652.0</v>
      </c>
      <c r="C346" s="2">
        <v>35.0</v>
      </c>
      <c r="D346" s="2">
        <v>10149.0</v>
      </c>
      <c r="E346" s="2">
        <v>1.480118474E9</v>
      </c>
      <c r="F346" s="8"/>
      <c r="G346" s="2">
        <v>0.0</v>
      </c>
      <c r="H346" s="2">
        <v>1.480118477E9</v>
      </c>
      <c r="I346" s="2">
        <v>10.0</v>
      </c>
      <c r="J346" s="2">
        <v>0.0</v>
      </c>
      <c r="K346" s="2">
        <v>0.0</v>
      </c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>
      <c r="A347" s="2">
        <v>444.0</v>
      </c>
      <c r="B347" s="2">
        <v>1615.0</v>
      </c>
      <c r="C347" s="2">
        <v>35.0</v>
      </c>
      <c r="D347" s="2">
        <v>10152.0</v>
      </c>
      <c r="E347" s="2">
        <v>1.480117859E9</v>
      </c>
      <c r="F347" s="8"/>
      <c r="G347" s="2">
        <v>0.0</v>
      </c>
      <c r="H347" s="2">
        <v>1.480117873E9</v>
      </c>
      <c r="I347" s="2">
        <v>10.0</v>
      </c>
      <c r="J347" s="2">
        <v>0.0</v>
      </c>
      <c r="K347" s="2">
        <v>0.0</v>
      </c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>
      <c r="A348" s="2">
        <v>444.0</v>
      </c>
      <c r="B348" s="2">
        <v>1731.0</v>
      </c>
      <c r="C348" s="2">
        <v>35.0</v>
      </c>
      <c r="D348" s="2">
        <v>10152.0</v>
      </c>
      <c r="E348" s="2">
        <v>1.480120286E9</v>
      </c>
      <c r="F348" s="8"/>
      <c r="G348" s="2">
        <v>0.0</v>
      </c>
      <c r="H348" s="2">
        <v>0.0</v>
      </c>
      <c r="I348" s="2" t="s">
        <v>61</v>
      </c>
      <c r="J348" s="2">
        <v>0.0</v>
      </c>
      <c r="K348" s="2">
        <v>0.0</v>
      </c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>
      <c r="A349" s="2">
        <v>444.0</v>
      </c>
      <c r="B349" s="2">
        <v>1743.0</v>
      </c>
      <c r="C349" s="2">
        <v>35.0</v>
      </c>
      <c r="D349" s="2">
        <v>10152.0</v>
      </c>
      <c r="E349" s="2">
        <v>1.480120512E9</v>
      </c>
      <c r="F349" s="8"/>
      <c r="G349" s="2">
        <v>0.0</v>
      </c>
      <c r="H349" s="2">
        <v>1.480120519E9</v>
      </c>
      <c r="I349" s="2">
        <v>10.0</v>
      </c>
      <c r="J349" s="2">
        <v>0.0</v>
      </c>
      <c r="K349" s="2">
        <v>0.0</v>
      </c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>
      <c r="A350" s="2">
        <v>444.0</v>
      </c>
      <c r="B350" s="2">
        <v>1802.0</v>
      </c>
      <c r="C350" s="2">
        <v>35.0</v>
      </c>
      <c r="D350" s="2">
        <v>10153.0</v>
      </c>
      <c r="E350" s="2">
        <v>1.480266978E9</v>
      </c>
      <c r="F350" s="8"/>
      <c r="G350" s="2">
        <v>0.0</v>
      </c>
      <c r="H350" s="2">
        <v>1.480266987E9</v>
      </c>
      <c r="I350" s="2">
        <v>0.0</v>
      </c>
      <c r="J350" s="2">
        <v>0.0</v>
      </c>
      <c r="K350" s="2">
        <v>0.0</v>
      </c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>
      <c r="A351" s="2">
        <v>444.0</v>
      </c>
      <c r="B351" s="2">
        <v>1803.0</v>
      </c>
      <c r="C351" s="2">
        <v>35.0</v>
      </c>
      <c r="D351" s="2">
        <v>10153.0</v>
      </c>
      <c r="E351" s="2">
        <v>1.48026701E9</v>
      </c>
      <c r="F351" s="8"/>
      <c r="G351" s="2">
        <v>0.0</v>
      </c>
      <c r="H351" s="2">
        <v>1.480267019E9</v>
      </c>
      <c r="I351" s="2">
        <v>10.0</v>
      </c>
      <c r="J351" s="2">
        <v>0.0</v>
      </c>
      <c r="K351" s="2">
        <v>0.0</v>
      </c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>
      <c r="A352" s="2">
        <v>444.0</v>
      </c>
      <c r="B352" s="2">
        <v>1795.0</v>
      </c>
      <c r="C352" s="2">
        <v>35.0</v>
      </c>
      <c r="D352" s="2">
        <v>10158.0</v>
      </c>
      <c r="E352" s="2">
        <v>1.480183703E9</v>
      </c>
      <c r="F352" s="8"/>
      <c r="G352" s="2">
        <v>0.0</v>
      </c>
      <c r="H352" s="2">
        <v>1.480183711E9</v>
      </c>
      <c r="I352" s="2">
        <v>10.0</v>
      </c>
      <c r="J352" s="2">
        <v>0.0</v>
      </c>
      <c r="K352" s="2">
        <v>0.0</v>
      </c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>
      <c r="A353" s="2">
        <v>444.0</v>
      </c>
      <c r="B353" s="2">
        <v>1869.0</v>
      </c>
      <c r="C353" s="2">
        <v>35.0</v>
      </c>
      <c r="D353" s="2">
        <v>10166.0</v>
      </c>
      <c r="E353" s="2">
        <v>1.481422872E9</v>
      </c>
      <c r="F353" s="9" t="s">
        <v>66</v>
      </c>
      <c r="G353" s="2">
        <v>0.0</v>
      </c>
      <c r="H353" s="2">
        <v>0.0</v>
      </c>
      <c r="I353" s="2" t="s">
        <v>61</v>
      </c>
      <c r="J353" s="2">
        <v>0.0</v>
      </c>
      <c r="K353" s="2">
        <v>0.0</v>
      </c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>
      <c r="A354" s="2">
        <v>444.0</v>
      </c>
      <c r="B354" s="2">
        <v>1873.0</v>
      </c>
      <c r="C354" s="2">
        <v>35.0</v>
      </c>
      <c r="D354" s="2">
        <v>10167.0</v>
      </c>
      <c r="E354" s="2">
        <v>1.481591247E9</v>
      </c>
      <c r="F354" s="8"/>
      <c r="G354" s="2">
        <v>0.0</v>
      </c>
      <c r="H354" s="2">
        <v>1.481591268E9</v>
      </c>
      <c r="I354" s="2">
        <v>0.0</v>
      </c>
      <c r="J354" s="2">
        <v>0.0</v>
      </c>
      <c r="K354" s="2">
        <v>0.0</v>
      </c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>
      <c r="A355" s="2">
        <v>444.0</v>
      </c>
      <c r="B355" s="2">
        <v>1874.0</v>
      </c>
      <c r="C355" s="2">
        <v>35.0</v>
      </c>
      <c r="D355" s="2">
        <v>10167.0</v>
      </c>
      <c r="E355" s="2">
        <v>1.481591505E9</v>
      </c>
      <c r="F355" s="8"/>
      <c r="G355" s="2">
        <v>0.0</v>
      </c>
      <c r="H355" s="2">
        <v>1.481591509E9</v>
      </c>
      <c r="I355" s="2">
        <v>0.0</v>
      </c>
      <c r="J355" s="2">
        <v>0.0</v>
      </c>
      <c r="K355" s="2">
        <v>0.0</v>
      </c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>
      <c r="A356" s="2">
        <v>445.0</v>
      </c>
      <c r="B356" s="2">
        <v>1877.0</v>
      </c>
      <c r="C356" s="2">
        <v>36.0</v>
      </c>
      <c r="D356" s="2">
        <v>2.0</v>
      </c>
      <c r="E356" s="2">
        <v>1.48166383E9</v>
      </c>
      <c r="F356" s="8"/>
      <c r="G356" s="2">
        <v>0.0</v>
      </c>
      <c r="H356" s="2">
        <v>0.0</v>
      </c>
      <c r="I356" s="2" t="s">
        <v>61</v>
      </c>
      <c r="J356" s="2">
        <v>0.0</v>
      </c>
      <c r="K356" s="2">
        <v>0.0</v>
      </c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>
      <c r="A357" s="2">
        <v>445.0</v>
      </c>
      <c r="B357" s="2">
        <v>1850.0</v>
      </c>
      <c r="C357" s="2">
        <v>36.0</v>
      </c>
      <c r="D357" s="2">
        <v>10137.0</v>
      </c>
      <c r="E357" s="2">
        <v>1.480361421E9</v>
      </c>
      <c r="F357" s="8"/>
      <c r="G357" s="2">
        <v>0.0</v>
      </c>
      <c r="H357" s="2">
        <v>0.0</v>
      </c>
      <c r="I357" s="2" t="s">
        <v>61</v>
      </c>
      <c r="J357" s="2">
        <v>0.0</v>
      </c>
      <c r="K357" s="2">
        <v>0.0</v>
      </c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>
      <c r="A358" s="2">
        <v>445.0</v>
      </c>
      <c r="B358" s="2">
        <v>1866.0</v>
      </c>
      <c r="C358" s="2">
        <v>36.0</v>
      </c>
      <c r="D358" s="2">
        <v>10140.0</v>
      </c>
      <c r="E358" s="2">
        <v>1.481419875E9</v>
      </c>
      <c r="F358" s="8"/>
      <c r="G358" s="2">
        <v>0.0</v>
      </c>
      <c r="H358" s="2">
        <v>1.481419877E9</v>
      </c>
      <c r="I358" s="2">
        <v>10.0</v>
      </c>
      <c r="J358" s="2">
        <v>0.0</v>
      </c>
      <c r="K358" s="2">
        <v>0.0</v>
      </c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>
      <c r="A359" s="2">
        <v>445.0</v>
      </c>
      <c r="B359" s="2">
        <v>1768.0</v>
      </c>
      <c r="C359" s="2">
        <v>36.0</v>
      </c>
      <c r="D359" s="2">
        <v>10141.0</v>
      </c>
      <c r="E359" s="2">
        <v>1.480122833E9</v>
      </c>
      <c r="F359" s="8"/>
      <c r="G359" s="2">
        <v>0.0</v>
      </c>
      <c r="H359" s="2">
        <v>1.480122836E9</v>
      </c>
      <c r="I359" s="2">
        <v>9.0</v>
      </c>
      <c r="J359" s="2">
        <v>0.0</v>
      </c>
      <c r="K359" s="2">
        <v>0.0</v>
      </c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>
      <c r="A360" s="2">
        <v>445.0</v>
      </c>
      <c r="B360" s="2">
        <v>1774.0</v>
      </c>
      <c r="C360" s="2">
        <v>36.0</v>
      </c>
      <c r="D360" s="2">
        <v>10141.0</v>
      </c>
      <c r="E360" s="2">
        <v>1.480124209E9</v>
      </c>
      <c r="F360" s="8"/>
      <c r="G360" s="2">
        <v>0.0</v>
      </c>
      <c r="H360" s="2">
        <v>1.480124211E9</v>
      </c>
      <c r="I360" s="2">
        <v>0.0</v>
      </c>
      <c r="J360" s="2">
        <v>0.0</v>
      </c>
      <c r="K360" s="2">
        <v>0.0</v>
      </c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>
      <c r="A361" s="2">
        <v>445.0</v>
      </c>
      <c r="B361" s="2">
        <v>1775.0</v>
      </c>
      <c r="C361" s="2">
        <v>36.0</v>
      </c>
      <c r="D361" s="2">
        <v>10141.0</v>
      </c>
      <c r="E361" s="2">
        <v>1.480124226E9</v>
      </c>
      <c r="F361" s="8"/>
      <c r="G361" s="2">
        <v>0.0</v>
      </c>
      <c r="H361" s="2">
        <v>1.480124241E9</v>
      </c>
      <c r="I361" s="2">
        <v>9.0</v>
      </c>
      <c r="J361" s="2">
        <v>0.0</v>
      </c>
      <c r="K361" s="2">
        <v>0.0</v>
      </c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>
      <c r="A362" s="2">
        <v>445.0</v>
      </c>
      <c r="B362" s="2">
        <v>1778.0</v>
      </c>
      <c r="C362" s="2">
        <v>36.0</v>
      </c>
      <c r="D362" s="2">
        <v>10141.0</v>
      </c>
      <c r="E362" s="2">
        <v>1.48012524E9</v>
      </c>
      <c r="F362" s="8"/>
      <c r="G362" s="2">
        <v>0.0</v>
      </c>
      <c r="H362" s="2">
        <v>1.480125242E9</v>
      </c>
      <c r="I362" s="2">
        <v>9.0</v>
      </c>
      <c r="J362" s="2">
        <v>0.0</v>
      </c>
      <c r="K362" s="2">
        <v>0.0</v>
      </c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>
      <c r="A363" s="2">
        <v>445.0</v>
      </c>
      <c r="B363" s="2">
        <v>1779.0</v>
      </c>
      <c r="C363" s="2">
        <v>36.0</v>
      </c>
      <c r="D363" s="2">
        <v>10141.0</v>
      </c>
      <c r="E363" s="2">
        <v>1.480125399E9</v>
      </c>
      <c r="F363" s="8"/>
      <c r="G363" s="2">
        <v>0.0</v>
      </c>
      <c r="H363" s="2">
        <v>1.480125402E9</v>
      </c>
      <c r="I363" s="2">
        <v>10.0</v>
      </c>
      <c r="J363" s="2">
        <v>0.0</v>
      </c>
      <c r="K363" s="2">
        <v>0.0</v>
      </c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>
      <c r="A364" s="2">
        <v>445.0</v>
      </c>
      <c r="B364" s="2">
        <v>1741.0</v>
      </c>
      <c r="C364" s="2">
        <v>36.0</v>
      </c>
      <c r="D364" s="2">
        <v>10146.0</v>
      </c>
      <c r="E364" s="2">
        <v>1.48012047E9</v>
      </c>
      <c r="F364" s="8"/>
      <c r="G364" s="2">
        <v>0.0</v>
      </c>
      <c r="H364" s="2">
        <v>1.480120473E9</v>
      </c>
      <c r="I364" s="2">
        <v>10.0</v>
      </c>
      <c r="J364" s="2">
        <v>0.0</v>
      </c>
      <c r="K364" s="2">
        <v>0.0</v>
      </c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>
      <c r="A365" s="2">
        <v>445.0</v>
      </c>
      <c r="B365" s="2">
        <v>1742.0</v>
      </c>
      <c r="C365" s="2">
        <v>36.0</v>
      </c>
      <c r="D365" s="2">
        <v>10146.0</v>
      </c>
      <c r="E365" s="2">
        <v>1.480120483E9</v>
      </c>
      <c r="F365" s="8"/>
      <c r="G365" s="2">
        <v>0.0</v>
      </c>
      <c r="H365" s="2">
        <v>1.480120485E9</v>
      </c>
      <c r="I365" s="2">
        <v>10.0</v>
      </c>
      <c r="J365" s="2">
        <v>0.0</v>
      </c>
      <c r="K365" s="2">
        <v>0.0</v>
      </c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>
      <c r="A366" s="2">
        <v>445.0</v>
      </c>
      <c r="B366" s="2">
        <v>1855.0</v>
      </c>
      <c r="C366" s="2">
        <v>36.0</v>
      </c>
      <c r="D366" s="2">
        <v>10148.0</v>
      </c>
      <c r="E366" s="2">
        <v>1.480530262E9</v>
      </c>
      <c r="F366" s="8"/>
      <c r="G366" s="2">
        <v>0.0</v>
      </c>
      <c r="H366" s="2">
        <v>1.480530269E9</v>
      </c>
      <c r="I366" s="2">
        <v>10.0</v>
      </c>
      <c r="J366" s="2">
        <v>0.0</v>
      </c>
      <c r="K366" s="2">
        <v>0.0</v>
      </c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>
      <c r="A367" s="2">
        <v>445.0</v>
      </c>
      <c r="B367" s="2">
        <v>1734.0</v>
      </c>
      <c r="C367" s="2">
        <v>36.0</v>
      </c>
      <c r="D367" s="2">
        <v>10149.0</v>
      </c>
      <c r="E367" s="2">
        <v>1.480120335E9</v>
      </c>
      <c r="F367" s="8"/>
      <c r="G367" s="2">
        <v>0.0</v>
      </c>
      <c r="H367" s="2">
        <v>1.480120337E9</v>
      </c>
      <c r="I367" s="2">
        <v>0.0</v>
      </c>
      <c r="J367" s="2">
        <v>0.0</v>
      </c>
      <c r="K367" s="2">
        <v>0.0</v>
      </c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>
      <c r="A368" s="2">
        <v>445.0</v>
      </c>
      <c r="B368" s="2">
        <v>1871.0</v>
      </c>
      <c r="C368" s="2">
        <v>36.0</v>
      </c>
      <c r="D368" s="2">
        <v>10166.0</v>
      </c>
      <c r="E368" s="2">
        <v>1.481504322E9</v>
      </c>
      <c r="F368" s="9" t="s">
        <v>64</v>
      </c>
      <c r="G368" s="2">
        <v>0.0</v>
      </c>
      <c r="H368" s="2">
        <v>0.0</v>
      </c>
      <c r="I368" s="2" t="s">
        <v>61</v>
      </c>
      <c r="J368" s="2">
        <v>0.0</v>
      </c>
      <c r="K368" s="2">
        <v>0.0</v>
      </c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>
      <c r="A369" s="2">
        <v>445.0</v>
      </c>
      <c r="B369" s="2">
        <v>1876.0</v>
      </c>
      <c r="C369" s="2">
        <v>36.0</v>
      </c>
      <c r="D369" s="2">
        <v>10167.0</v>
      </c>
      <c r="E369" s="2">
        <v>1.481596277E9</v>
      </c>
      <c r="F369" s="8"/>
      <c r="G369" s="2">
        <v>0.0</v>
      </c>
      <c r="H369" s="2">
        <v>1.481596294E9</v>
      </c>
      <c r="I369" s="2">
        <v>10.0</v>
      </c>
      <c r="J369" s="2">
        <v>0.0</v>
      </c>
      <c r="K369" s="2">
        <v>0.0</v>
      </c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0" t="s">
        <v>54</v>
      </c>
      <c r="B1" s="10" t="s">
        <v>49</v>
      </c>
      <c r="C1" s="10" t="s">
        <v>52</v>
      </c>
      <c r="D1" s="10" t="s">
        <v>62</v>
      </c>
    </row>
    <row r="2">
      <c r="A2" s="1">
        <v>27879.0</v>
      </c>
      <c r="B2" s="1">
        <v>442.0</v>
      </c>
      <c r="C2" s="1">
        <v>2.0</v>
      </c>
      <c r="D2" s="1">
        <v>1.480117948E9</v>
      </c>
    </row>
    <row r="3">
      <c r="A3" s="1">
        <v>27881.0</v>
      </c>
      <c r="B3" s="1">
        <v>442.0</v>
      </c>
      <c r="C3" s="1">
        <v>2.0</v>
      </c>
      <c r="D3" s="1">
        <v>1.480117951E9</v>
      </c>
    </row>
    <row r="4">
      <c r="A4" s="1">
        <v>28179.0</v>
      </c>
      <c r="B4" s="1">
        <v>442.0</v>
      </c>
      <c r="C4" s="1">
        <v>2.0</v>
      </c>
      <c r="D4" s="1">
        <v>1.480118797E9</v>
      </c>
    </row>
    <row r="5">
      <c r="A5" s="1">
        <v>28180.0</v>
      </c>
      <c r="B5" s="1">
        <v>442.0</v>
      </c>
      <c r="C5" s="1">
        <v>2.0</v>
      </c>
      <c r="D5" s="1">
        <v>1.4801188E9</v>
      </c>
    </row>
    <row r="6">
      <c r="A6" s="1">
        <v>28196.0</v>
      </c>
      <c r="B6" s="1">
        <v>442.0</v>
      </c>
      <c r="C6" s="1">
        <v>2.0</v>
      </c>
      <c r="D6" s="1">
        <v>1.480118829E9</v>
      </c>
    </row>
    <row r="7">
      <c r="A7" s="1">
        <v>28219.0</v>
      </c>
      <c r="B7" s="1">
        <v>442.0</v>
      </c>
      <c r="C7" s="1">
        <v>2.0</v>
      </c>
      <c r="D7" s="1">
        <v>1.480118867E9</v>
      </c>
    </row>
    <row r="8">
      <c r="A8" s="1">
        <v>28278.0</v>
      </c>
      <c r="B8" s="1">
        <v>442.0</v>
      </c>
      <c r="C8" s="1">
        <v>2.0</v>
      </c>
      <c r="D8" s="1">
        <v>1.48011903E9</v>
      </c>
    </row>
    <row r="9">
      <c r="A9" s="1">
        <v>28280.0</v>
      </c>
      <c r="B9" s="1">
        <v>442.0</v>
      </c>
      <c r="C9" s="1">
        <v>2.0</v>
      </c>
      <c r="D9" s="1">
        <v>1.480119033E9</v>
      </c>
    </row>
    <row r="10">
      <c r="A10" s="1">
        <v>28283.0</v>
      </c>
      <c r="B10" s="1">
        <v>442.0</v>
      </c>
      <c r="C10" s="1">
        <v>2.0</v>
      </c>
      <c r="D10" s="1">
        <v>1.480119037E9</v>
      </c>
    </row>
    <row r="11">
      <c r="A11" s="1">
        <v>28297.0</v>
      </c>
      <c r="B11" s="1">
        <v>442.0</v>
      </c>
      <c r="C11" s="1">
        <v>2.0</v>
      </c>
      <c r="D11" s="1">
        <v>1.48011909E9</v>
      </c>
    </row>
    <row r="12">
      <c r="A12" s="1">
        <v>28310.0</v>
      </c>
      <c r="B12" s="1">
        <v>442.0</v>
      </c>
      <c r="C12" s="1">
        <v>2.0</v>
      </c>
      <c r="D12" s="1">
        <v>1.480119124E9</v>
      </c>
    </row>
    <row r="13">
      <c r="A13" s="1">
        <v>28312.0</v>
      </c>
      <c r="B13" s="1">
        <v>442.0</v>
      </c>
      <c r="C13" s="1">
        <v>2.0</v>
      </c>
      <c r="D13" s="1">
        <v>1.48011913E9</v>
      </c>
    </row>
    <row r="14">
      <c r="A14" s="1">
        <v>28314.0</v>
      </c>
      <c r="B14" s="1">
        <v>442.0</v>
      </c>
      <c r="C14" s="1">
        <v>2.0</v>
      </c>
      <c r="D14" s="1">
        <v>1.480119137E9</v>
      </c>
    </row>
    <row r="15">
      <c r="A15" s="1">
        <v>28426.0</v>
      </c>
      <c r="B15" s="1">
        <v>442.0</v>
      </c>
      <c r="C15" s="1">
        <v>2.0</v>
      </c>
      <c r="D15" s="1">
        <v>1.480119433E9</v>
      </c>
    </row>
    <row r="16">
      <c r="A16" s="1">
        <v>28427.0</v>
      </c>
      <c r="B16" s="1">
        <v>442.0</v>
      </c>
      <c r="C16" s="1">
        <v>2.0</v>
      </c>
      <c r="D16" s="1">
        <v>1.480119436E9</v>
      </c>
    </row>
    <row r="17">
      <c r="A17" s="1">
        <v>28435.0</v>
      </c>
      <c r="B17" s="1">
        <v>442.0</v>
      </c>
      <c r="C17" s="1">
        <v>2.0</v>
      </c>
      <c r="D17" s="1">
        <v>1.480119451E9</v>
      </c>
    </row>
    <row r="18">
      <c r="A18" s="1">
        <v>28439.0</v>
      </c>
      <c r="B18" s="1">
        <v>442.0</v>
      </c>
      <c r="C18" s="1">
        <v>2.0</v>
      </c>
      <c r="D18" s="1">
        <v>1.480119461E9</v>
      </c>
    </row>
    <row r="19">
      <c r="A19" s="1">
        <v>28440.0</v>
      </c>
      <c r="B19" s="1">
        <v>442.0</v>
      </c>
      <c r="C19" s="1">
        <v>2.0</v>
      </c>
      <c r="D19" s="1">
        <v>1.480119467E9</v>
      </c>
    </row>
    <row r="20">
      <c r="A20" s="1">
        <v>28441.0</v>
      </c>
      <c r="B20" s="1">
        <v>442.0</v>
      </c>
      <c r="C20" s="1">
        <v>2.0</v>
      </c>
      <c r="D20" s="1">
        <v>1.480119494E9</v>
      </c>
    </row>
    <row r="21">
      <c r="A21" s="1">
        <v>28442.0</v>
      </c>
      <c r="B21" s="1">
        <v>442.0</v>
      </c>
      <c r="C21" s="1">
        <v>2.0</v>
      </c>
      <c r="D21" s="1">
        <v>1.4801195E9</v>
      </c>
    </row>
    <row r="22">
      <c r="A22" s="1">
        <v>28451.0</v>
      </c>
      <c r="B22" s="1">
        <v>442.0</v>
      </c>
      <c r="C22" s="1">
        <v>2.0</v>
      </c>
      <c r="D22" s="1">
        <v>1.480119536E9</v>
      </c>
    </row>
    <row r="23">
      <c r="A23" s="1">
        <v>28520.0</v>
      </c>
      <c r="B23" s="1">
        <v>442.0</v>
      </c>
      <c r="C23" s="1">
        <v>2.0</v>
      </c>
      <c r="D23" s="1">
        <v>1.480119852E9</v>
      </c>
    </row>
    <row r="24">
      <c r="A24" s="1">
        <v>28522.0</v>
      </c>
      <c r="B24" s="1">
        <v>442.0</v>
      </c>
      <c r="C24" s="1">
        <v>2.0</v>
      </c>
      <c r="D24" s="1">
        <v>1.480119859E9</v>
      </c>
    </row>
    <row r="25">
      <c r="A25" s="1">
        <v>28525.0</v>
      </c>
      <c r="B25" s="1">
        <v>442.0</v>
      </c>
      <c r="C25" s="1">
        <v>2.0</v>
      </c>
      <c r="D25" s="1">
        <v>1.480119884E9</v>
      </c>
    </row>
    <row r="26">
      <c r="A26" s="1">
        <v>28526.0</v>
      </c>
      <c r="B26" s="1">
        <v>442.0</v>
      </c>
      <c r="C26" s="1">
        <v>2.0</v>
      </c>
      <c r="D26" s="1">
        <v>1.48011989E9</v>
      </c>
    </row>
    <row r="27">
      <c r="A27" s="1">
        <v>28531.0</v>
      </c>
      <c r="B27" s="1">
        <v>442.0</v>
      </c>
      <c r="C27" s="1">
        <v>2.0</v>
      </c>
      <c r="D27" s="1">
        <v>1.480119936E9</v>
      </c>
    </row>
    <row r="28">
      <c r="A28" s="1">
        <v>28592.0</v>
      </c>
      <c r="B28" s="1">
        <v>442.0</v>
      </c>
      <c r="C28" s="1">
        <v>2.0</v>
      </c>
      <c r="D28" s="1">
        <v>1.480120268E9</v>
      </c>
    </row>
    <row r="29">
      <c r="A29" s="1">
        <v>28593.0</v>
      </c>
      <c r="B29" s="1">
        <v>442.0</v>
      </c>
      <c r="C29" s="1">
        <v>2.0</v>
      </c>
      <c r="D29" s="1">
        <v>1.480120272E9</v>
      </c>
    </row>
    <row r="30">
      <c r="A30" s="1">
        <v>28737.0</v>
      </c>
      <c r="B30" s="1">
        <v>442.0</v>
      </c>
      <c r="C30" s="1">
        <v>2.0</v>
      </c>
      <c r="D30" s="1">
        <v>1.480121526E9</v>
      </c>
    </row>
    <row r="31">
      <c r="A31" s="1">
        <v>28787.0</v>
      </c>
      <c r="B31" s="1">
        <v>442.0</v>
      </c>
      <c r="C31" s="1">
        <v>2.0</v>
      </c>
      <c r="D31" s="1">
        <v>1.480122039E9</v>
      </c>
    </row>
    <row r="32">
      <c r="A32" s="1">
        <v>28981.0</v>
      </c>
      <c r="B32" s="1">
        <v>442.0</v>
      </c>
      <c r="C32" s="1">
        <v>2.0</v>
      </c>
      <c r="D32" s="1">
        <v>1.48012545E9</v>
      </c>
    </row>
    <row r="33">
      <c r="A33" s="1">
        <v>28982.0</v>
      </c>
      <c r="B33" s="1">
        <v>442.0</v>
      </c>
      <c r="C33" s="1">
        <v>2.0</v>
      </c>
      <c r="D33" s="1">
        <v>1.480125452E9</v>
      </c>
    </row>
    <row r="34">
      <c r="A34" s="1">
        <v>28983.0</v>
      </c>
      <c r="B34" s="1">
        <v>442.0</v>
      </c>
      <c r="C34" s="1">
        <v>2.0</v>
      </c>
      <c r="D34" s="1">
        <v>1.480125476E9</v>
      </c>
    </row>
    <row r="35">
      <c r="A35" s="1">
        <v>28993.0</v>
      </c>
      <c r="B35" s="1">
        <v>442.0</v>
      </c>
      <c r="C35" s="1">
        <v>2.0</v>
      </c>
      <c r="D35" s="1">
        <v>1.480125552E9</v>
      </c>
    </row>
    <row r="36">
      <c r="A36" s="1">
        <v>28994.0</v>
      </c>
      <c r="B36" s="1">
        <v>442.0</v>
      </c>
      <c r="C36" s="1">
        <v>2.0</v>
      </c>
      <c r="D36" s="1">
        <v>1.480125556E9</v>
      </c>
    </row>
    <row r="37">
      <c r="A37" s="1">
        <v>28996.0</v>
      </c>
      <c r="B37" s="1">
        <v>442.0</v>
      </c>
      <c r="C37" s="1">
        <v>2.0</v>
      </c>
      <c r="D37" s="1">
        <v>1.480125597E9</v>
      </c>
    </row>
    <row r="38">
      <c r="A38" s="1">
        <v>29262.0</v>
      </c>
      <c r="B38" s="1">
        <v>442.0</v>
      </c>
      <c r="C38" s="1">
        <v>2.0</v>
      </c>
      <c r="D38" s="1">
        <v>1.480191764E9</v>
      </c>
    </row>
    <row r="39">
      <c r="A39" s="1">
        <v>29263.0</v>
      </c>
      <c r="B39" s="1">
        <v>442.0</v>
      </c>
      <c r="C39" s="1">
        <v>2.0</v>
      </c>
      <c r="D39" s="1">
        <v>1.480191768E9</v>
      </c>
    </row>
    <row r="40">
      <c r="A40" s="1">
        <v>29264.0</v>
      </c>
      <c r="B40" s="1">
        <v>442.0</v>
      </c>
      <c r="C40" s="1">
        <v>2.0</v>
      </c>
      <c r="D40" s="1">
        <v>1.480191793E9</v>
      </c>
    </row>
    <row r="41">
      <c r="A41" s="1">
        <v>29265.0</v>
      </c>
      <c r="B41" s="1">
        <v>442.0</v>
      </c>
      <c r="C41" s="1">
        <v>2.0</v>
      </c>
      <c r="D41" s="1">
        <v>1.480191797E9</v>
      </c>
    </row>
    <row r="42">
      <c r="A42" s="1">
        <v>29267.0</v>
      </c>
      <c r="B42" s="1">
        <v>442.0</v>
      </c>
      <c r="C42" s="1">
        <v>2.0</v>
      </c>
      <c r="D42" s="1">
        <v>1.480191808E9</v>
      </c>
    </row>
    <row r="43">
      <c r="A43" s="1">
        <v>29268.0</v>
      </c>
      <c r="B43" s="1">
        <v>442.0</v>
      </c>
      <c r="C43" s="1">
        <v>2.0</v>
      </c>
      <c r="D43" s="1">
        <v>1.480191811E9</v>
      </c>
    </row>
    <row r="44">
      <c r="A44" s="1">
        <v>29275.0</v>
      </c>
      <c r="B44" s="1">
        <v>442.0</v>
      </c>
      <c r="C44" s="1">
        <v>2.0</v>
      </c>
      <c r="D44" s="1">
        <v>1.480191944E9</v>
      </c>
    </row>
    <row r="45">
      <c r="A45" s="1">
        <v>29276.0</v>
      </c>
      <c r="B45" s="1">
        <v>442.0</v>
      </c>
      <c r="C45" s="1">
        <v>2.0</v>
      </c>
      <c r="D45" s="1">
        <v>1.480191948E9</v>
      </c>
    </row>
    <row r="46">
      <c r="A46" s="1">
        <v>29282.0</v>
      </c>
      <c r="B46" s="1">
        <v>442.0</v>
      </c>
      <c r="C46" s="1">
        <v>2.0</v>
      </c>
      <c r="D46" s="1">
        <v>1.48019208E9</v>
      </c>
    </row>
    <row r="47">
      <c r="A47" s="1">
        <v>29283.0</v>
      </c>
      <c r="B47" s="1">
        <v>442.0</v>
      </c>
      <c r="C47" s="1">
        <v>2.0</v>
      </c>
      <c r="D47" s="1">
        <v>1.480192082E9</v>
      </c>
    </row>
    <row r="48">
      <c r="A48" s="1">
        <v>29284.0</v>
      </c>
      <c r="B48" s="1">
        <v>442.0</v>
      </c>
      <c r="C48" s="1">
        <v>2.0</v>
      </c>
      <c r="D48" s="1">
        <v>1.480192095E9</v>
      </c>
    </row>
    <row r="49">
      <c r="A49" s="1">
        <v>29285.0</v>
      </c>
      <c r="B49" s="1">
        <v>442.0</v>
      </c>
      <c r="C49" s="1">
        <v>2.0</v>
      </c>
      <c r="D49" s="1">
        <v>1.480192121E9</v>
      </c>
    </row>
    <row r="50">
      <c r="A50" s="1">
        <v>29286.0</v>
      </c>
      <c r="B50" s="1">
        <v>442.0</v>
      </c>
      <c r="C50" s="1">
        <v>2.0</v>
      </c>
      <c r="D50" s="1">
        <v>1.48019215E9</v>
      </c>
    </row>
    <row r="51">
      <c r="A51" s="1">
        <v>29511.0</v>
      </c>
      <c r="B51" s="1">
        <v>442.0</v>
      </c>
      <c r="C51" s="1">
        <v>2.0</v>
      </c>
      <c r="D51" s="1">
        <v>1.480275717E9</v>
      </c>
    </row>
    <row r="52">
      <c r="A52" s="1">
        <v>29512.0</v>
      </c>
      <c r="B52" s="1">
        <v>442.0</v>
      </c>
      <c r="C52" s="1">
        <v>2.0</v>
      </c>
      <c r="D52" s="1">
        <v>1.480275725E9</v>
      </c>
    </row>
    <row r="53">
      <c r="A53" s="1">
        <v>29513.0</v>
      </c>
      <c r="B53" s="1">
        <v>442.0</v>
      </c>
      <c r="C53" s="1">
        <v>2.0</v>
      </c>
      <c r="D53" s="1">
        <v>1.480275788E9</v>
      </c>
    </row>
    <row r="54">
      <c r="A54" s="1">
        <v>29514.0</v>
      </c>
      <c r="B54" s="1">
        <v>442.0</v>
      </c>
      <c r="C54" s="1">
        <v>2.0</v>
      </c>
      <c r="D54" s="1">
        <v>1.480275796E9</v>
      </c>
    </row>
    <row r="55">
      <c r="A55" s="1">
        <v>29516.0</v>
      </c>
      <c r="B55" s="1">
        <v>442.0</v>
      </c>
      <c r="C55" s="1">
        <v>2.0</v>
      </c>
      <c r="D55" s="1">
        <v>1.480275808E9</v>
      </c>
    </row>
    <row r="56">
      <c r="A56" s="1">
        <v>29517.0</v>
      </c>
      <c r="B56" s="1">
        <v>442.0</v>
      </c>
      <c r="C56" s="1">
        <v>2.0</v>
      </c>
      <c r="D56" s="1">
        <v>1.480275813E9</v>
      </c>
    </row>
    <row r="57">
      <c r="A57" s="1">
        <v>29522.0</v>
      </c>
      <c r="B57" s="1">
        <v>442.0</v>
      </c>
      <c r="C57" s="1">
        <v>2.0</v>
      </c>
      <c r="D57" s="1">
        <v>1.480275829E9</v>
      </c>
    </row>
    <row r="58">
      <c r="A58" s="1">
        <v>29523.0</v>
      </c>
      <c r="B58" s="1">
        <v>442.0</v>
      </c>
      <c r="C58" s="1">
        <v>2.0</v>
      </c>
      <c r="D58" s="1">
        <v>1.480275857E9</v>
      </c>
    </row>
    <row r="59">
      <c r="A59" s="1">
        <v>29524.0</v>
      </c>
      <c r="B59" s="1">
        <v>442.0</v>
      </c>
      <c r="C59" s="1">
        <v>2.0</v>
      </c>
      <c r="D59" s="1">
        <v>1.480275867E9</v>
      </c>
    </row>
    <row r="60">
      <c r="A60" s="1">
        <v>29924.0</v>
      </c>
      <c r="B60" s="1">
        <v>442.0</v>
      </c>
      <c r="C60" s="1">
        <v>2.0</v>
      </c>
      <c r="D60" s="1">
        <v>1.480353825E9</v>
      </c>
    </row>
    <row r="61">
      <c r="A61" s="1">
        <v>29925.0</v>
      </c>
      <c r="B61" s="1">
        <v>442.0</v>
      </c>
      <c r="C61" s="1">
        <v>2.0</v>
      </c>
      <c r="D61" s="1">
        <v>1.480353827E9</v>
      </c>
    </row>
    <row r="62">
      <c r="A62" s="1">
        <v>29990.0</v>
      </c>
      <c r="B62" s="1">
        <v>442.0</v>
      </c>
      <c r="C62" s="1">
        <v>2.0</v>
      </c>
      <c r="D62" s="1">
        <v>1.480386911E9</v>
      </c>
    </row>
    <row r="63">
      <c r="A63" s="1">
        <v>29991.0</v>
      </c>
      <c r="B63" s="1">
        <v>442.0</v>
      </c>
      <c r="C63" s="1">
        <v>2.0</v>
      </c>
      <c r="D63" s="1">
        <v>1.480386914E9</v>
      </c>
    </row>
    <row r="64">
      <c r="A64" s="1">
        <v>29992.0</v>
      </c>
      <c r="B64" s="1">
        <v>442.0</v>
      </c>
      <c r="C64" s="1">
        <v>2.0</v>
      </c>
      <c r="D64" s="1">
        <v>1.480386938E9</v>
      </c>
    </row>
    <row r="65">
      <c r="A65" s="1">
        <v>30041.0</v>
      </c>
      <c r="B65" s="1">
        <v>442.0</v>
      </c>
      <c r="C65" s="1">
        <v>2.0</v>
      </c>
      <c r="D65" s="1">
        <v>1.480449188E9</v>
      </c>
    </row>
    <row r="66">
      <c r="A66" s="1">
        <v>30042.0</v>
      </c>
      <c r="B66" s="1">
        <v>442.0</v>
      </c>
      <c r="C66" s="1">
        <v>2.0</v>
      </c>
      <c r="D66" s="1">
        <v>1.48044919E9</v>
      </c>
    </row>
    <row r="67">
      <c r="A67" s="1">
        <v>30043.0</v>
      </c>
      <c r="B67" s="1">
        <v>442.0</v>
      </c>
      <c r="C67" s="1">
        <v>2.0</v>
      </c>
      <c r="D67" s="1">
        <v>1.480449207E9</v>
      </c>
    </row>
    <row r="68">
      <c r="A68" s="1">
        <v>30044.0</v>
      </c>
      <c r="B68" s="1">
        <v>442.0</v>
      </c>
      <c r="C68" s="1">
        <v>2.0</v>
      </c>
      <c r="D68" s="1">
        <v>1.480449215E9</v>
      </c>
    </row>
    <row r="69">
      <c r="A69" s="1">
        <v>30045.0</v>
      </c>
      <c r="B69" s="1">
        <v>442.0</v>
      </c>
      <c r="C69" s="1">
        <v>2.0</v>
      </c>
      <c r="D69" s="1">
        <v>1.480449224E9</v>
      </c>
    </row>
    <row r="70">
      <c r="A70" s="1">
        <v>30196.0</v>
      </c>
      <c r="B70" s="1">
        <v>442.0</v>
      </c>
      <c r="C70" s="1">
        <v>2.0</v>
      </c>
      <c r="D70" s="1">
        <v>1.480522931E9</v>
      </c>
    </row>
    <row r="71">
      <c r="A71" s="1">
        <v>30197.0</v>
      </c>
      <c r="B71" s="1">
        <v>442.0</v>
      </c>
      <c r="C71" s="1">
        <v>2.0</v>
      </c>
      <c r="D71" s="1">
        <v>1.480522934E9</v>
      </c>
    </row>
    <row r="72">
      <c r="A72" s="1">
        <v>30198.0</v>
      </c>
      <c r="B72" s="1">
        <v>442.0</v>
      </c>
      <c r="C72" s="1">
        <v>2.0</v>
      </c>
      <c r="D72" s="1">
        <v>1.480522948E9</v>
      </c>
    </row>
    <row r="73">
      <c r="A73" s="1">
        <v>30199.0</v>
      </c>
      <c r="B73" s="1">
        <v>442.0</v>
      </c>
      <c r="C73" s="1">
        <v>2.0</v>
      </c>
      <c r="D73" s="1">
        <v>1.480522951E9</v>
      </c>
    </row>
    <row r="74">
      <c r="A74" s="1">
        <v>30214.0</v>
      </c>
      <c r="B74" s="1">
        <v>442.0</v>
      </c>
      <c r="C74" s="1">
        <v>2.0</v>
      </c>
      <c r="D74" s="1">
        <v>1.480524351E9</v>
      </c>
    </row>
    <row r="75">
      <c r="A75" s="1">
        <v>30391.0</v>
      </c>
      <c r="B75" s="1">
        <v>442.0</v>
      </c>
      <c r="C75" s="1">
        <v>2.0</v>
      </c>
      <c r="D75" s="1">
        <v>1.48060941E9</v>
      </c>
    </row>
    <row r="76">
      <c r="A76" s="1">
        <v>30392.0</v>
      </c>
      <c r="B76" s="1">
        <v>442.0</v>
      </c>
      <c r="C76" s="1">
        <v>2.0</v>
      </c>
      <c r="D76" s="1">
        <v>1.480609416E9</v>
      </c>
    </row>
    <row r="77">
      <c r="A77" s="1">
        <v>30393.0</v>
      </c>
      <c r="B77" s="1">
        <v>442.0</v>
      </c>
      <c r="C77" s="1">
        <v>2.0</v>
      </c>
      <c r="D77" s="1">
        <v>1.480609434E9</v>
      </c>
    </row>
    <row r="78">
      <c r="A78" s="1">
        <v>30394.0</v>
      </c>
      <c r="B78" s="1">
        <v>442.0</v>
      </c>
      <c r="C78" s="1">
        <v>2.0</v>
      </c>
      <c r="D78" s="1">
        <v>1.480609452E9</v>
      </c>
    </row>
    <row r="79">
      <c r="A79" s="1">
        <v>30395.0</v>
      </c>
      <c r="B79" s="1">
        <v>442.0</v>
      </c>
      <c r="C79" s="1">
        <v>2.0</v>
      </c>
      <c r="D79" s="1">
        <v>1.480609455E9</v>
      </c>
    </row>
    <row r="80">
      <c r="A80" s="1">
        <v>30411.0</v>
      </c>
      <c r="B80" s="1">
        <v>442.0</v>
      </c>
      <c r="C80" s="1">
        <v>2.0</v>
      </c>
      <c r="D80" s="1">
        <v>1.480611752E9</v>
      </c>
    </row>
    <row r="81">
      <c r="A81" s="1">
        <v>30412.0</v>
      </c>
      <c r="B81" s="1">
        <v>442.0</v>
      </c>
      <c r="C81" s="1">
        <v>2.0</v>
      </c>
      <c r="D81" s="1">
        <v>1.480611757E9</v>
      </c>
    </row>
    <row r="82">
      <c r="A82" s="1">
        <v>30494.0</v>
      </c>
      <c r="B82" s="1">
        <v>442.0</v>
      </c>
      <c r="C82" s="1">
        <v>2.0</v>
      </c>
      <c r="D82" s="1">
        <v>1.480694195E9</v>
      </c>
    </row>
    <row r="83">
      <c r="A83" s="1">
        <v>30495.0</v>
      </c>
      <c r="B83" s="1">
        <v>442.0</v>
      </c>
      <c r="C83" s="1">
        <v>2.0</v>
      </c>
      <c r="D83" s="1">
        <v>1.480694199E9</v>
      </c>
    </row>
    <row r="84">
      <c r="A84" s="1">
        <v>30551.0</v>
      </c>
      <c r="B84" s="1">
        <v>442.0</v>
      </c>
      <c r="C84" s="1">
        <v>2.0</v>
      </c>
      <c r="D84" s="1">
        <v>1.480703537E9</v>
      </c>
    </row>
    <row r="85">
      <c r="A85" s="1">
        <v>30552.0</v>
      </c>
      <c r="B85" s="1">
        <v>442.0</v>
      </c>
      <c r="C85" s="1">
        <v>2.0</v>
      </c>
      <c r="D85" s="1">
        <v>1.480703539E9</v>
      </c>
    </row>
    <row r="86">
      <c r="A86" s="1">
        <v>30553.0</v>
      </c>
      <c r="B86" s="1">
        <v>442.0</v>
      </c>
      <c r="C86" s="1">
        <v>2.0</v>
      </c>
      <c r="D86" s="1">
        <v>1.480703558E9</v>
      </c>
    </row>
    <row r="87">
      <c r="A87" s="1">
        <v>30554.0</v>
      </c>
      <c r="B87" s="1">
        <v>442.0</v>
      </c>
      <c r="C87" s="1">
        <v>2.0</v>
      </c>
      <c r="D87" s="1">
        <v>1.480703562E9</v>
      </c>
    </row>
    <row r="88">
      <c r="A88" s="1">
        <v>30556.0</v>
      </c>
      <c r="B88" s="1">
        <v>442.0</v>
      </c>
      <c r="C88" s="1">
        <v>2.0</v>
      </c>
      <c r="D88" s="1">
        <v>1.480703627E9</v>
      </c>
    </row>
    <row r="89">
      <c r="A89" s="1">
        <v>30557.0</v>
      </c>
      <c r="B89" s="1">
        <v>442.0</v>
      </c>
      <c r="C89" s="1">
        <v>2.0</v>
      </c>
      <c r="D89" s="1">
        <v>1.480703948E9</v>
      </c>
    </row>
    <row r="90">
      <c r="A90" s="1">
        <v>30558.0</v>
      </c>
      <c r="B90" s="1">
        <v>442.0</v>
      </c>
      <c r="C90" s="1">
        <v>2.0</v>
      </c>
      <c r="D90" s="1">
        <v>1.480703949E9</v>
      </c>
    </row>
    <row r="91">
      <c r="A91" s="1">
        <v>30560.0</v>
      </c>
      <c r="B91" s="1">
        <v>442.0</v>
      </c>
      <c r="C91" s="1">
        <v>2.0</v>
      </c>
      <c r="D91" s="1">
        <v>1.480704009E9</v>
      </c>
    </row>
    <row r="92">
      <c r="A92" s="1">
        <v>30576.0</v>
      </c>
      <c r="B92" s="1">
        <v>442.0</v>
      </c>
      <c r="C92" s="1">
        <v>2.0</v>
      </c>
      <c r="D92" s="1">
        <v>1.480704235E9</v>
      </c>
    </row>
    <row r="93">
      <c r="A93" s="1">
        <v>30721.0</v>
      </c>
      <c r="B93" s="1">
        <v>442.0</v>
      </c>
      <c r="C93" s="1">
        <v>2.0</v>
      </c>
      <c r="D93" s="1">
        <v>1.480956954E9</v>
      </c>
    </row>
    <row r="94">
      <c r="A94" s="1">
        <v>30722.0</v>
      </c>
      <c r="B94" s="1">
        <v>442.0</v>
      </c>
      <c r="C94" s="1">
        <v>2.0</v>
      </c>
      <c r="D94" s="1">
        <v>1.480956957E9</v>
      </c>
    </row>
    <row r="95">
      <c r="A95" s="1">
        <v>30803.0</v>
      </c>
      <c r="B95" s="1">
        <v>442.0</v>
      </c>
      <c r="C95" s="1">
        <v>2.0</v>
      </c>
      <c r="D95" s="1">
        <v>1.481086635E9</v>
      </c>
    </row>
    <row r="96">
      <c r="A96" s="1">
        <v>30804.0</v>
      </c>
      <c r="B96" s="1">
        <v>442.0</v>
      </c>
      <c r="C96" s="1">
        <v>2.0</v>
      </c>
      <c r="D96" s="1">
        <v>1.481086639E9</v>
      </c>
    </row>
    <row r="97">
      <c r="A97" s="1">
        <v>30994.0</v>
      </c>
      <c r="B97" s="1">
        <v>442.0</v>
      </c>
      <c r="C97" s="1">
        <v>2.0</v>
      </c>
      <c r="D97" s="1">
        <v>1.481600584E9</v>
      </c>
    </row>
    <row r="98">
      <c r="A98" s="1">
        <v>30995.0</v>
      </c>
      <c r="B98" s="1">
        <v>442.0</v>
      </c>
      <c r="C98" s="1">
        <v>2.0</v>
      </c>
      <c r="D98" s="1">
        <v>1.481600587E9</v>
      </c>
    </row>
    <row r="99">
      <c r="A99" s="1">
        <v>30996.0</v>
      </c>
      <c r="B99" s="1">
        <v>442.0</v>
      </c>
      <c r="C99" s="1">
        <v>2.0</v>
      </c>
      <c r="D99" s="1">
        <v>1.481600624E9</v>
      </c>
    </row>
    <row r="100">
      <c r="A100" s="1">
        <v>30997.0</v>
      </c>
      <c r="B100" s="1">
        <v>442.0</v>
      </c>
      <c r="C100" s="1">
        <v>2.0</v>
      </c>
      <c r="D100" s="1">
        <v>1.481600643E9</v>
      </c>
    </row>
    <row r="101">
      <c r="A101" s="1">
        <v>31000.0</v>
      </c>
      <c r="B101" s="1">
        <v>442.0</v>
      </c>
      <c r="C101" s="1">
        <v>2.0</v>
      </c>
      <c r="D101" s="1">
        <v>1.481601455E9</v>
      </c>
    </row>
    <row r="102">
      <c r="A102" s="1">
        <v>31001.0</v>
      </c>
      <c r="B102" s="1">
        <v>442.0</v>
      </c>
      <c r="C102" s="1">
        <v>2.0</v>
      </c>
      <c r="D102" s="1">
        <v>1.481603737E9</v>
      </c>
    </row>
    <row r="103">
      <c r="A103" s="1">
        <v>31002.0</v>
      </c>
      <c r="B103" s="1">
        <v>442.0</v>
      </c>
      <c r="C103" s="1">
        <v>2.0</v>
      </c>
      <c r="D103" s="1">
        <v>1.48160376E9</v>
      </c>
    </row>
    <row r="104">
      <c r="A104" s="1">
        <v>31003.0</v>
      </c>
      <c r="B104" s="1">
        <v>442.0</v>
      </c>
      <c r="C104" s="1">
        <v>2.0</v>
      </c>
      <c r="D104" s="1">
        <v>1.481603766E9</v>
      </c>
    </row>
    <row r="105">
      <c r="A105" s="1">
        <v>31004.0</v>
      </c>
      <c r="B105" s="1">
        <v>442.0</v>
      </c>
      <c r="C105" s="1">
        <v>2.0</v>
      </c>
      <c r="D105" s="1">
        <v>1.48160377E9</v>
      </c>
    </row>
    <row r="106">
      <c r="A106" s="1">
        <v>31007.0</v>
      </c>
      <c r="B106" s="1">
        <v>442.0</v>
      </c>
      <c r="C106" s="1">
        <v>2.0</v>
      </c>
      <c r="D106" s="1">
        <v>1.481604074E9</v>
      </c>
    </row>
    <row r="107">
      <c r="A107" s="1">
        <v>31009.0</v>
      </c>
      <c r="B107" s="1">
        <v>442.0</v>
      </c>
      <c r="C107" s="1">
        <v>2.0</v>
      </c>
      <c r="D107" s="1">
        <v>1.48160409E9</v>
      </c>
    </row>
    <row r="108">
      <c r="A108" s="1">
        <v>31010.0</v>
      </c>
      <c r="B108" s="1">
        <v>442.0</v>
      </c>
      <c r="C108" s="1">
        <v>2.0</v>
      </c>
      <c r="D108" s="1">
        <v>1.481604122E9</v>
      </c>
    </row>
    <row r="109">
      <c r="A109" s="1">
        <v>31012.0</v>
      </c>
      <c r="B109" s="1">
        <v>442.0</v>
      </c>
      <c r="C109" s="1">
        <v>2.0</v>
      </c>
      <c r="D109" s="1">
        <v>1.481604135E9</v>
      </c>
    </row>
    <row r="110">
      <c r="A110" s="1">
        <v>31148.0</v>
      </c>
      <c r="B110" s="1">
        <v>442.0</v>
      </c>
      <c r="C110" s="1">
        <v>2.0</v>
      </c>
      <c r="D110" s="1">
        <v>1.484615669E9</v>
      </c>
    </row>
    <row r="111">
      <c r="A111" s="1">
        <v>31149.0</v>
      </c>
      <c r="B111" s="1">
        <v>442.0</v>
      </c>
      <c r="C111" s="1">
        <v>2.0</v>
      </c>
      <c r="D111" s="1">
        <v>1.48461569E9</v>
      </c>
    </row>
    <row r="112">
      <c r="A112" s="1">
        <v>31150.0</v>
      </c>
      <c r="B112" s="1">
        <v>442.0</v>
      </c>
      <c r="C112" s="1">
        <v>2.0</v>
      </c>
      <c r="D112" s="1">
        <v>1.484615693E9</v>
      </c>
    </row>
    <row r="113">
      <c r="A113" s="1">
        <v>31151.0</v>
      </c>
      <c r="B113" s="1">
        <v>442.0</v>
      </c>
      <c r="C113" s="1">
        <v>2.0</v>
      </c>
      <c r="D113" s="1">
        <v>1.484615749E9</v>
      </c>
    </row>
    <row r="114">
      <c r="A114" s="1">
        <v>31152.0</v>
      </c>
      <c r="B114" s="1">
        <v>442.0</v>
      </c>
      <c r="C114" s="1">
        <v>2.0</v>
      </c>
      <c r="D114" s="1">
        <v>1.484615753E9</v>
      </c>
    </row>
    <row r="115">
      <c r="A115" s="1">
        <v>31194.0</v>
      </c>
      <c r="B115" s="1">
        <v>442.0</v>
      </c>
      <c r="C115" s="1">
        <v>2.0</v>
      </c>
      <c r="D115" s="1">
        <v>1.484661636E9</v>
      </c>
    </row>
    <row r="116">
      <c r="A116" s="1">
        <v>31195.0</v>
      </c>
      <c r="B116" s="1">
        <v>442.0</v>
      </c>
      <c r="C116" s="1">
        <v>2.0</v>
      </c>
      <c r="D116" s="1">
        <v>1.48466165E9</v>
      </c>
    </row>
    <row r="117">
      <c r="A117" s="1">
        <v>31196.0</v>
      </c>
      <c r="B117" s="1">
        <v>442.0</v>
      </c>
      <c r="C117" s="1">
        <v>2.0</v>
      </c>
      <c r="D117" s="1">
        <v>1.484661669E9</v>
      </c>
    </row>
    <row r="118">
      <c r="A118" s="1">
        <v>31197.0</v>
      </c>
      <c r="B118" s="1">
        <v>442.0</v>
      </c>
      <c r="C118" s="1">
        <v>2.0</v>
      </c>
      <c r="D118" s="1">
        <v>1.48466168E9</v>
      </c>
    </row>
    <row r="119">
      <c r="A119" s="1">
        <v>31198.0</v>
      </c>
      <c r="B119" s="1">
        <v>442.0</v>
      </c>
      <c r="C119" s="1">
        <v>2.0</v>
      </c>
      <c r="D119" s="1">
        <v>1.484661696E9</v>
      </c>
    </row>
    <row r="120">
      <c r="A120" s="1">
        <v>31234.0</v>
      </c>
      <c r="B120" s="1">
        <v>442.0</v>
      </c>
      <c r="C120" s="1">
        <v>2.0</v>
      </c>
      <c r="D120" s="1">
        <v>1.48467262E9</v>
      </c>
    </row>
    <row r="121">
      <c r="A121" s="1">
        <v>31235.0</v>
      </c>
      <c r="B121" s="1">
        <v>442.0</v>
      </c>
      <c r="C121" s="1">
        <v>2.0</v>
      </c>
      <c r="D121" s="1">
        <v>1.484672813E9</v>
      </c>
    </row>
    <row r="122">
      <c r="A122" s="1">
        <v>31258.0</v>
      </c>
      <c r="B122" s="1">
        <v>442.0</v>
      </c>
      <c r="C122" s="1">
        <v>2.0</v>
      </c>
      <c r="D122" s="1">
        <v>1.484758762E9</v>
      </c>
    </row>
    <row r="123">
      <c r="A123" s="1">
        <v>31259.0</v>
      </c>
      <c r="B123" s="1">
        <v>442.0</v>
      </c>
      <c r="C123" s="1">
        <v>2.0</v>
      </c>
      <c r="D123" s="1">
        <v>1.484758775E9</v>
      </c>
    </row>
    <row r="124">
      <c r="A124" s="1">
        <v>31260.0</v>
      </c>
      <c r="B124" s="1">
        <v>442.0</v>
      </c>
      <c r="C124" s="1">
        <v>2.0</v>
      </c>
      <c r="D124" s="1">
        <v>1.484758824E9</v>
      </c>
    </row>
    <row r="125">
      <c r="A125" s="1">
        <v>31261.0</v>
      </c>
      <c r="B125" s="1">
        <v>442.0</v>
      </c>
      <c r="C125" s="1">
        <v>2.0</v>
      </c>
      <c r="D125" s="1">
        <v>1.484758838E9</v>
      </c>
    </row>
    <row r="126">
      <c r="A126" s="1">
        <v>31264.0</v>
      </c>
      <c r="B126" s="1">
        <v>442.0</v>
      </c>
      <c r="C126" s="1">
        <v>2.0</v>
      </c>
      <c r="D126" s="1">
        <v>1.484759299E9</v>
      </c>
    </row>
    <row r="127">
      <c r="A127" s="1">
        <v>31269.0</v>
      </c>
      <c r="B127" s="1">
        <v>442.0</v>
      </c>
      <c r="C127" s="1">
        <v>2.0</v>
      </c>
      <c r="D127" s="1">
        <v>1.484760506E9</v>
      </c>
    </row>
    <row r="128">
      <c r="A128" s="1">
        <v>31303.0</v>
      </c>
      <c r="B128" s="1">
        <v>442.0</v>
      </c>
      <c r="C128" s="1">
        <v>2.0</v>
      </c>
      <c r="D128" s="1">
        <v>1.484764392E9</v>
      </c>
    </row>
    <row r="129">
      <c r="A129" s="1">
        <v>31304.0</v>
      </c>
      <c r="B129" s="1">
        <v>442.0</v>
      </c>
      <c r="C129" s="1">
        <v>2.0</v>
      </c>
      <c r="D129" s="1">
        <v>1.484764396E9</v>
      </c>
    </row>
    <row r="130">
      <c r="A130" s="1">
        <v>31305.0</v>
      </c>
      <c r="B130" s="1">
        <v>442.0</v>
      </c>
      <c r="C130" s="1">
        <v>2.0</v>
      </c>
      <c r="D130" s="1">
        <v>1.484764402E9</v>
      </c>
    </row>
    <row r="131">
      <c r="A131" s="1">
        <v>31306.0</v>
      </c>
      <c r="B131" s="1">
        <v>442.0</v>
      </c>
      <c r="C131" s="1">
        <v>2.0</v>
      </c>
      <c r="D131" s="1">
        <v>1.484764423E9</v>
      </c>
    </row>
    <row r="132">
      <c r="A132" s="1">
        <v>31307.0</v>
      </c>
      <c r="B132" s="1">
        <v>442.0</v>
      </c>
      <c r="C132" s="1">
        <v>2.0</v>
      </c>
      <c r="D132" s="1">
        <v>1.484764431E9</v>
      </c>
    </row>
    <row r="133">
      <c r="A133" s="1">
        <v>31333.0</v>
      </c>
      <c r="B133" s="1">
        <v>442.0</v>
      </c>
      <c r="C133" s="1">
        <v>2.0</v>
      </c>
      <c r="D133" s="1">
        <v>1.484769151E9</v>
      </c>
    </row>
    <row r="134">
      <c r="A134" s="1">
        <v>133868.0</v>
      </c>
      <c r="B134" s="1">
        <v>442.0</v>
      </c>
      <c r="C134" s="1">
        <v>2.0</v>
      </c>
      <c r="D134" s="1">
        <v>1.497668203E9</v>
      </c>
    </row>
    <row r="135">
      <c r="A135" s="1">
        <v>28321.0</v>
      </c>
      <c r="B135" s="1">
        <v>442.0</v>
      </c>
      <c r="C135" s="1">
        <v>10116.0</v>
      </c>
      <c r="D135" s="1">
        <v>1.480119148E9</v>
      </c>
    </row>
    <row r="136">
      <c r="A136" s="1">
        <v>28069.0</v>
      </c>
      <c r="B136" s="1">
        <v>442.0</v>
      </c>
      <c r="C136" s="1">
        <v>10120.0</v>
      </c>
      <c r="D136" s="1">
        <v>1.480118428E9</v>
      </c>
    </row>
    <row r="137">
      <c r="A137" s="1">
        <v>30502.0</v>
      </c>
      <c r="B137" s="1">
        <v>442.0</v>
      </c>
      <c r="C137" s="1">
        <v>10120.0</v>
      </c>
      <c r="D137" s="1">
        <v>1.480696927E9</v>
      </c>
    </row>
    <row r="138">
      <c r="A138" s="1">
        <v>30512.0</v>
      </c>
      <c r="B138" s="1">
        <v>442.0</v>
      </c>
      <c r="C138" s="1">
        <v>10120.0</v>
      </c>
      <c r="D138" s="1">
        <v>1.480696962E9</v>
      </c>
    </row>
    <row r="139">
      <c r="A139" s="1">
        <v>30514.0</v>
      </c>
      <c r="B139" s="1">
        <v>442.0</v>
      </c>
      <c r="C139" s="1">
        <v>10120.0</v>
      </c>
      <c r="D139" s="1">
        <v>1.480697338E9</v>
      </c>
    </row>
    <row r="140">
      <c r="A140" s="1">
        <v>30533.0</v>
      </c>
      <c r="B140" s="1">
        <v>442.0</v>
      </c>
      <c r="C140" s="1">
        <v>10120.0</v>
      </c>
      <c r="D140" s="1">
        <v>1.480701312E9</v>
      </c>
    </row>
    <row r="141">
      <c r="A141" s="1">
        <v>30563.0</v>
      </c>
      <c r="B141" s="1">
        <v>442.0</v>
      </c>
      <c r="C141" s="1">
        <v>10120.0</v>
      </c>
      <c r="D141" s="1">
        <v>1.480704063E9</v>
      </c>
    </row>
    <row r="142">
      <c r="A142" s="1">
        <v>27975.0</v>
      </c>
      <c r="B142" s="1">
        <v>442.0</v>
      </c>
      <c r="C142" s="1">
        <v>10122.0</v>
      </c>
      <c r="D142" s="1">
        <v>1.480118122E9</v>
      </c>
    </row>
    <row r="143">
      <c r="A143" s="1">
        <v>28485.0</v>
      </c>
      <c r="B143" s="1">
        <v>442.0</v>
      </c>
      <c r="C143" s="1">
        <v>10122.0</v>
      </c>
      <c r="D143" s="1">
        <v>1.480119727E9</v>
      </c>
    </row>
    <row r="144">
      <c r="A144" s="1">
        <v>29080.0</v>
      </c>
      <c r="B144" s="1">
        <v>442.0</v>
      </c>
      <c r="C144" s="1">
        <v>10126.0</v>
      </c>
      <c r="D144" s="1">
        <v>1.480161052E9</v>
      </c>
    </row>
    <row r="145">
      <c r="A145" s="1">
        <v>29127.0</v>
      </c>
      <c r="B145" s="1">
        <v>442.0</v>
      </c>
      <c r="C145" s="1">
        <v>10126.0</v>
      </c>
      <c r="D145" s="1">
        <v>1.480163733E9</v>
      </c>
    </row>
    <row r="146">
      <c r="A146" s="1">
        <v>29234.0</v>
      </c>
      <c r="B146" s="1">
        <v>442.0</v>
      </c>
      <c r="C146" s="1">
        <v>10126.0</v>
      </c>
      <c r="D146" s="1">
        <v>1.480182134E9</v>
      </c>
    </row>
    <row r="147">
      <c r="A147" s="1">
        <v>29296.0</v>
      </c>
      <c r="B147" s="1">
        <v>442.0</v>
      </c>
      <c r="C147" s="1">
        <v>10126.0</v>
      </c>
      <c r="D147" s="1">
        <v>1.480202519E9</v>
      </c>
    </row>
    <row r="148">
      <c r="A148" s="1">
        <v>29860.0</v>
      </c>
      <c r="B148" s="1">
        <v>442.0</v>
      </c>
      <c r="C148" s="1">
        <v>10126.0</v>
      </c>
      <c r="D148" s="1">
        <v>1.480332415E9</v>
      </c>
    </row>
    <row r="149">
      <c r="A149" s="1">
        <v>29862.0</v>
      </c>
      <c r="B149" s="1">
        <v>442.0</v>
      </c>
      <c r="C149" s="1">
        <v>10126.0</v>
      </c>
      <c r="D149" s="1">
        <v>1.480332418E9</v>
      </c>
    </row>
    <row r="150">
      <c r="A150" s="1">
        <v>28013.0</v>
      </c>
      <c r="B150" s="1">
        <v>442.0</v>
      </c>
      <c r="C150" s="1">
        <v>10128.0</v>
      </c>
      <c r="D150" s="1">
        <v>1.48011824E9</v>
      </c>
    </row>
    <row r="151">
      <c r="A151" s="1">
        <v>27979.0</v>
      </c>
      <c r="B151" s="1">
        <v>442.0</v>
      </c>
      <c r="C151" s="1">
        <v>10129.0</v>
      </c>
      <c r="D151" s="1">
        <v>1.480118128E9</v>
      </c>
    </row>
    <row r="152">
      <c r="A152" s="1">
        <v>27983.0</v>
      </c>
      <c r="B152" s="1">
        <v>442.0</v>
      </c>
      <c r="C152" s="1">
        <v>10129.0</v>
      </c>
      <c r="D152" s="1">
        <v>1.480118148E9</v>
      </c>
    </row>
    <row r="153">
      <c r="A153" s="1">
        <v>29184.0</v>
      </c>
      <c r="B153" s="1">
        <v>442.0</v>
      </c>
      <c r="C153" s="1">
        <v>10129.0</v>
      </c>
      <c r="D153" s="1">
        <v>1.480173607E9</v>
      </c>
    </row>
    <row r="154">
      <c r="A154" s="1">
        <v>29188.0</v>
      </c>
      <c r="B154" s="1">
        <v>442.0</v>
      </c>
      <c r="C154" s="1">
        <v>10129.0</v>
      </c>
      <c r="D154" s="1">
        <v>1.480174472E9</v>
      </c>
    </row>
    <row r="155">
      <c r="A155" s="1">
        <v>28473.0</v>
      </c>
      <c r="B155" s="1">
        <v>442.0</v>
      </c>
      <c r="C155" s="1">
        <v>10130.0</v>
      </c>
      <c r="D155" s="1">
        <v>1.480119668E9</v>
      </c>
    </row>
    <row r="156">
      <c r="A156" s="1">
        <v>28561.0</v>
      </c>
      <c r="B156" s="1">
        <v>442.0</v>
      </c>
      <c r="C156" s="1">
        <v>10130.0</v>
      </c>
      <c r="D156" s="1">
        <v>1.480120031E9</v>
      </c>
    </row>
    <row r="157">
      <c r="A157" s="1">
        <v>28436.0</v>
      </c>
      <c r="B157" s="1">
        <v>442.0</v>
      </c>
      <c r="C157" s="1">
        <v>10131.0</v>
      </c>
      <c r="D157" s="1">
        <v>1.480119455E9</v>
      </c>
    </row>
    <row r="158">
      <c r="A158" s="1">
        <v>28454.0</v>
      </c>
      <c r="B158" s="1">
        <v>442.0</v>
      </c>
      <c r="C158" s="1">
        <v>10131.0</v>
      </c>
      <c r="D158" s="1">
        <v>1.48011957E9</v>
      </c>
    </row>
    <row r="159">
      <c r="A159" s="1">
        <v>28894.0</v>
      </c>
      <c r="B159" s="1">
        <v>442.0</v>
      </c>
      <c r="C159" s="1">
        <v>10131.0</v>
      </c>
      <c r="D159" s="1">
        <v>1.480123646E9</v>
      </c>
    </row>
    <row r="160">
      <c r="A160" s="1">
        <v>29039.0</v>
      </c>
      <c r="B160" s="1">
        <v>442.0</v>
      </c>
      <c r="C160" s="1">
        <v>10131.0</v>
      </c>
      <c r="D160" s="1">
        <v>1.480129416E9</v>
      </c>
    </row>
    <row r="161">
      <c r="A161" s="1">
        <v>29040.0</v>
      </c>
      <c r="B161" s="1">
        <v>442.0</v>
      </c>
      <c r="C161" s="1">
        <v>10131.0</v>
      </c>
      <c r="D161" s="1">
        <v>1.480129425E9</v>
      </c>
    </row>
    <row r="162">
      <c r="A162" s="1">
        <v>29041.0</v>
      </c>
      <c r="B162" s="1">
        <v>442.0</v>
      </c>
      <c r="C162" s="1">
        <v>10131.0</v>
      </c>
      <c r="D162" s="1">
        <v>1.480129432E9</v>
      </c>
    </row>
    <row r="163">
      <c r="A163" s="1">
        <v>29043.0</v>
      </c>
      <c r="B163" s="1">
        <v>442.0</v>
      </c>
      <c r="C163" s="1">
        <v>10131.0</v>
      </c>
      <c r="D163" s="1">
        <v>1.480129678E9</v>
      </c>
    </row>
    <row r="164">
      <c r="A164" s="1">
        <v>28279.0</v>
      </c>
      <c r="B164" s="1">
        <v>442.0</v>
      </c>
      <c r="C164" s="1">
        <v>10132.0</v>
      </c>
      <c r="D164" s="1">
        <v>1.480119031E9</v>
      </c>
    </row>
    <row r="165">
      <c r="A165" s="1">
        <v>28587.0</v>
      </c>
      <c r="B165" s="1">
        <v>442.0</v>
      </c>
      <c r="C165" s="1">
        <v>10132.0</v>
      </c>
      <c r="D165" s="1">
        <v>1.480120243E9</v>
      </c>
    </row>
    <row r="166">
      <c r="A166" s="1">
        <v>28282.0</v>
      </c>
      <c r="B166" s="1">
        <v>442.0</v>
      </c>
      <c r="C166" s="1">
        <v>10133.0</v>
      </c>
      <c r="D166" s="1">
        <v>1.480119036E9</v>
      </c>
    </row>
    <row r="167">
      <c r="A167" s="1">
        <v>30922.0</v>
      </c>
      <c r="B167" s="1">
        <v>442.0</v>
      </c>
      <c r="C167" s="1">
        <v>10133.0</v>
      </c>
      <c r="D167" s="1">
        <v>1.481545931E9</v>
      </c>
    </row>
    <row r="168">
      <c r="A168" s="1">
        <v>28236.0</v>
      </c>
      <c r="B168" s="1">
        <v>442.0</v>
      </c>
      <c r="C168" s="1">
        <v>10134.0</v>
      </c>
      <c r="D168" s="1">
        <v>1.480118909E9</v>
      </c>
    </row>
    <row r="169">
      <c r="A169" s="1">
        <v>28387.0</v>
      </c>
      <c r="B169" s="1">
        <v>442.0</v>
      </c>
      <c r="C169" s="1">
        <v>10134.0</v>
      </c>
      <c r="D169" s="1">
        <v>1.480119366E9</v>
      </c>
    </row>
    <row r="170">
      <c r="A170" s="1">
        <v>29304.0</v>
      </c>
      <c r="B170" s="1">
        <v>442.0</v>
      </c>
      <c r="C170" s="1">
        <v>10135.0</v>
      </c>
      <c r="D170" s="1">
        <v>1.480203171E9</v>
      </c>
    </row>
    <row r="171">
      <c r="A171" s="1">
        <v>29887.0</v>
      </c>
      <c r="B171" s="1">
        <v>442.0</v>
      </c>
      <c r="C171" s="1">
        <v>10135.0</v>
      </c>
      <c r="D171" s="1">
        <v>1.480335178E9</v>
      </c>
    </row>
    <row r="172">
      <c r="A172" s="1">
        <v>30181.0</v>
      </c>
      <c r="B172" s="1">
        <v>442.0</v>
      </c>
      <c r="C172" s="1">
        <v>10135.0</v>
      </c>
      <c r="D172" s="1">
        <v>1.480521118E9</v>
      </c>
    </row>
    <row r="173">
      <c r="A173" s="1">
        <v>30192.0</v>
      </c>
      <c r="B173" s="1">
        <v>442.0</v>
      </c>
      <c r="C173" s="1">
        <v>10135.0</v>
      </c>
      <c r="D173" s="1">
        <v>1.480521695E9</v>
      </c>
    </row>
    <row r="174">
      <c r="A174" s="1">
        <v>30445.0</v>
      </c>
      <c r="B174" s="1">
        <v>442.0</v>
      </c>
      <c r="C174" s="1">
        <v>10135.0</v>
      </c>
      <c r="D174" s="1">
        <v>1.480681204E9</v>
      </c>
    </row>
    <row r="175">
      <c r="A175" s="1">
        <v>30603.0</v>
      </c>
      <c r="B175" s="1">
        <v>442.0</v>
      </c>
      <c r="C175" s="1">
        <v>10135.0</v>
      </c>
      <c r="D175" s="1">
        <v>1.480719874E9</v>
      </c>
    </row>
    <row r="176">
      <c r="A176" s="1">
        <v>30604.0</v>
      </c>
      <c r="B176" s="1">
        <v>442.0</v>
      </c>
      <c r="C176" s="1">
        <v>10135.0</v>
      </c>
      <c r="D176" s="1">
        <v>1.480719883E9</v>
      </c>
    </row>
    <row r="177">
      <c r="A177" s="1">
        <v>30605.0</v>
      </c>
      <c r="B177" s="1">
        <v>442.0</v>
      </c>
      <c r="C177" s="1">
        <v>10135.0</v>
      </c>
      <c r="D177" s="1">
        <v>1.480719904E9</v>
      </c>
    </row>
    <row r="178">
      <c r="A178" s="1">
        <v>27785.0</v>
      </c>
      <c r="B178" s="1">
        <v>442.0</v>
      </c>
      <c r="C178" s="1">
        <v>10136.0</v>
      </c>
      <c r="D178" s="1">
        <v>1.480117741E9</v>
      </c>
    </row>
    <row r="179">
      <c r="A179" s="1">
        <v>27869.0</v>
      </c>
      <c r="B179" s="1">
        <v>442.0</v>
      </c>
      <c r="C179" s="1">
        <v>10136.0</v>
      </c>
      <c r="D179" s="1">
        <v>1.480117933E9</v>
      </c>
    </row>
    <row r="180">
      <c r="A180" s="1">
        <v>27880.0</v>
      </c>
      <c r="B180" s="1">
        <v>442.0</v>
      </c>
      <c r="C180" s="1">
        <v>10136.0</v>
      </c>
      <c r="D180" s="1">
        <v>1.480117949E9</v>
      </c>
    </row>
    <row r="181">
      <c r="A181" s="1">
        <v>29949.0</v>
      </c>
      <c r="B181" s="1">
        <v>442.0</v>
      </c>
      <c r="C181" s="1">
        <v>10137.0</v>
      </c>
      <c r="D181" s="1">
        <v>1.480361245E9</v>
      </c>
    </row>
    <row r="182">
      <c r="A182" s="1">
        <v>27528.0</v>
      </c>
      <c r="B182" s="1">
        <v>442.0</v>
      </c>
      <c r="C182" s="1">
        <v>10138.0</v>
      </c>
      <c r="D182" s="1">
        <v>1.480117125E9</v>
      </c>
    </row>
    <row r="183">
      <c r="A183" s="1">
        <v>28309.0</v>
      </c>
      <c r="B183" s="1">
        <v>442.0</v>
      </c>
      <c r="C183" s="1">
        <v>10138.0</v>
      </c>
      <c r="D183" s="1">
        <v>1.480119124E9</v>
      </c>
    </row>
    <row r="184">
      <c r="A184" s="1">
        <v>30054.0</v>
      </c>
      <c r="B184" s="1">
        <v>442.0</v>
      </c>
      <c r="C184" s="1">
        <v>10138.0</v>
      </c>
      <c r="D184" s="1">
        <v>1.480455108E9</v>
      </c>
    </row>
    <row r="185">
      <c r="A185" s="1">
        <v>28275.0</v>
      </c>
      <c r="B185" s="1">
        <v>442.0</v>
      </c>
      <c r="C185" s="1">
        <v>10139.0</v>
      </c>
      <c r="D185" s="1">
        <v>1.480119017E9</v>
      </c>
    </row>
    <row r="186">
      <c r="A186" s="1">
        <v>27092.0</v>
      </c>
      <c r="B186" s="1">
        <v>442.0</v>
      </c>
      <c r="C186" s="1">
        <v>10140.0</v>
      </c>
      <c r="D186" s="1">
        <v>1.480115748E9</v>
      </c>
    </row>
    <row r="187">
      <c r="A187" s="1">
        <v>27338.0</v>
      </c>
      <c r="B187" s="1">
        <v>442.0</v>
      </c>
      <c r="C187" s="1">
        <v>10140.0</v>
      </c>
      <c r="D187" s="1">
        <v>1.480116732E9</v>
      </c>
    </row>
    <row r="188">
      <c r="A188" s="1">
        <v>28338.0</v>
      </c>
      <c r="B188" s="1">
        <v>442.0</v>
      </c>
      <c r="C188" s="1">
        <v>10140.0</v>
      </c>
      <c r="D188" s="1">
        <v>1.480119217E9</v>
      </c>
    </row>
    <row r="189">
      <c r="A189" s="1">
        <v>30856.0</v>
      </c>
      <c r="B189" s="1">
        <v>442.0</v>
      </c>
      <c r="C189" s="1">
        <v>10140.0</v>
      </c>
      <c r="D189" s="1">
        <v>1.481419799E9</v>
      </c>
    </row>
    <row r="190">
      <c r="A190" s="1">
        <v>27892.0</v>
      </c>
      <c r="B190" s="1">
        <v>442.0</v>
      </c>
      <c r="C190" s="1">
        <v>10141.0</v>
      </c>
      <c r="D190" s="1">
        <v>1.48011797E9</v>
      </c>
    </row>
    <row r="191">
      <c r="A191" s="1">
        <v>28200.0</v>
      </c>
      <c r="B191" s="1">
        <v>442.0</v>
      </c>
      <c r="C191" s="1">
        <v>10141.0</v>
      </c>
      <c r="D191" s="1">
        <v>1.480118841E9</v>
      </c>
    </row>
    <row r="192">
      <c r="A192" s="1">
        <v>28938.0</v>
      </c>
      <c r="B192" s="1">
        <v>442.0</v>
      </c>
      <c r="C192" s="1">
        <v>10141.0</v>
      </c>
      <c r="D192" s="1">
        <v>1.480124872E9</v>
      </c>
    </row>
    <row r="193">
      <c r="A193" s="1">
        <v>28945.0</v>
      </c>
      <c r="B193" s="1">
        <v>442.0</v>
      </c>
      <c r="C193" s="1">
        <v>10141.0</v>
      </c>
      <c r="D193" s="1">
        <v>1.480124973E9</v>
      </c>
    </row>
    <row r="194">
      <c r="A194" s="1">
        <v>29310.0</v>
      </c>
      <c r="B194" s="1">
        <v>442.0</v>
      </c>
      <c r="C194" s="1">
        <v>10141.0</v>
      </c>
      <c r="D194" s="1">
        <v>1.480203721E9</v>
      </c>
    </row>
    <row r="195">
      <c r="A195" s="1">
        <v>29312.0</v>
      </c>
      <c r="B195" s="1">
        <v>442.0</v>
      </c>
      <c r="C195" s="1">
        <v>10141.0</v>
      </c>
      <c r="D195" s="1">
        <v>1.480203737E9</v>
      </c>
    </row>
    <row r="196">
      <c r="A196" s="1">
        <v>29361.0</v>
      </c>
      <c r="B196" s="1">
        <v>442.0</v>
      </c>
      <c r="C196" s="1">
        <v>10141.0</v>
      </c>
      <c r="D196" s="1">
        <v>1.480266115E9</v>
      </c>
    </row>
    <row r="197">
      <c r="A197" s="1">
        <v>28120.0</v>
      </c>
      <c r="B197" s="1">
        <v>442.0</v>
      </c>
      <c r="C197" s="1">
        <v>10144.0</v>
      </c>
      <c r="D197" s="1">
        <v>1.480118568E9</v>
      </c>
    </row>
    <row r="198">
      <c r="A198" s="1">
        <v>28640.0</v>
      </c>
      <c r="B198" s="1">
        <v>442.0</v>
      </c>
      <c r="C198" s="1">
        <v>10144.0</v>
      </c>
      <c r="D198" s="1">
        <v>1.480120422E9</v>
      </c>
    </row>
    <row r="199">
      <c r="A199" s="1">
        <v>28732.0</v>
      </c>
      <c r="B199" s="1">
        <v>442.0</v>
      </c>
      <c r="C199" s="1">
        <v>10144.0</v>
      </c>
      <c r="D199" s="1">
        <v>1.480121336E9</v>
      </c>
    </row>
    <row r="200">
      <c r="A200" s="1">
        <v>28792.0</v>
      </c>
      <c r="B200" s="1">
        <v>442.0</v>
      </c>
      <c r="C200" s="1">
        <v>10144.0</v>
      </c>
      <c r="D200" s="1">
        <v>1.480122249E9</v>
      </c>
    </row>
    <row r="201">
      <c r="A201" s="1">
        <v>29453.0</v>
      </c>
      <c r="B201" s="1">
        <v>442.0</v>
      </c>
      <c r="C201" s="1">
        <v>10144.0</v>
      </c>
      <c r="D201" s="1">
        <v>1.480272923E9</v>
      </c>
    </row>
    <row r="202">
      <c r="A202" s="1">
        <v>29577.0</v>
      </c>
      <c r="B202" s="1">
        <v>442.0</v>
      </c>
      <c r="C202" s="1">
        <v>10144.0</v>
      </c>
      <c r="D202" s="1">
        <v>1.480325863E9</v>
      </c>
    </row>
    <row r="203">
      <c r="A203" s="1">
        <v>29640.0</v>
      </c>
      <c r="B203" s="1">
        <v>442.0</v>
      </c>
      <c r="C203" s="1">
        <v>10144.0</v>
      </c>
      <c r="D203" s="1">
        <v>1.480327138E9</v>
      </c>
    </row>
    <row r="204">
      <c r="A204" s="1">
        <v>27862.0</v>
      </c>
      <c r="B204" s="1">
        <v>442.0</v>
      </c>
      <c r="C204" s="1">
        <v>10145.0</v>
      </c>
      <c r="D204" s="1">
        <v>1.480117925E9</v>
      </c>
    </row>
    <row r="205">
      <c r="A205" s="1">
        <v>28778.0</v>
      </c>
      <c r="B205" s="1">
        <v>442.0</v>
      </c>
      <c r="C205" s="1">
        <v>10145.0</v>
      </c>
      <c r="D205" s="1">
        <v>1.480121771E9</v>
      </c>
    </row>
    <row r="206">
      <c r="A206" s="1">
        <v>28853.0</v>
      </c>
      <c r="B206" s="1">
        <v>442.0</v>
      </c>
      <c r="C206" s="1">
        <v>10145.0</v>
      </c>
      <c r="D206" s="1">
        <v>1.480123015E9</v>
      </c>
    </row>
    <row r="207">
      <c r="A207" s="1">
        <v>28860.0</v>
      </c>
      <c r="B207" s="1">
        <v>442.0</v>
      </c>
      <c r="C207" s="1">
        <v>10145.0</v>
      </c>
      <c r="D207" s="1">
        <v>1.48012311E9</v>
      </c>
    </row>
    <row r="208">
      <c r="A208" s="1">
        <v>27537.0</v>
      </c>
      <c r="B208" s="1">
        <v>442.0</v>
      </c>
      <c r="C208" s="1">
        <v>10146.0</v>
      </c>
      <c r="D208" s="1">
        <v>1.480117166E9</v>
      </c>
    </row>
    <row r="209">
      <c r="A209" s="1">
        <v>28493.0</v>
      </c>
      <c r="B209" s="1">
        <v>442.0</v>
      </c>
      <c r="C209" s="1">
        <v>10148.0</v>
      </c>
      <c r="D209" s="1">
        <v>1.480119772E9</v>
      </c>
    </row>
    <row r="210">
      <c r="A210" s="1">
        <v>28702.0</v>
      </c>
      <c r="B210" s="1">
        <v>442.0</v>
      </c>
      <c r="C210" s="1">
        <v>10148.0</v>
      </c>
      <c r="D210" s="1">
        <v>1.480120656E9</v>
      </c>
    </row>
    <row r="211">
      <c r="A211" s="1">
        <v>28731.0</v>
      </c>
      <c r="B211" s="1">
        <v>442.0</v>
      </c>
      <c r="C211" s="1">
        <v>10148.0</v>
      </c>
      <c r="D211" s="1">
        <v>1.480121193E9</v>
      </c>
    </row>
    <row r="212">
      <c r="A212" s="1">
        <v>28735.0</v>
      </c>
      <c r="B212" s="1">
        <v>442.0</v>
      </c>
      <c r="C212" s="1">
        <v>10148.0</v>
      </c>
      <c r="D212" s="1">
        <v>1.480121429E9</v>
      </c>
    </row>
    <row r="213">
      <c r="A213" s="1">
        <v>28811.0</v>
      </c>
      <c r="B213" s="1">
        <v>442.0</v>
      </c>
      <c r="C213" s="1">
        <v>10148.0</v>
      </c>
      <c r="D213" s="1">
        <v>1.480122441E9</v>
      </c>
    </row>
    <row r="214">
      <c r="A214" s="1">
        <v>28895.0</v>
      </c>
      <c r="B214" s="1">
        <v>442.0</v>
      </c>
      <c r="C214" s="1">
        <v>10148.0</v>
      </c>
      <c r="D214" s="1">
        <v>1.480123824E9</v>
      </c>
    </row>
    <row r="215">
      <c r="A215" s="1">
        <v>29024.0</v>
      </c>
      <c r="B215" s="1">
        <v>442.0</v>
      </c>
      <c r="C215" s="1">
        <v>10148.0</v>
      </c>
      <c r="D215" s="1">
        <v>1.480126016E9</v>
      </c>
    </row>
    <row r="216">
      <c r="A216" s="1">
        <v>29910.0</v>
      </c>
      <c r="B216" s="1">
        <v>442.0</v>
      </c>
      <c r="C216" s="1">
        <v>10148.0</v>
      </c>
      <c r="D216" s="1">
        <v>1.480351425E9</v>
      </c>
    </row>
    <row r="217">
      <c r="A217" s="1">
        <v>30073.0</v>
      </c>
      <c r="B217" s="1">
        <v>442.0</v>
      </c>
      <c r="C217" s="1">
        <v>10148.0</v>
      </c>
      <c r="D217" s="1">
        <v>1.480499285E9</v>
      </c>
    </row>
    <row r="218">
      <c r="A218" s="1">
        <v>30075.0</v>
      </c>
      <c r="B218" s="1">
        <v>442.0</v>
      </c>
      <c r="C218" s="1">
        <v>10148.0</v>
      </c>
      <c r="D218" s="1">
        <v>1.480499311E9</v>
      </c>
    </row>
    <row r="219">
      <c r="A219" s="1">
        <v>30084.0</v>
      </c>
      <c r="B219" s="1">
        <v>442.0</v>
      </c>
      <c r="C219" s="1">
        <v>10148.0</v>
      </c>
      <c r="D219" s="1">
        <v>1.480509632E9</v>
      </c>
    </row>
    <row r="220">
      <c r="A220" s="1">
        <v>30111.0</v>
      </c>
      <c r="B220" s="1">
        <v>442.0</v>
      </c>
      <c r="C220" s="1">
        <v>10148.0</v>
      </c>
      <c r="D220" s="1">
        <v>1.480510861E9</v>
      </c>
    </row>
    <row r="221">
      <c r="A221" s="1">
        <v>30134.0</v>
      </c>
      <c r="B221" s="1">
        <v>442.0</v>
      </c>
      <c r="C221" s="1">
        <v>10148.0</v>
      </c>
      <c r="D221" s="1">
        <v>1.480512387E9</v>
      </c>
    </row>
    <row r="222">
      <c r="A222" s="1">
        <v>30149.0</v>
      </c>
      <c r="B222" s="1">
        <v>442.0</v>
      </c>
      <c r="C222" s="1">
        <v>10148.0</v>
      </c>
      <c r="D222" s="1">
        <v>1.480519519E9</v>
      </c>
    </row>
    <row r="223">
      <c r="A223" s="1">
        <v>30164.0</v>
      </c>
      <c r="B223" s="1">
        <v>442.0</v>
      </c>
      <c r="C223" s="1">
        <v>10148.0</v>
      </c>
      <c r="D223" s="1">
        <v>1.480519732E9</v>
      </c>
    </row>
    <row r="224">
      <c r="A224" s="1">
        <v>30174.0</v>
      </c>
      <c r="B224" s="1">
        <v>442.0</v>
      </c>
      <c r="C224" s="1">
        <v>10148.0</v>
      </c>
      <c r="D224" s="1">
        <v>1.48052076E9</v>
      </c>
    </row>
    <row r="225">
      <c r="A225" s="1">
        <v>30265.0</v>
      </c>
      <c r="B225" s="1">
        <v>442.0</v>
      </c>
      <c r="C225" s="1">
        <v>10148.0</v>
      </c>
      <c r="D225" s="1">
        <v>1.480530282E9</v>
      </c>
    </row>
    <row r="226">
      <c r="A226" s="1">
        <v>30266.0</v>
      </c>
      <c r="B226" s="1">
        <v>442.0</v>
      </c>
      <c r="C226" s="1">
        <v>10148.0</v>
      </c>
      <c r="D226" s="1">
        <v>1.480530285E9</v>
      </c>
    </row>
    <row r="227">
      <c r="A227" s="1">
        <v>30331.0</v>
      </c>
      <c r="B227" s="1">
        <v>442.0</v>
      </c>
      <c r="C227" s="1">
        <v>10148.0</v>
      </c>
      <c r="D227" s="1">
        <v>1.480554868E9</v>
      </c>
    </row>
    <row r="228">
      <c r="A228" s="1">
        <v>30332.0</v>
      </c>
      <c r="B228" s="1">
        <v>442.0</v>
      </c>
      <c r="C228" s="1">
        <v>10148.0</v>
      </c>
      <c r="D228" s="1">
        <v>1.48055487E9</v>
      </c>
    </row>
    <row r="229">
      <c r="A229" s="1">
        <v>30334.0</v>
      </c>
      <c r="B229" s="1">
        <v>442.0</v>
      </c>
      <c r="C229" s="1">
        <v>10148.0</v>
      </c>
      <c r="D229" s="1">
        <v>1.480554887E9</v>
      </c>
    </row>
    <row r="230">
      <c r="A230" s="1">
        <v>30335.0</v>
      </c>
      <c r="B230" s="1">
        <v>442.0</v>
      </c>
      <c r="C230" s="1">
        <v>10148.0</v>
      </c>
      <c r="D230" s="1">
        <v>1.480554891E9</v>
      </c>
    </row>
    <row r="231">
      <c r="A231" s="1">
        <v>28093.0</v>
      </c>
      <c r="B231" s="1">
        <v>442.0</v>
      </c>
      <c r="C231" s="1">
        <v>10149.0</v>
      </c>
      <c r="D231" s="1">
        <v>1.480118494E9</v>
      </c>
    </row>
    <row r="232">
      <c r="A232" s="1">
        <v>28250.0</v>
      </c>
      <c r="B232" s="1">
        <v>442.0</v>
      </c>
      <c r="C232" s="1">
        <v>10149.0</v>
      </c>
      <c r="D232" s="1">
        <v>1.480118997E9</v>
      </c>
    </row>
    <row r="233">
      <c r="A233" s="1">
        <v>28546.0</v>
      </c>
      <c r="B233" s="1">
        <v>442.0</v>
      </c>
      <c r="C233" s="1">
        <v>10149.0</v>
      </c>
      <c r="D233" s="1">
        <v>1.480119985E9</v>
      </c>
    </row>
    <row r="234">
      <c r="A234" s="1">
        <v>27845.0</v>
      </c>
      <c r="B234" s="1">
        <v>442.0</v>
      </c>
      <c r="C234" s="1">
        <v>10152.0</v>
      </c>
      <c r="D234" s="1">
        <v>1.480117888E9</v>
      </c>
    </row>
    <row r="235">
      <c r="A235" s="1">
        <v>28701.0</v>
      </c>
      <c r="B235" s="1">
        <v>442.0</v>
      </c>
      <c r="C235" s="1">
        <v>10152.0</v>
      </c>
      <c r="D235" s="1">
        <v>1.480120651E9</v>
      </c>
    </row>
    <row r="236">
      <c r="A236" s="1">
        <v>29903.0</v>
      </c>
      <c r="B236" s="1">
        <v>442.0</v>
      </c>
      <c r="C236" s="1">
        <v>10152.0</v>
      </c>
      <c r="D236" s="1">
        <v>1.480347658E9</v>
      </c>
    </row>
    <row r="237">
      <c r="A237" s="1">
        <v>29432.0</v>
      </c>
      <c r="B237" s="1">
        <v>442.0</v>
      </c>
      <c r="C237" s="1">
        <v>10153.0</v>
      </c>
      <c r="D237" s="1">
        <v>1.48026703E9</v>
      </c>
    </row>
    <row r="238">
      <c r="A238" s="1">
        <v>29246.0</v>
      </c>
      <c r="B238" s="1">
        <v>442.0</v>
      </c>
      <c r="C238" s="1">
        <v>10158.0</v>
      </c>
      <c r="D238" s="1">
        <v>1.480183836E9</v>
      </c>
    </row>
    <row r="239">
      <c r="A239" s="1">
        <v>29538.0</v>
      </c>
      <c r="B239" s="1">
        <v>442.0</v>
      </c>
      <c r="C239" s="1">
        <v>10158.0</v>
      </c>
      <c r="D239" s="1">
        <v>1.480280323E9</v>
      </c>
    </row>
    <row r="240">
      <c r="A240" s="1">
        <v>30880.0</v>
      </c>
      <c r="B240" s="1">
        <v>442.0</v>
      </c>
      <c r="C240" s="1">
        <v>10166.0</v>
      </c>
      <c r="D240" s="1">
        <v>1.481422898E9</v>
      </c>
    </row>
    <row r="241">
      <c r="A241" s="1">
        <v>30909.0</v>
      </c>
      <c r="B241" s="1">
        <v>442.0</v>
      </c>
      <c r="C241" s="1">
        <v>10166.0</v>
      </c>
      <c r="D241" s="1">
        <v>1.481488862E9</v>
      </c>
    </row>
    <row r="242">
      <c r="A242" s="1">
        <v>30938.0</v>
      </c>
      <c r="B242" s="1">
        <v>442.0</v>
      </c>
      <c r="C242" s="1">
        <v>10167.0</v>
      </c>
      <c r="D242" s="1">
        <v>1.481589402E9</v>
      </c>
    </row>
    <row r="243">
      <c r="A243" s="1">
        <v>30965.0</v>
      </c>
      <c r="B243" s="1">
        <v>442.0</v>
      </c>
      <c r="C243" s="1">
        <v>10167.0</v>
      </c>
      <c r="D243" s="1">
        <v>1.481591526E9</v>
      </c>
    </row>
    <row r="244">
      <c r="A244" s="1">
        <v>30983.0</v>
      </c>
      <c r="B244" s="1">
        <v>442.0</v>
      </c>
      <c r="C244" s="1">
        <v>10167.0</v>
      </c>
      <c r="D244" s="1">
        <v>1.481596465E9</v>
      </c>
    </row>
    <row r="245">
      <c r="A245" s="1">
        <v>30984.0</v>
      </c>
      <c r="B245" s="1">
        <v>442.0</v>
      </c>
      <c r="C245" s="1">
        <v>10167.0</v>
      </c>
      <c r="D245" s="1">
        <v>1.481596481E9</v>
      </c>
    </row>
    <row r="246">
      <c r="A246" s="1">
        <v>27357.0</v>
      </c>
      <c r="B246" s="1">
        <v>443.0</v>
      </c>
      <c r="C246" s="1">
        <v>2.0</v>
      </c>
      <c r="D246" s="1">
        <v>1.480116769E9</v>
      </c>
    </row>
    <row r="247">
      <c r="A247" s="1">
        <v>27360.0</v>
      </c>
      <c r="B247" s="1">
        <v>443.0</v>
      </c>
      <c r="C247" s="1">
        <v>2.0</v>
      </c>
      <c r="D247" s="1">
        <v>1.480116774E9</v>
      </c>
    </row>
    <row r="248">
      <c r="A248" s="1">
        <v>27383.0</v>
      </c>
      <c r="B248" s="1">
        <v>443.0</v>
      </c>
      <c r="C248" s="1">
        <v>2.0</v>
      </c>
      <c r="D248" s="1">
        <v>1.480116815E9</v>
      </c>
    </row>
    <row r="249">
      <c r="A249" s="1">
        <v>27386.0</v>
      </c>
      <c r="B249" s="1">
        <v>443.0</v>
      </c>
      <c r="C249" s="1">
        <v>2.0</v>
      </c>
      <c r="D249" s="1">
        <v>1.48011682E9</v>
      </c>
    </row>
    <row r="250">
      <c r="A250" s="1">
        <v>27399.0</v>
      </c>
      <c r="B250" s="1">
        <v>443.0</v>
      </c>
      <c r="C250" s="1">
        <v>2.0</v>
      </c>
      <c r="D250" s="1">
        <v>1.480116838E9</v>
      </c>
    </row>
    <row r="251">
      <c r="A251" s="1">
        <v>27402.0</v>
      </c>
      <c r="B251" s="1">
        <v>443.0</v>
      </c>
      <c r="C251" s="1">
        <v>2.0</v>
      </c>
      <c r="D251" s="1">
        <v>1.480116843E9</v>
      </c>
    </row>
    <row r="252">
      <c r="A252" s="1">
        <v>27526.0</v>
      </c>
      <c r="B252" s="1">
        <v>443.0</v>
      </c>
      <c r="C252" s="1">
        <v>2.0</v>
      </c>
      <c r="D252" s="1">
        <v>1.480117117E9</v>
      </c>
    </row>
    <row r="253">
      <c r="A253" s="1">
        <v>27530.0</v>
      </c>
      <c r="B253" s="1">
        <v>443.0</v>
      </c>
      <c r="C253" s="1">
        <v>2.0</v>
      </c>
      <c r="D253" s="1">
        <v>1.480117137E9</v>
      </c>
    </row>
    <row r="254">
      <c r="A254" s="1">
        <v>27531.0</v>
      </c>
      <c r="B254" s="1">
        <v>443.0</v>
      </c>
      <c r="C254" s="1">
        <v>2.0</v>
      </c>
      <c r="D254" s="1">
        <v>1.48011714E9</v>
      </c>
    </row>
    <row r="255">
      <c r="A255" s="1">
        <v>27572.0</v>
      </c>
      <c r="B255" s="1">
        <v>443.0</v>
      </c>
      <c r="C255" s="1">
        <v>2.0</v>
      </c>
      <c r="D255" s="1">
        <v>1.480117259E9</v>
      </c>
    </row>
    <row r="256">
      <c r="A256" s="1">
        <v>27614.0</v>
      </c>
      <c r="B256" s="1">
        <v>443.0</v>
      </c>
      <c r="C256" s="1">
        <v>2.0</v>
      </c>
      <c r="D256" s="1">
        <v>1.480117366E9</v>
      </c>
    </row>
    <row r="257">
      <c r="A257" s="1">
        <v>27615.0</v>
      </c>
      <c r="B257" s="1">
        <v>443.0</v>
      </c>
      <c r="C257" s="1">
        <v>2.0</v>
      </c>
      <c r="D257" s="1">
        <v>1.480117368E9</v>
      </c>
    </row>
    <row r="258">
      <c r="A258" s="1">
        <v>27689.0</v>
      </c>
      <c r="B258" s="1">
        <v>443.0</v>
      </c>
      <c r="C258" s="1">
        <v>2.0</v>
      </c>
      <c r="D258" s="1">
        <v>1.480117565E9</v>
      </c>
    </row>
    <row r="259">
      <c r="A259" s="1">
        <v>27838.0</v>
      </c>
      <c r="B259" s="1">
        <v>443.0</v>
      </c>
      <c r="C259" s="1">
        <v>2.0</v>
      </c>
      <c r="D259" s="1">
        <v>1.480117867E9</v>
      </c>
    </row>
    <row r="260">
      <c r="A260" s="1">
        <v>27843.0</v>
      </c>
      <c r="B260" s="1">
        <v>443.0</v>
      </c>
      <c r="C260" s="1">
        <v>2.0</v>
      </c>
      <c r="D260" s="1">
        <v>1.480117881E9</v>
      </c>
    </row>
    <row r="261">
      <c r="A261" s="1">
        <v>27844.0</v>
      </c>
      <c r="B261" s="1">
        <v>443.0</v>
      </c>
      <c r="C261" s="1">
        <v>2.0</v>
      </c>
      <c r="D261" s="1">
        <v>1.480117887E9</v>
      </c>
    </row>
    <row r="262">
      <c r="A262" s="1">
        <v>27847.0</v>
      </c>
      <c r="B262" s="1">
        <v>443.0</v>
      </c>
      <c r="C262" s="1">
        <v>2.0</v>
      </c>
      <c r="D262" s="1">
        <v>1.480117908E9</v>
      </c>
    </row>
    <row r="263">
      <c r="A263" s="1">
        <v>28024.0</v>
      </c>
      <c r="B263" s="1">
        <v>443.0</v>
      </c>
      <c r="C263" s="1">
        <v>2.0</v>
      </c>
      <c r="D263" s="1">
        <v>1.480118278E9</v>
      </c>
    </row>
    <row r="264">
      <c r="A264" s="1">
        <v>28029.0</v>
      </c>
      <c r="B264" s="1">
        <v>443.0</v>
      </c>
      <c r="C264" s="1">
        <v>2.0</v>
      </c>
      <c r="D264" s="1">
        <v>1.480118282E9</v>
      </c>
    </row>
    <row r="265">
      <c r="A265" s="1">
        <v>28034.0</v>
      </c>
      <c r="B265" s="1">
        <v>443.0</v>
      </c>
      <c r="C265" s="1">
        <v>2.0</v>
      </c>
      <c r="D265" s="1">
        <v>1.480118284E9</v>
      </c>
    </row>
    <row r="266">
      <c r="A266" s="1">
        <v>28177.0</v>
      </c>
      <c r="B266" s="1">
        <v>443.0</v>
      </c>
      <c r="C266" s="1">
        <v>2.0</v>
      </c>
      <c r="D266" s="1">
        <v>1.480118779E9</v>
      </c>
    </row>
    <row r="267">
      <c r="A267" s="1">
        <v>28618.0</v>
      </c>
      <c r="B267" s="1">
        <v>443.0</v>
      </c>
      <c r="C267" s="1">
        <v>2.0</v>
      </c>
      <c r="D267" s="1">
        <v>1.480120335E9</v>
      </c>
    </row>
    <row r="268">
      <c r="A268" s="1">
        <v>28628.0</v>
      </c>
      <c r="B268" s="1">
        <v>443.0</v>
      </c>
      <c r="C268" s="1">
        <v>2.0</v>
      </c>
      <c r="D268" s="1">
        <v>1.480120378E9</v>
      </c>
    </row>
    <row r="269">
      <c r="A269" s="1">
        <v>28629.0</v>
      </c>
      <c r="B269" s="1">
        <v>443.0</v>
      </c>
      <c r="C269" s="1">
        <v>2.0</v>
      </c>
      <c r="D269" s="1">
        <v>1.480120383E9</v>
      </c>
    </row>
    <row r="270">
      <c r="A270" s="1">
        <v>28632.0</v>
      </c>
      <c r="B270" s="1">
        <v>443.0</v>
      </c>
      <c r="C270" s="1">
        <v>2.0</v>
      </c>
      <c r="D270" s="1">
        <v>1.480120387E9</v>
      </c>
    </row>
    <row r="271">
      <c r="A271" s="1">
        <v>30208.0</v>
      </c>
      <c r="B271" s="1">
        <v>443.0</v>
      </c>
      <c r="C271" s="1">
        <v>2.0</v>
      </c>
      <c r="D271" s="1">
        <v>1.480523959E9</v>
      </c>
    </row>
    <row r="272">
      <c r="A272" s="1">
        <v>30662.0</v>
      </c>
      <c r="B272" s="1">
        <v>443.0</v>
      </c>
      <c r="C272" s="1">
        <v>2.0</v>
      </c>
      <c r="D272" s="1">
        <v>1.480727543E9</v>
      </c>
    </row>
    <row r="273">
      <c r="A273" s="1">
        <v>31144.0</v>
      </c>
      <c r="B273" s="1">
        <v>443.0</v>
      </c>
      <c r="C273" s="1">
        <v>2.0</v>
      </c>
      <c r="D273" s="1">
        <v>1.484615566E9</v>
      </c>
    </row>
    <row r="274">
      <c r="A274" s="1">
        <v>31145.0</v>
      </c>
      <c r="B274" s="1">
        <v>443.0</v>
      </c>
      <c r="C274" s="1">
        <v>2.0</v>
      </c>
      <c r="D274" s="1">
        <v>1.484615569E9</v>
      </c>
    </row>
    <row r="275">
      <c r="A275" s="1">
        <v>31184.0</v>
      </c>
      <c r="B275" s="1">
        <v>443.0</v>
      </c>
      <c r="C275" s="1">
        <v>2.0</v>
      </c>
      <c r="D275" s="1">
        <v>1.484661469E9</v>
      </c>
    </row>
    <row r="276">
      <c r="A276" s="1">
        <v>31185.0</v>
      </c>
      <c r="B276" s="1">
        <v>443.0</v>
      </c>
      <c r="C276" s="1">
        <v>2.0</v>
      </c>
      <c r="D276" s="1">
        <v>1.484661472E9</v>
      </c>
    </row>
    <row r="277">
      <c r="A277" s="1">
        <v>31227.0</v>
      </c>
      <c r="B277" s="1">
        <v>443.0</v>
      </c>
      <c r="C277" s="1">
        <v>2.0</v>
      </c>
      <c r="D277" s="1">
        <v>1.484671777E9</v>
      </c>
    </row>
    <row r="278">
      <c r="A278" s="1">
        <v>31228.0</v>
      </c>
      <c r="B278" s="1">
        <v>443.0</v>
      </c>
      <c r="C278" s="1">
        <v>2.0</v>
      </c>
      <c r="D278" s="1">
        <v>1.484671781E9</v>
      </c>
    </row>
    <row r="279">
      <c r="A279" s="1">
        <v>133870.0</v>
      </c>
      <c r="B279" s="1">
        <v>443.0</v>
      </c>
      <c r="C279" s="1">
        <v>2.0</v>
      </c>
      <c r="D279" s="1">
        <v>1.497668208E9</v>
      </c>
    </row>
    <row r="280">
      <c r="A280" s="1">
        <v>157628.0</v>
      </c>
      <c r="B280" s="1">
        <v>443.0</v>
      </c>
      <c r="C280" s="1">
        <v>2.0</v>
      </c>
      <c r="D280" s="1">
        <v>1.504089208E9</v>
      </c>
    </row>
    <row r="281">
      <c r="A281" s="1">
        <v>157629.0</v>
      </c>
      <c r="B281" s="1">
        <v>443.0</v>
      </c>
      <c r="C281" s="1">
        <v>2.0</v>
      </c>
      <c r="D281" s="1">
        <v>1.504089251E9</v>
      </c>
    </row>
    <row r="282">
      <c r="A282" s="1">
        <v>157630.0</v>
      </c>
      <c r="B282" s="1">
        <v>443.0</v>
      </c>
      <c r="C282" s="1">
        <v>2.0</v>
      </c>
      <c r="D282" s="1">
        <v>1.504089259E9</v>
      </c>
    </row>
    <row r="283">
      <c r="A283" s="1">
        <v>157666.0</v>
      </c>
      <c r="B283" s="1">
        <v>443.0</v>
      </c>
      <c r="C283" s="1">
        <v>2.0</v>
      </c>
      <c r="D283" s="1">
        <v>1.504095834E9</v>
      </c>
    </row>
    <row r="284">
      <c r="A284" s="1">
        <v>157667.0</v>
      </c>
      <c r="B284" s="1">
        <v>443.0</v>
      </c>
      <c r="C284" s="1">
        <v>2.0</v>
      </c>
      <c r="D284" s="1">
        <v>1.504095839E9</v>
      </c>
    </row>
    <row r="285">
      <c r="A285" s="1">
        <v>27113.0</v>
      </c>
      <c r="B285" s="1">
        <v>443.0</v>
      </c>
      <c r="C285" s="1">
        <v>10116.0</v>
      </c>
      <c r="D285" s="1">
        <v>1.480115902E9</v>
      </c>
    </row>
    <row r="286">
      <c r="A286" s="1">
        <v>27448.0</v>
      </c>
      <c r="B286" s="1">
        <v>443.0</v>
      </c>
      <c r="C286" s="1">
        <v>10116.0</v>
      </c>
      <c r="D286" s="1">
        <v>1.480116932E9</v>
      </c>
    </row>
    <row r="287">
      <c r="A287" s="1">
        <v>27449.0</v>
      </c>
      <c r="B287" s="1">
        <v>443.0</v>
      </c>
      <c r="C287" s="1">
        <v>10116.0</v>
      </c>
      <c r="D287" s="1">
        <v>1.480116935E9</v>
      </c>
    </row>
    <row r="288">
      <c r="A288" s="1">
        <v>27455.0</v>
      </c>
      <c r="B288" s="1">
        <v>443.0</v>
      </c>
      <c r="C288" s="1">
        <v>10116.0</v>
      </c>
      <c r="D288" s="1">
        <v>1.480116956E9</v>
      </c>
    </row>
    <row r="289">
      <c r="A289" s="1">
        <v>27489.0</v>
      </c>
      <c r="B289" s="1">
        <v>443.0</v>
      </c>
      <c r="C289" s="1">
        <v>10116.0</v>
      </c>
      <c r="D289" s="1">
        <v>1.480117016E9</v>
      </c>
    </row>
    <row r="290">
      <c r="A290" s="1">
        <v>26896.0</v>
      </c>
      <c r="B290" s="1">
        <v>443.0</v>
      </c>
      <c r="C290" s="1">
        <v>10119.0</v>
      </c>
      <c r="D290" s="1">
        <v>1.480114996E9</v>
      </c>
    </row>
    <row r="291">
      <c r="A291" s="1">
        <v>27007.0</v>
      </c>
      <c r="B291" s="1">
        <v>443.0</v>
      </c>
      <c r="C291" s="1">
        <v>10120.0</v>
      </c>
      <c r="D291" s="1">
        <v>1.480115258E9</v>
      </c>
    </row>
    <row r="292">
      <c r="A292" s="1">
        <v>27015.0</v>
      </c>
      <c r="B292" s="1">
        <v>443.0</v>
      </c>
      <c r="C292" s="1">
        <v>10120.0</v>
      </c>
      <c r="D292" s="1">
        <v>1.480115297E9</v>
      </c>
    </row>
    <row r="293">
      <c r="A293" s="1">
        <v>27576.0</v>
      </c>
      <c r="B293" s="1">
        <v>443.0</v>
      </c>
      <c r="C293" s="1">
        <v>10120.0</v>
      </c>
      <c r="D293" s="1">
        <v>1.48011727E9</v>
      </c>
    </row>
    <row r="294">
      <c r="A294" s="1">
        <v>27581.0</v>
      </c>
      <c r="B294" s="1">
        <v>443.0</v>
      </c>
      <c r="C294" s="1">
        <v>10120.0</v>
      </c>
      <c r="D294" s="1">
        <v>1.480117283E9</v>
      </c>
    </row>
    <row r="295">
      <c r="A295" s="1">
        <v>27585.0</v>
      </c>
      <c r="B295" s="1">
        <v>443.0</v>
      </c>
      <c r="C295" s="1">
        <v>10120.0</v>
      </c>
      <c r="D295" s="1">
        <v>1.480117298E9</v>
      </c>
    </row>
    <row r="296">
      <c r="A296" s="1">
        <v>30500.0</v>
      </c>
      <c r="B296" s="1">
        <v>443.0</v>
      </c>
      <c r="C296" s="1">
        <v>10120.0</v>
      </c>
      <c r="D296" s="1">
        <v>1.480696926E9</v>
      </c>
    </row>
    <row r="297">
      <c r="A297" s="1">
        <v>30510.0</v>
      </c>
      <c r="B297" s="1">
        <v>443.0</v>
      </c>
      <c r="C297" s="1">
        <v>10120.0</v>
      </c>
      <c r="D297" s="1">
        <v>1.480696945E9</v>
      </c>
    </row>
    <row r="298">
      <c r="A298" s="1">
        <v>27066.0</v>
      </c>
      <c r="B298" s="1">
        <v>443.0</v>
      </c>
      <c r="C298" s="1">
        <v>10121.0</v>
      </c>
      <c r="D298" s="1">
        <v>1.480115554E9</v>
      </c>
    </row>
    <row r="299">
      <c r="A299" s="1">
        <v>27211.0</v>
      </c>
      <c r="B299" s="1">
        <v>443.0</v>
      </c>
      <c r="C299" s="1">
        <v>10121.0</v>
      </c>
      <c r="D299" s="1">
        <v>1.480116299E9</v>
      </c>
    </row>
    <row r="300">
      <c r="A300" s="1">
        <v>28042.0</v>
      </c>
      <c r="B300" s="1">
        <v>443.0</v>
      </c>
      <c r="C300" s="1">
        <v>10121.0</v>
      </c>
      <c r="D300" s="1">
        <v>1.480118334E9</v>
      </c>
    </row>
    <row r="301">
      <c r="A301" s="1">
        <v>28151.0</v>
      </c>
      <c r="B301" s="1">
        <v>443.0</v>
      </c>
      <c r="C301" s="1">
        <v>10121.0</v>
      </c>
      <c r="D301" s="1">
        <v>1.480118623E9</v>
      </c>
    </row>
    <row r="302">
      <c r="A302" s="1">
        <v>28181.0</v>
      </c>
      <c r="B302" s="1">
        <v>443.0</v>
      </c>
      <c r="C302" s="1">
        <v>10121.0</v>
      </c>
      <c r="D302" s="1">
        <v>1.480118805E9</v>
      </c>
    </row>
    <row r="303">
      <c r="A303" s="1">
        <v>27160.0</v>
      </c>
      <c r="B303" s="1">
        <v>443.0</v>
      </c>
      <c r="C303" s="1">
        <v>10122.0</v>
      </c>
      <c r="D303" s="1">
        <v>1.480116108E9</v>
      </c>
    </row>
    <row r="304">
      <c r="A304" s="1">
        <v>27210.0</v>
      </c>
      <c r="B304" s="1">
        <v>443.0</v>
      </c>
      <c r="C304" s="1">
        <v>10122.0</v>
      </c>
      <c r="D304" s="1">
        <v>1.480116296E9</v>
      </c>
    </row>
    <row r="305">
      <c r="A305" s="1">
        <v>27784.0</v>
      </c>
      <c r="B305" s="1">
        <v>443.0</v>
      </c>
      <c r="C305" s="1">
        <v>10122.0</v>
      </c>
      <c r="D305" s="1">
        <v>1.480117739E9</v>
      </c>
    </row>
    <row r="306">
      <c r="A306" s="1">
        <v>29076.0</v>
      </c>
      <c r="B306" s="1">
        <v>443.0</v>
      </c>
      <c r="C306" s="1">
        <v>10126.0</v>
      </c>
      <c r="D306" s="1">
        <v>1.48015806E9</v>
      </c>
    </row>
    <row r="307">
      <c r="A307" s="1">
        <v>29078.0</v>
      </c>
      <c r="B307" s="1">
        <v>443.0</v>
      </c>
      <c r="C307" s="1">
        <v>10126.0</v>
      </c>
      <c r="D307" s="1">
        <v>1.480158071E9</v>
      </c>
    </row>
    <row r="308">
      <c r="A308" s="1">
        <v>29092.0</v>
      </c>
      <c r="B308" s="1">
        <v>443.0</v>
      </c>
      <c r="C308" s="1">
        <v>10126.0</v>
      </c>
      <c r="D308" s="1">
        <v>1.480162852E9</v>
      </c>
    </row>
    <row r="309">
      <c r="A309" s="1">
        <v>29097.0</v>
      </c>
      <c r="B309" s="1">
        <v>443.0</v>
      </c>
      <c r="C309" s="1">
        <v>10126.0</v>
      </c>
      <c r="D309" s="1">
        <v>1.480163547E9</v>
      </c>
    </row>
    <row r="310">
      <c r="A310" s="1">
        <v>27061.0</v>
      </c>
      <c r="B310" s="1">
        <v>443.0</v>
      </c>
      <c r="C310" s="1">
        <v>10127.0</v>
      </c>
      <c r="D310" s="1">
        <v>1.480115494E9</v>
      </c>
    </row>
    <row r="311">
      <c r="A311" s="1">
        <v>27106.0</v>
      </c>
      <c r="B311" s="1">
        <v>443.0</v>
      </c>
      <c r="C311" s="1">
        <v>10127.0</v>
      </c>
      <c r="D311" s="1">
        <v>1.480115865E9</v>
      </c>
    </row>
    <row r="312">
      <c r="A312" s="1">
        <v>28277.0</v>
      </c>
      <c r="B312" s="1">
        <v>443.0</v>
      </c>
      <c r="C312" s="1">
        <v>10127.0</v>
      </c>
      <c r="D312" s="1">
        <v>1.480119023E9</v>
      </c>
    </row>
    <row r="313">
      <c r="A313" s="1">
        <v>26938.0</v>
      </c>
      <c r="B313" s="1">
        <v>443.0</v>
      </c>
      <c r="C313" s="1">
        <v>10128.0</v>
      </c>
      <c r="D313" s="1">
        <v>1.480115102E9</v>
      </c>
    </row>
    <row r="314">
      <c r="A314" s="1">
        <v>27734.0</v>
      </c>
      <c r="B314" s="1">
        <v>443.0</v>
      </c>
      <c r="C314" s="1">
        <v>10128.0</v>
      </c>
      <c r="D314" s="1">
        <v>1.480117662E9</v>
      </c>
    </row>
    <row r="315">
      <c r="A315" s="1">
        <v>26963.0</v>
      </c>
      <c r="B315" s="1">
        <v>443.0</v>
      </c>
      <c r="C315" s="1">
        <v>10129.0</v>
      </c>
      <c r="D315" s="1">
        <v>1.480115172E9</v>
      </c>
    </row>
    <row r="316">
      <c r="A316" s="1">
        <v>29150.0</v>
      </c>
      <c r="B316" s="1">
        <v>443.0</v>
      </c>
      <c r="C316" s="1">
        <v>10129.0</v>
      </c>
      <c r="D316" s="1">
        <v>1.48016743E9</v>
      </c>
    </row>
    <row r="317">
      <c r="A317" s="1">
        <v>29151.0</v>
      </c>
      <c r="B317" s="1">
        <v>443.0</v>
      </c>
      <c r="C317" s="1">
        <v>10129.0</v>
      </c>
      <c r="D317" s="1">
        <v>1.480167434E9</v>
      </c>
    </row>
    <row r="318">
      <c r="A318" s="1">
        <v>26980.0</v>
      </c>
      <c r="B318" s="1">
        <v>443.0</v>
      </c>
      <c r="C318" s="1">
        <v>10130.0</v>
      </c>
      <c r="D318" s="1">
        <v>1.480115215E9</v>
      </c>
    </row>
    <row r="319">
      <c r="A319" s="1">
        <v>27097.0</v>
      </c>
      <c r="B319" s="1">
        <v>443.0</v>
      </c>
      <c r="C319" s="1">
        <v>10131.0</v>
      </c>
      <c r="D319" s="1">
        <v>1.480115763E9</v>
      </c>
    </row>
    <row r="320">
      <c r="A320" s="1">
        <v>27638.0</v>
      </c>
      <c r="B320" s="1">
        <v>443.0</v>
      </c>
      <c r="C320" s="1">
        <v>10131.0</v>
      </c>
      <c r="D320" s="1">
        <v>1.480117442E9</v>
      </c>
    </row>
    <row r="321">
      <c r="A321" s="1">
        <v>27642.0</v>
      </c>
      <c r="B321" s="1">
        <v>443.0</v>
      </c>
      <c r="C321" s="1">
        <v>10131.0</v>
      </c>
      <c r="D321" s="1">
        <v>1.480117453E9</v>
      </c>
    </row>
    <row r="322">
      <c r="A322" s="1">
        <v>28361.0</v>
      </c>
      <c r="B322" s="1">
        <v>443.0</v>
      </c>
      <c r="C322" s="1">
        <v>10131.0</v>
      </c>
      <c r="D322" s="1">
        <v>1.480119299E9</v>
      </c>
    </row>
    <row r="323">
      <c r="A323" s="1">
        <v>27047.0</v>
      </c>
      <c r="B323" s="1">
        <v>443.0</v>
      </c>
      <c r="C323" s="1">
        <v>10132.0</v>
      </c>
      <c r="D323" s="1">
        <v>1.48011544E9</v>
      </c>
    </row>
    <row r="324">
      <c r="A324" s="1">
        <v>27073.0</v>
      </c>
      <c r="B324" s="1">
        <v>443.0</v>
      </c>
      <c r="C324" s="1">
        <v>10132.0</v>
      </c>
      <c r="D324" s="1">
        <v>1.480115678E9</v>
      </c>
    </row>
    <row r="325">
      <c r="A325" s="1">
        <v>28070.0</v>
      </c>
      <c r="B325" s="1">
        <v>443.0</v>
      </c>
      <c r="C325" s="1">
        <v>10132.0</v>
      </c>
      <c r="D325" s="1">
        <v>1.480118429E9</v>
      </c>
    </row>
    <row r="326">
      <c r="A326" s="1">
        <v>27071.0</v>
      </c>
      <c r="B326" s="1">
        <v>443.0</v>
      </c>
      <c r="C326" s="1">
        <v>10133.0</v>
      </c>
      <c r="D326" s="1">
        <v>1.480115644E9</v>
      </c>
    </row>
    <row r="327">
      <c r="A327" s="1">
        <v>28340.0</v>
      </c>
      <c r="B327" s="1">
        <v>443.0</v>
      </c>
      <c r="C327" s="1">
        <v>10133.0</v>
      </c>
      <c r="D327" s="1">
        <v>1.480119225E9</v>
      </c>
    </row>
    <row r="328">
      <c r="A328" s="1">
        <v>28667.0</v>
      </c>
      <c r="B328" s="1">
        <v>443.0</v>
      </c>
      <c r="C328" s="1">
        <v>10133.0</v>
      </c>
      <c r="D328" s="1">
        <v>1.480120495E9</v>
      </c>
    </row>
    <row r="329">
      <c r="A329" s="1">
        <v>28668.0</v>
      </c>
      <c r="B329" s="1">
        <v>443.0</v>
      </c>
      <c r="C329" s="1">
        <v>10133.0</v>
      </c>
      <c r="D329" s="1">
        <v>1.480120499E9</v>
      </c>
    </row>
    <row r="330">
      <c r="A330" s="1">
        <v>26987.0</v>
      </c>
      <c r="B330" s="1">
        <v>443.0</v>
      </c>
      <c r="C330" s="1">
        <v>10134.0</v>
      </c>
      <c r="D330" s="1">
        <v>1.480115222E9</v>
      </c>
    </row>
    <row r="331">
      <c r="A331" s="1">
        <v>27791.0</v>
      </c>
      <c r="B331" s="1">
        <v>443.0</v>
      </c>
      <c r="C331" s="1">
        <v>10134.0</v>
      </c>
      <c r="D331" s="1">
        <v>1.480117743E9</v>
      </c>
    </row>
    <row r="332">
      <c r="A332" s="1">
        <v>28242.0</v>
      </c>
      <c r="B332" s="1">
        <v>443.0</v>
      </c>
      <c r="C332" s="1">
        <v>10134.0</v>
      </c>
      <c r="D332" s="1">
        <v>1.48011892E9</v>
      </c>
    </row>
    <row r="333">
      <c r="A333" s="1">
        <v>28243.0</v>
      </c>
      <c r="B333" s="1">
        <v>443.0</v>
      </c>
      <c r="C333" s="1">
        <v>10134.0</v>
      </c>
      <c r="D333" s="1">
        <v>1.480118923E9</v>
      </c>
    </row>
    <row r="334">
      <c r="A334" s="1">
        <v>27053.0</v>
      </c>
      <c r="B334" s="1">
        <v>443.0</v>
      </c>
      <c r="C334" s="1">
        <v>10135.0</v>
      </c>
      <c r="D334" s="1">
        <v>1.480115451E9</v>
      </c>
    </row>
    <row r="335">
      <c r="A335" s="1">
        <v>27114.0</v>
      </c>
      <c r="B335" s="1">
        <v>443.0</v>
      </c>
      <c r="C335" s="1">
        <v>10135.0</v>
      </c>
      <c r="D335" s="1">
        <v>1.480115909E9</v>
      </c>
    </row>
    <row r="336">
      <c r="A336" s="1">
        <v>27701.0</v>
      </c>
      <c r="B336" s="1">
        <v>443.0</v>
      </c>
      <c r="C336" s="1">
        <v>10135.0</v>
      </c>
      <c r="D336" s="1">
        <v>1.480117632E9</v>
      </c>
    </row>
    <row r="337">
      <c r="A337" s="1">
        <v>27765.0</v>
      </c>
      <c r="B337" s="1">
        <v>443.0</v>
      </c>
      <c r="C337" s="1">
        <v>10135.0</v>
      </c>
      <c r="D337" s="1">
        <v>1.480117689E9</v>
      </c>
    </row>
    <row r="338">
      <c r="A338" s="1">
        <v>29870.0</v>
      </c>
      <c r="B338" s="1">
        <v>443.0</v>
      </c>
      <c r="C338" s="1">
        <v>10135.0</v>
      </c>
      <c r="D338" s="1">
        <v>1.480334645E9</v>
      </c>
    </row>
    <row r="339">
      <c r="A339" s="1">
        <v>29877.0</v>
      </c>
      <c r="B339" s="1">
        <v>443.0</v>
      </c>
      <c r="C339" s="1">
        <v>10135.0</v>
      </c>
      <c r="D339" s="1">
        <v>1.480334705E9</v>
      </c>
    </row>
    <row r="340">
      <c r="A340" s="1">
        <v>30187.0</v>
      </c>
      <c r="B340" s="1">
        <v>443.0</v>
      </c>
      <c r="C340" s="1">
        <v>10135.0</v>
      </c>
      <c r="D340" s="1">
        <v>1.480521384E9</v>
      </c>
    </row>
    <row r="341">
      <c r="A341" s="1">
        <v>27023.0</v>
      </c>
      <c r="B341" s="1">
        <v>443.0</v>
      </c>
      <c r="C341" s="1">
        <v>10136.0</v>
      </c>
      <c r="D341" s="1">
        <v>1.480115329E9</v>
      </c>
    </row>
    <row r="342">
      <c r="A342" s="1">
        <v>27086.0</v>
      </c>
      <c r="B342" s="1">
        <v>443.0</v>
      </c>
      <c r="C342" s="1">
        <v>10136.0</v>
      </c>
      <c r="D342" s="1">
        <v>1.48011572E9</v>
      </c>
    </row>
    <row r="343">
      <c r="A343" s="1">
        <v>26959.0</v>
      </c>
      <c r="B343" s="1">
        <v>443.0</v>
      </c>
      <c r="C343" s="1">
        <v>10137.0</v>
      </c>
      <c r="D343" s="1">
        <v>1.480115152E9</v>
      </c>
    </row>
    <row r="344">
      <c r="A344" s="1">
        <v>27000.0</v>
      </c>
      <c r="B344" s="1">
        <v>443.0</v>
      </c>
      <c r="C344" s="1">
        <v>10137.0</v>
      </c>
      <c r="D344" s="1">
        <v>1.480115252E9</v>
      </c>
    </row>
    <row r="345">
      <c r="A345" s="1">
        <v>27095.0</v>
      </c>
      <c r="B345" s="1">
        <v>443.0</v>
      </c>
      <c r="C345" s="1">
        <v>10137.0</v>
      </c>
      <c r="D345" s="1">
        <v>1.480115754E9</v>
      </c>
    </row>
    <row r="346">
      <c r="A346" s="1">
        <v>27003.0</v>
      </c>
      <c r="B346" s="1">
        <v>443.0</v>
      </c>
      <c r="C346" s="1">
        <v>10138.0</v>
      </c>
      <c r="D346" s="1">
        <v>1.480115258E9</v>
      </c>
    </row>
    <row r="347">
      <c r="A347" s="1">
        <v>27065.0</v>
      </c>
      <c r="B347" s="1">
        <v>443.0</v>
      </c>
      <c r="C347" s="1">
        <v>10138.0</v>
      </c>
      <c r="D347" s="1">
        <v>1.480115546E9</v>
      </c>
    </row>
    <row r="348">
      <c r="A348" s="1">
        <v>27274.0</v>
      </c>
      <c r="B348" s="1">
        <v>443.0</v>
      </c>
      <c r="C348" s="1">
        <v>10138.0</v>
      </c>
      <c r="D348" s="1">
        <v>1.480116541E9</v>
      </c>
    </row>
    <row r="349">
      <c r="A349" s="1">
        <v>27273.0</v>
      </c>
      <c r="B349" s="1">
        <v>443.0</v>
      </c>
      <c r="C349" s="1">
        <v>10139.0</v>
      </c>
      <c r="D349" s="1">
        <v>1.48011654E9</v>
      </c>
    </row>
    <row r="350">
      <c r="A350" s="1">
        <v>28036.0</v>
      </c>
      <c r="B350" s="1">
        <v>443.0</v>
      </c>
      <c r="C350" s="1">
        <v>10139.0</v>
      </c>
      <c r="D350" s="1">
        <v>1.480118293E9</v>
      </c>
    </row>
    <row r="351">
      <c r="A351" s="1">
        <v>28037.0</v>
      </c>
      <c r="B351" s="1">
        <v>443.0</v>
      </c>
      <c r="C351" s="1">
        <v>10139.0</v>
      </c>
      <c r="D351" s="1">
        <v>1.480118296E9</v>
      </c>
    </row>
    <row r="352">
      <c r="A352" s="1">
        <v>27028.0</v>
      </c>
      <c r="B352" s="1">
        <v>443.0</v>
      </c>
      <c r="C352" s="1">
        <v>10140.0</v>
      </c>
      <c r="D352" s="1">
        <v>1.480115364E9</v>
      </c>
    </row>
    <row r="353">
      <c r="A353" s="1">
        <v>27030.0</v>
      </c>
      <c r="B353" s="1">
        <v>443.0</v>
      </c>
      <c r="C353" s="1">
        <v>10140.0</v>
      </c>
      <c r="D353" s="1">
        <v>1.480115398E9</v>
      </c>
    </row>
    <row r="354">
      <c r="A354" s="1">
        <v>27309.0</v>
      </c>
      <c r="B354" s="1">
        <v>443.0</v>
      </c>
      <c r="C354" s="1">
        <v>10140.0</v>
      </c>
      <c r="D354" s="1">
        <v>1.480116661E9</v>
      </c>
    </row>
    <row r="355">
      <c r="A355" s="1">
        <v>27406.0</v>
      </c>
      <c r="B355" s="1">
        <v>443.0</v>
      </c>
      <c r="C355" s="1">
        <v>10140.0</v>
      </c>
      <c r="D355" s="1">
        <v>1.480116854E9</v>
      </c>
    </row>
    <row r="356">
      <c r="A356" s="1">
        <v>27833.0</v>
      </c>
      <c r="B356" s="1">
        <v>443.0</v>
      </c>
      <c r="C356" s="1">
        <v>10140.0</v>
      </c>
      <c r="D356" s="1">
        <v>1.480117845E9</v>
      </c>
    </row>
    <row r="357">
      <c r="A357" s="1">
        <v>28041.0</v>
      </c>
      <c r="B357" s="1">
        <v>443.0</v>
      </c>
      <c r="C357" s="1">
        <v>10140.0</v>
      </c>
      <c r="D357" s="1">
        <v>1.480118334E9</v>
      </c>
    </row>
    <row r="358">
      <c r="A358" s="1">
        <v>27138.0</v>
      </c>
      <c r="B358" s="1">
        <v>443.0</v>
      </c>
      <c r="C358" s="1">
        <v>10141.0</v>
      </c>
      <c r="D358" s="1">
        <v>1.480116019E9</v>
      </c>
    </row>
    <row r="359">
      <c r="A359" s="1">
        <v>27289.0</v>
      </c>
      <c r="B359" s="1">
        <v>443.0</v>
      </c>
      <c r="C359" s="1">
        <v>10141.0</v>
      </c>
      <c r="D359" s="1">
        <v>1.480116606E9</v>
      </c>
    </row>
    <row r="360">
      <c r="A360" s="1">
        <v>27430.0</v>
      </c>
      <c r="B360" s="1">
        <v>443.0</v>
      </c>
      <c r="C360" s="1">
        <v>10141.0</v>
      </c>
      <c r="D360" s="1">
        <v>1.4801169E9</v>
      </c>
    </row>
    <row r="361">
      <c r="A361" s="1">
        <v>27732.0</v>
      </c>
      <c r="B361" s="1">
        <v>443.0</v>
      </c>
      <c r="C361" s="1">
        <v>10141.0</v>
      </c>
      <c r="D361" s="1">
        <v>1.480117659E9</v>
      </c>
    </row>
    <row r="362">
      <c r="A362" s="1">
        <v>27801.0</v>
      </c>
      <c r="B362" s="1">
        <v>443.0</v>
      </c>
      <c r="C362" s="1">
        <v>10141.0</v>
      </c>
      <c r="D362" s="1">
        <v>1.480117749E9</v>
      </c>
    </row>
    <row r="363">
      <c r="A363" s="1">
        <v>27802.0</v>
      </c>
      <c r="B363" s="1">
        <v>443.0</v>
      </c>
      <c r="C363" s="1">
        <v>10141.0</v>
      </c>
      <c r="D363" s="1">
        <v>1.480117752E9</v>
      </c>
    </row>
    <row r="364">
      <c r="A364" s="1">
        <v>27812.0</v>
      </c>
      <c r="B364" s="1">
        <v>443.0</v>
      </c>
      <c r="C364" s="1">
        <v>10141.0</v>
      </c>
      <c r="D364" s="1">
        <v>1.480117775E9</v>
      </c>
    </row>
    <row r="365">
      <c r="A365" s="1">
        <v>28925.0</v>
      </c>
      <c r="B365" s="1">
        <v>443.0</v>
      </c>
      <c r="C365" s="1">
        <v>10141.0</v>
      </c>
      <c r="D365" s="1">
        <v>1.48012435E9</v>
      </c>
    </row>
    <row r="366">
      <c r="A366" s="1">
        <v>29359.0</v>
      </c>
      <c r="B366" s="1">
        <v>443.0</v>
      </c>
      <c r="C366" s="1">
        <v>10141.0</v>
      </c>
      <c r="D366" s="1">
        <v>1.48026611E9</v>
      </c>
    </row>
    <row r="367">
      <c r="A367" s="1">
        <v>30461.0</v>
      </c>
      <c r="B367" s="1">
        <v>443.0</v>
      </c>
      <c r="C367" s="1">
        <v>10143.0</v>
      </c>
      <c r="D367" s="1">
        <v>1.480683715E9</v>
      </c>
    </row>
    <row r="368">
      <c r="A368" s="1">
        <v>30486.0</v>
      </c>
      <c r="B368" s="1">
        <v>443.0</v>
      </c>
      <c r="C368" s="1">
        <v>10143.0</v>
      </c>
      <c r="D368" s="1">
        <v>1.480684197E9</v>
      </c>
    </row>
    <row r="369">
      <c r="A369" s="1">
        <v>27266.0</v>
      </c>
      <c r="B369" s="1">
        <v>443.0</v>
      </c>
      <c r="C369" s="1">
        <v>10144.0</v>
      </c>
      <c r="D369" s="1">
        <v>1.480116512E9</v>
      </c>
    </row>
    <row r="370">
      <c r="A370" s="1">
        <v>27604.0</v>
      </c>
      <c r="B370" s="1">
        <v>443.0</v>
      </c>
      <c r="C370" s="1">
        <v>10144.0</v>
      </c>
      <c r="D370" s="1">
        <v>1.480117336E9</v>
      </c>
    </row>
    <row r="371">
      <c r="A371" s="1">
        <v>27613.0</v>
      </c>
      <c r="B371" s="1">
        <v>443.0</v>
      </c>
      <c r="C371" s="1">
        <v>10144.0</v>
      </c>
      <c r="D371" s="1">
        <v>1.480117363E9</v>
      </c>
    </row>
    <row r="372">
      <c r="A372" s="1">
        <v>27623.0</v>
      </c>
      <c r="B372" s="1">
        <v>443.0</v>
      </c>
      <c r="C372" s="1">
        <v>10144.0</v>
      </c>
      <c r="D372" s="1">
        <v>1.480117377E9</v>
      </c>
    </row>
    <row r="373">
      <c r="A373" s="1">
        <v>27088.0</v>
      </c>
      <c r="B373" s="1">
        <v>443.0</v>
      </c>
      <c r="C373" s="1">
        <v>10145.0</v>
      </c>
      <c r="D373" s="1">
        <v>1.480115729E9</v>
      </c>
    </row>
    <row r="374">
      <c r="A374" s="1">
        <v>27382.0</v>
      </c>
      <c r="B374" s="1">
        <v>443.0</v>
      </c>
      <c r="C374" s="1">
        <v>10145.0</v>
      </c>
      <c r="D374" s="1">
        <v>1.480116813E9</v>
      </c>
    </row>
    <row r="375">
      <c r="A375" s="1">
        <v>27385.0</v>
      </c>
      <c r="B375" s="1">
        <v>443.0</v>
      </c>
      <c r="C375" s="1">
        <v>10145.0</v>
      </c>
      <c r="D375" s="1">
        <v>1.480116818E9</v>
      </c>
    </row>
    <row r="376">
      <c r="A376" s="1">
        <v>26962.0</v>
      </c>
      <c r="B376" s="1">
        <v>443.0</v>
      </c>
      <c r="C376" s="1">
        <v>10146.0</v>
      </c>
      <c r="D376" s="1">
        <v>1.480115168E9</v>
      </c>
    </row>
    <row r="377">
      <c r="A377" s="1">
        <v>27201.0</v>
      </c>
      <c r="B377" s="1">
        <v>443.0</v>
      </c>
      <c r="C377" s="1">
        <v>10146.0</v>
      </c>
      <c r="D377" s="1">
        <v>1.480116266E9</v>
      </c>
    </row>
    <row r="378">
      <c r="A378" s="1">
        <v>27306.0</v>
      </c>
      <c r="B378" s="1">
        <v>443.0</v>
      </c>
      <c r="C378" s="1">
        <v>10146.0</v>
      </c>
      <c r="D378" s="1">
        <v>1.480116652E9</v>
      </c>
    </row>
    <row r="379">
      <c r="A379" s="1">
        <v>27307.0</v>
      </c>
      <c r="B379" s="1">
        <v>443.0</v>
      </c>
      <c r="C379" s="1">
        <v>10146.0</v>
      </c>
      <c r="D379" s="1">
        <v>1.480116656E9</v>
      </c>
    </row>
    <row r="380">
      <c r="A380" s="1">
        <v>27731.0</v>
      </c>
      <c r="B380" s="1">
        <v>443.0</v>
      </c>
      <c r="C380" s="1">
        <v>10148.0</v>
      </c>
      <c r="D380" s="1">
        <v>1.480117658E9</v>
      </c>
    </row>
    <row r="381">
      <c r="A381" s="1">
        <v>27825.0</v>
      </c>
      <c r="B381" s="1">
        <v>443.0</v>
      </c>
      <c r="C381" s="1">
        <v>10148.0</v>
      </c>
      <c r="D381" s="1">
        <v>1.48011781E9</v>
      </c>
    </row>
    <row r="382">
      <c r="A382" s="1">
        <v>27884.0</v>
      </c>
      <c r="B382" s="1">
        <v>443.0</v>
      </c>
      <c r="C382" s="1">
        <v>10148.0</v>
      </c>
      <c r="D382" s="1">
        <v>1.480117957E9</v>
      </c>
    </row>
    <row r="383">
      <c r="A383" s="1">
        <v>27888.0</v>
      </c>
      <c r="B383" s="1">
        <v>443.0</v>
      </c>
      <c r="C383" s="1">
        <v>10148.0</v>
      </c>
      <c r="D383" s="1">
        <v>1.480117963E9</v>
      </c>
    </row>
    <row r="384">
      <c r="A384" s="1">
        <v>27931.0</v>
      </c>
      <c r="B384" s="1">
        <v>443.0</v>
      </c>
      <c r="C384" s="1">
        <v>10148.0</v>
      </c>
      <c r="D384" s="1">
        <v>1.480118034E9</v>
      </c>
    </row>
    <row r="385">
      <c r="A385" s="1">
        <v>27935.0</v>
      </c>
      <c r="B385" s="1">
        <v>443.0</v>
      </c>
      <c r="C385" s="1">
        <v>10148.0</v>
      </c>
      <c r="D385" s="1">
        <v>1.480118038E9</v>
      </c>
    </row>
    <row r="386">
      <c r="A386" s="1">
        <v>30327.0</v>
      </c>
      <c r="B386" s="1">
        <v>443.0</v>
      </c>
      <c r="C386" s="1">
        <v>10148.0</v>
      </c>
      <c r="D386" s="1">
        <v>1.480554851E9</v>
      </c>
    </row>
    <row r="387">
      <c r="A387" s="1">
        <v>30328.0</v>
      </c>
      <c r="B387" s="1">
        <v>443.0</v>
      </c>
      <c r="C387" s="1">
        <v>10148.0</v>
      </c>
      <c r="D387" s="1">
        <v>1.480554854E9</v>
      </c>
    </row>
    <row r="388">
      <c r="A388" s="1">
        <v>27140.0</v>
      </c>
      <c r="B388" s="1">
        <v>443.0</v>
      </c>
      <c r="C388" s="1">
        <v>10149.0</v>
      </c>
      <c r="D388" s="1">
        <v>1.480116034E9</v>
      </c>
    </row>
    <row r="389">
      <c r="A389" s="1">
        <v>27665.0</v>
      </c>
      <c r="B389" s="1">
        <v>443.0</v>
      </c>
      <c r="C389" s="1">
        <v>10149.0</v>
      </c>
      <c r="D389" s="1">
        <v>1.480117519E9</v>
      </c>
    </row>
    <row r="390">
      <c r="A390" s="1">
        <v>27026.0</v>
      </c>
      <c r="B390" s="1">
        <v>443.0</v>
      </c>
      <c r="C390" s="1">
        <v>10152.0</v>
      </c>
      <c r="D390" s="1">
        <v>1.480115342E9</v>
      </c>
    </row>
    <row r="391">
      <c r="A391" s="1">
        <v>27355.0</v>
      </c>
      <c r="B391" s="1">
        <v>443.0</v>
      </c>
      <c r="C391" s="1">
        <v>10152.0</v>
      </c>
      <c r="D391" s="1">
        <v>1.480116756E9</v>
      </c>
    </row>
    <row r="392">
      <c r="A392" s="1">
        <v>29383.0</v>
      </c>
      <c r="B392" s="1">
        <v>443.0</v>
      </c>
      <c r="C392" s="1">
        <v>10153.0</v>
      </c>
      <c r="D392" s="1">
        <v>1.480266708E9</v>
      </c>
    </row>
    <row r="393">
      <c r="A393" s="1">
        <v>27018.0</v>
      </c>
      <c r="B393" s="1">
        <v>443.0</v>
      </c>
      <c r="C393" s="1">
        <v>10154.0</v>
      </c>
      <c r="D393" s="1">
        <v>1.480115303E9</v>
      </c>
    </row>
    <row r="394">
      <c r="A394" s="1">
        <v>27070.0</v>
      </c>
      <c r="B394" s="1">
        <v>443.0</v>
      </c>
      <c r="C394" s="1">
        <v>10154.0</v>
      </c>
      <c r="D394" s="1">
        <v>1.480115637E9</v>
      </c>
    </row>
    <row r="395">
      <c r="A395" s="1">
        <v>27244.0</v>
      </c>
      <c r="B395" s="1">
        <v>443.0</v>
      </c>
      <c r="C395" s="1">
        <v>10158.0</v>
      </c>
      <c r="D395" s="1">
        <v>1.480116427E9</v>
      </c>
    </row>
    <row r="396">
      <c r="A396" s="1">
        <v>29211.0</v>
      </c>
      <c r="B396" s="1">
        <v>443.0</v>
      </c>
      <c r="C396" s="1">
        <v>10158.0</v>
      </c>
      <c r="D396" s="1">
        <v>1.480179625E9</v>
      </c>
    </row>
    <row r="397">
      <c r="A397" s="1">
        <v>29221.0</v>
      </c>
      <c r="B397" s="1">
        <v>443.0</v>
      </c>
      <c r="C397" s="1">
        <v>10158.0</v>
      </c>
      <c r="D397" s="1">
        <v>1.480180428E9</v>
      </c>
    </row>
    <row r="398">
      <c r="A398" s="1">
        <v>29539.0</v>
      </c>
      <c r="B398" s="1">
        <v>443.0</v>
      </c>
      <c r="C398" s="1">
        <v>10158.0</v>
      </c>
      <c r="D398" s="1">
        <v>1.480280423E9</v>
      </c>
    </row>
    <row r="399">
      <c r="A399" s="1">
        <v>30874.0</v>
      </c>
      <c r="B399" s="1">
        <v>443.0</v>
      </c>
      <c r="C399" s="1">
        <v>10166.0</v>
      </c>
      <c r="D399" s="1">
        <v>1.481421035E9</v>
      </c>
    </row>
    <row r="400">
      <c r="A400" s="1">
        <v>30876.0</v>
      </c>
      <c r="B400" s="1">
        <v>443.0</v>
      </c>
      <c r="C400" s="1">
        <v>10166.0</v>
      </c>
      <c r="D400" s="1">
        <v>1.481422185E9</v>
      </c>
    </row>
    <row r="401">
      <c r="A401" s="1">
        <v>30882.0</v>
      </c>
      <c r="B401" s="1">
        <v>443.0</v>
      </c>
      <c r="C401" s="1">
        <v>10166.0</v>
      </c>
      <c r="D401" s="1">
        <v>1.481422933E9</v>
      </c>
    </row>
    <row r="402">
      <c r="A402" s="1">
        <v>30884.0</v>
      </c>
      <c r="B402" s="1">
        <v>443.0</v>
      </c>
      <c r="C402" s="1">
        <v>10166.0</v>
      </c>
      <c r="D402" s="1">
        <v>1.481422939E9</v>
      </c>
    </row>
    <row r="403">
      <c r="A403" s="1">
        <v>30891.0</v>
      </c>
      <c r="B403" s="1">
        <v>443.0</v>
      </c>
      <c r="C403" s="1">
        <v>10166.0</v>
      </c>
      <c r="D403" s="1">
        <v>1.48142603E9</v>
      </c>
    </row>
    <row r="404">
      <c r="A404" s="1">
        <v>30893.0</v>
      </c>
      <c r="B404" s="1">
        <v>443.0</v>
      </c>
      <c r="C404" s="1">
        <v>10166.0</v>
      </c>
      <c r="D404" s="1">
        <v>1.481426036E9</v>
      </c>
    </row>
    <row r="405">
      <c r="A405" s="1">
        <v>30940.0</v>
      </c>
      <c r="B405" s="1">
        <v>443.0</v>
      </c>
      <c r="C405" s="1">
        <v>10167.0</v>
      </c>
      <c r="D405" s="1">
        <v>1.481589749E9</v>
      </c>
    </row>
    <row r="406">
      <c r="A406" s="1">
        <v>30947.0</v>
      </c>
      <c r="B406" s="1">
        <v>443.0</v>
      </c>
      <c r="C406" s="1">
        <v>10167.0</v>
      </c>
      <c r="D406" s="1">
        <v>1.481591143E9</v>
      </c>
    </row>
    <row r="407">
      <c r="A407" s="1">
        <v>30981.0</v>
      </c>
      <c r="B407" s="1">
        <v>443.0</v>
      </c>
      <c r="C407" s="1">
        <v>10167.0</v>
      </c>
      <c r="D407" s="1">
        <v>1.481596449E9</v>
      </c>
    </row>
    <row r="408">
      <c r="A408" s="1">
        <v>30982.0</v>
      </c>
      <c r="B408" s="1">
        <v>443.0</v>
      </c>
      <c r="C408" s="1">
        <v>10167.0</v>
      </c>
      <c r="D408" s="1">
        <v>1.481596455E9</v>
      </c>
    </row>
    <row r="409">
      <c r="A409" s="1">
        <v>27423.0</v>
      </c>
      <c r="B409" s="1">
        <v>444.0</v>
      </c>
      <c r="C409" s="1">
        <v>2.0</v>
      </c>
      <c r="D409" s="1">
        <v>1.48011689E9</v>
      </c>
    </row>
    <row r="410">
      <c r="A410" s="1">
        <v>27426.0</v>
      </c>
      <c r="B410" s="1">
        <v>444.0</v>
      </c>
      <c r="C410" s="1">
        <v>2.0</v>
      </c>
      <c r="D410" s="1">
        <v>1.480116893E9</v>
      </c>
    </row>
    <row r="411">
      <c r="A411" s="1">
        <v>27431.0</v>
      </c>
      <c r="B411" s="1">
        <v>444.0</v>
      </c>
      <c r="C411" s="1">
        <v>2.0</v>
      </c>
      <c r="D411" s="1">
        <v>1.480116901E9</v>
      </c>
    </row>
    <row r="412">
      <c r="A412" s="1">
        <v>27432.0</v>
      </c>
      <c r="B412" s="1">
        <v>444.0</v>
      </c>
      <c r="C412" s="1">
        <v>2.0</v>
      </c>
      <c r="D412" s="1">
        <v>1.480116907E9</v>
      </c>
    </row>
    <row r="413">
      <c r="A413" s="1">
        <v>27454.0</v>
      </c>
      <c r="B413" s="1">
        <v>444.0</v>
      </c>
      <c r="C413" s="1">
        <v>2.0</v>
      </c>
      <c r="D413" s="1">
        <v>1.480116945E9</v>
      </c>
    </row>
    <row r="414">
      <c r="A414" s="1">
        <v>27603.0</v>
      </c>
      <c r="B414" s="1">
        <v>444.0</v>
      </c>
      <c r="C414" s="1">
        <v>2.0</v>
      </c>
      <c r="D414" s="1">
        <v>1.480117335E9</v>
      </c>
    </row>
    <row r="415">
      <c r="A415" s="1">
        <v>27606.0</v>
      </c>
      <c r="B415" s="1">
        <v>444.0</v>
      </c>
      <c r="C415" s="1">
        <v>2.0</v>
      </c>
      <c r="D415" s="1">
        <v>1.480117346E9</v>
      </c>
    </row>
    <row r="416">
      <c r="A416" s="1">
        <v>27863.0</v>
      </c>
      <c r="B416" s="1">
        <v>444.0</v>
      </c>
      <c r="C416" s="1">
        <v>2.0</v>
      </c>
      <c r="D416" s="1">
        <v>1.480117926E9</v>
      </c>
    </row>
    <row r="417">
      <c r="A417" s="1">
        <v>27865.0</v>
      </c>
      <c r="B417" s="1">
        <v>444.0</v>
      </c>
      <c r="C417" s="1">
        <v>2.0</v>
      </c>
      <c r="D417" s="1">
        <v>1.480117931E9</v>
      </c>
    </row>
    <row r="418">
      <c r="A418" s="1">
        <v>27871.0</v>
      </c>
      <c r="B418" s="1">
        <v>444.0</v>
      </c>
      <c r="C418" s="1">
        <v>2.0</v>
      </c>
      <c r="D418" s="1">
        <v>1.480117938E9</v>
      </c>
    </row>
    <row r="419">
      <c r="A419" s="1">
        <v>27885.0</v>
      </c>
      <c r="B419" s="1">
        <v>444.0</v>
      </c>
      <c r="C419" s="1">
        <v>2.0</v>
      </c>
      <c r="D419" s="1">
        <v>1.480117961E9</v>
      </c>
    </row>
    <row r="420">
      <c r="A420" s="1">
        <v>27890.0</v>
      </c>
      <c r="B420" s="1">
        <v>444.0</v>
      </c>
      <c r="C420" s="1">
        <v>2.0</v>
      </c>
      <c r="D420" s="1">
        <v>1.480117963E9</v>
      </c>
    </row>
    <row r="421">
      <c r="A421" s="1">
        <v>27928.0</v>
      </c>
      <c r="B421" s="1">
        <v>444.0</v>
      </c>
      <c r="C421" s="1">
        <v>2.0</v>
      </c>
      <c r="D421" s="1">
        <v>1.480118024E9</v>
      </c>
    </row>
    <row r="422">
      <c r="A422" s="1">
        <v>27930.0</v>
      </c>
      <c r="B422" s="1">
        <v>444.0</v>
      </c>
      <c r="C422" s="1">
        <v>2.0</v>
      </c>
      <c r="D422" s="1">
        <v>1.480118028E9</v>
      </c>
    </row>
    <row r="423">
      <c r="A423" s="1">
        <v>27934.0</v>
      </c>
      <c r="B423" s="1">
        <v>444.0</v>
      </c>
      <c r="C423" s="1">
        <v>2.0</v>
      </c>
      <c r="D423" s="1">
        <v>1.480118038E9</v>
      </c>
    </row>
    <row r="424">
      <c r="A424" s="1">
        <v>27936.0</v>
      </c>
      <c r="B424" s="1">
        <v>444.0</v>
      </c>
      <c r="C424" s="1">
        <v>2.0</v>
      </c>
      <c r="D424" s="1">
        <v>1.480118042E9</v>
      </c>
    </row>
    <row r="425">
      <c r="A425" s="1">
        <v>27937.0</v>
      </c>
      <c r="B425" s="1">
        <v>444.0</v>
      </c>
      <c r="C425" s="1">
        <v>2.0</v>
      </c>
      <c r="D425" s="1">
        <v>1.480118045E9</v>
      </c>
    </row>
    <row r="426">
      <c r="A426" s="1">
        <v>27939.0</v>
      </c>
      <c r="B426" s="1">
        <v>444.0</v>
      </c>
      <c r="C426" s="1">
        <v>2.0</v>
      </c>
      <c r="D426" s="1">
        <v>1.480118051E9</v>
      </c>
    </row>
    <row r="427">
      <c r="A427" s="1">
        <v>27942.0</v>
      </c>
      <c r="B427" s="1">
        <v>444.0</v>
      </c>
      <c r="C427" s="1">
        <v>2.0</v>
      </c>
      <c r="D427" s="1">
        <v>1.480118057E9</v>
      </c>
    </row>
    <row r="428">
      <c r="A428" s="1">
        <v>28017.0</v>
      </c>
      <c r="B428" s="1">
        <v>444.0</v>
      </c>
      <c r="C428" s="1">
        <v>2.0</v>
      </c>
      <c r="D428" s="1">
        <v>1.480118262E9</v>
      </c>
    </row>
    <row r="429">
      <c r="A429" s="1">
        <v>28018.0</v>
      </c>
      <c r="B429" s="1">
        <v>444.0</v>
      </c>
      <c r="C429" s="1">
        <v>2.0</v>
      </c>
      <c r="D429" s="1">
        <v>1.480118266E9</v>
      </c>
    </row>
    <row r="430">
      <c r="A430" s="1">
        <v>28075.0</v>
      </c>
      <c r="B430" s="1">
        <v>444.0</v>
      </c>
      <c r="C430" s="1">
        <v>2.0</v>
      </c>
      <c r="D430" s="1">
        <v>1.480118437E9</v>
      </c>
    </row>
    <row r="431">
      <c r="A431" s="1">
        <v>28184.0</v>
      </c>
      <c r="B431" s="1">
        <v>444.0</v>
      </c>
      <c r="C431" s="1">
        <v>2.0</v>
      </c>
      <c r="D431" s="1">
        <v>1.480118812E9</v>
      </c>
    </row>
    <row r="432">
      <c r="A432" s="1">
        <v>28234.0</v>
      </c>
      <c r="B432" s="1">
        <v>444.0</v>
      </c>
      <c r="C432" s="1">
        <v>2.0</v>
      </c>
      <c r="D432" s="1">
        <v>1.4801189E9</v>
      </c>
    </row>
    <row r="433">
      <c r="A433" s="1">
        <v>28235.0</v>
      </c>
      <c r="B433" s="1">
        <v>444.0</v>
      </c>
      <c r="C433" s="1">
        <v>2.0</v>
      </c>
      <c r="D433" s="1">
        <v>1.480118904E9</v>
      </c>
    </row>
    <row r="434">
      <c r="A434" s="1">
        <v>28238.0</v>
      </c>
      <c r="B434" s="1">
        <v>444.0</v>
      </c>
      <c r="C434" s="1">
        <v>2.0</v>
      </c>
      <c r="D434" s="1">
        <v>1.480118915E9</v>
      </c>
    </row>
    <row r="435">
      <c r="A435" s="1">
        <v>28245.0</v>
      </c>
      <c r="B435" s="1">
        <v>444.0</v>
      </c>
      <c r="C435" s="1">
        <v>2.0</v>
      </c>
      <c r="D435" s="1">
        <v>1.480118939E9</v>
      </c>
    </row>
    <row r="436">
      <c r="A436" s="1">
        <v>28252.0</v>
      </c>
      <c r="B436" s="1">
        <v>444.0</v>
      </c>
      <c r="C436" s="1">
        <v>2.0</v>
      </c>
      <c r="D436" s="1">
        <v>1.480119E9</v>
      </c>
    </row>
    <row r="437">
      <c r="A437" s="1">
        <v>30701.0</v>
      </c>
      <c r="B437" s="1">
        <v>444.0</v>
      </c>
      <c r="C437" s="1">
        <v>2.0</v>
      </c>
      <c r="D437" s="1">
        <v>1.480727935E9</v>
      </c>
    </row>
    <row r="438">
      <c r="A438" s="1">
        <v>31146.0</v>
      </c>
      <c r="B438" s="1">
        <v>444.0</v>
      </c>
      <c r="C438" s="1">
        <v>2.0</v>
      </c>
      <c r="D438" s="1">
        <v>1.484615605E9</v>
      </c>
    </row>
    <row r="439">
      <c r="A439" s="1">
        <v>31147.0</v>
      </c>
      <c r="B439" s="1">
        <v>444.0</v>
      </c>
      <c r="C439" s="1">
        <v>2.0</v>
      </c>
      <c r="D439" s="1">
        <v>1.484615607E9</v>
      </c>
    </row>
    <row r="440">
      <c r="A440" s="1">
        <v>31158.0</v>
      </c>
      <c r="B440" s="1">
        <v>444.0</v>
      </c>
      <c r="C440" s="1">
        <v>2.0</v>
      </c>
      <c r="D440" s="1">
        <v>1.484615914E9</v>
      </c>
    </row>
    <row r="441">
      <c r="A441" s="1">
        <v>31231.0</v>
      </c>
      <c r="B441" s="1">
        <v>444.0</v>
      </c>
      <c r="C441" s="1">
        <v>2.0</v>
      </c>
      <c r="D441" s="1">
        <v>1.484672561E9</v>
      </c>
    </row>
    <row r="442">
      <c r="A442" s="1">
        <v>31232.0</v>
      </c>
      <c r="B442" s="1">
        <v>444.0</v>
      </c>
      <c r="C442" s="1">
        <v>2.0</v>
      </c>
      <c r="D442" s="1">
        <v>1.484672567E9</v>
      </c>
    </row>
    <row r="443">
      <c r="A443" s="1">
        <v>31245.0</v>
      </c>
      <c r="B443" s="1">
        <v>444.0</v>
      </c>
      <c r="C443" s="1">
        <v>2.0</v>
      </c>
      <c r="D443" s="1">
        <v>1.484752441E9</v>
      </c>
    </row>
    <row r="444">
      <c r="A444" s="1">
        <v>31246.0</v>
      </c>
      <c r="B444" s="1">
        <v>444.0</v>
      </c>
      <c r="C444" s="1">
        <v>2.0</v>
      </c>
      <c r="D444" s="1">
        <v>1.484752445E9</v>
      </c>
    </row>
    <row r="445">
      <c r="A445" s="1">
        <v>31247.0</v>
      </c>
      <c r="B445" s="1">
        <v>444.0</v>
      </c>
      <c r="C445" s="1">
        <v>2.0</v>
      </c>
      <c r="D445" s="1">
        <v>1.484752458E9</v>
      </c>
    </row>
    <row r="446">
      <c r="A446" s="1">
        <v>31248.0</v>
      </c>
      <c r="B446" s="1">
        <v>444.0</v>
      </c>
      <c r="C446" s="1">
        <v>2.0</v>
      </c>
      <c r="D446" s="1">
        <v>1.484752521E9</v>
      </c>
    </row>
    <row r="447">
      <c r="A447" s="1">
        <v>31251.0</v>
      </c>
      <c r="B447" s="1">
        <v>444.0</v>
      </c>
      <c r="C447" s="1">
        <v>2.0</v>
      </c>
      <c r="D447" s="1">
        <v>1.484753892E9</v>
      </c>
    </row>
    <row r="448">
      <c r="A448" s="1">
        <v>31256.0</v>
      </c>
      <c r="B448" s="1">
        <v>444.0</v>
      </c>
      <c r="C448" s="1">
        <v>2.0</v>
      </c>
      <c r="D448" s="1">
        <v>1.484754742E9</v>
      </c>
    </row>
    <row r="449">
      <c r="A449" s="1">
        <v>31298.0</v>
      </c>
      <c r="B449" s="1">
        <v>444.0</v>
      </c>
      <c r="C449" s="1">
        <v>2.0</v>
      </c>
      <c r="D449" s="1">
        <v>1.484764354E9</v>
      </c>
    </row>
    <row r="450">
      <c r="A450" s="1">
        <v>31299.0</v>
      </c>
      <c r="B450" s="1">
        <v>444.0</v>
      </c>
      <c r="C450" s="1">
        <v>2.0</v>
      </c>
      <c r="D450" s="1">
        <v>1.484764369E9</v>
      </c>
    </row>
    <row r="451">
      <c r="A451" s="1">
        <v>31301.0</v>
      </c>
      <c r="B451" s="1">
        <v>444.0</v>
      </c>
      <c r="C451" s="1">
        <v>2.0</v>
      </c>
      <c r="D451" s="1">
        <v>1.48476438E9</v>
      </c>
    </row>
    <row r="452">
      <c r="A452" s="1">
        <v>31356.0</v>
      </c>
      <c r="B452" s="1">
        <v>444.0</v>
      </c>
      <c r="C452" s="1">
        <v>2.0</v>
      </c>
      <c r="D452" s="1">
        <v>1.485288322E9</v>
      </c>
    </row>
    <row r="453">
      <c r="A453" s="1">
        <v>31357.0</v>
      </c>
      <c r="B453" s="1">
        <v>444.0</v>
      </c>
      <c r="C453" s="1">
        <v>2.0</v>
      </c>
      <c r="D453" s="1">
        <v>1.485288335E9</v>
      </c>
    </row>
    <row r="454">
      <c r="A454" s="1">
        <v>31358.0</v>
      </c>
      <c r="B454" s="1">
        <v>444.0</v>
      </c>
      <c r="C454" s="1">
        <v>2.0</v>
      </c>
      <c r="D454" s="1">
        <v>1.485288341E9</v>
      </c>
    </row>
    <row r="455">
      <c r="A455" s="1">
        <v>133869.0</v>
      </c>
      <c r="B455" s="1">
        <v>444.0</v>
      </c>
      <c r="C455" s="1">
        <v>2.0</v>
      </c>
      <c r="D455" s="1">
        <v>1.497668206E9</v>
      </c>
    </row>
    <row r="456">
      <c r="A456" s="1">
        <v>27443.0</v>
      </c>
      <c r="B456" s="1">
        <v>444.0</v>
      </c>
      <c r="C456" s="1">
        <v>10116.0</v>
      </c>
      <c r="D456" s="1">
        <v>1.480116929E9</v>
      </c>
    </row>
    <row r="457">
      <c r="A457" s="1">
        <v>27453.0</v>
      </c>
      <c r="B457" s="1">
        <v>444.0</v>
      </c>
      <c r="C457" s="1">
        <v>10116.0</v>
      </c>
      <c r="D457" s="1">
        <v>1.480116945E9</v>
      </c>
    </row>
    <row r="458">
      <c r="A458" s="1">
        <v>27469.0</v>
      </c>
      <c r="B458" s="1">
        <v>444.0</v>
      </c>
      <c r="C458" s="1">
        <v>10116.0</v>
      </c>
      <c r="D458" s="1">
        <v>1.480116982E9</v>
      </c>
    </row>
    <row r="459">
      <c r="A459" s="1">
        <v>27493.0</v>
      </c>
      <c r="B459" s="1">
        <v>444.0</v>
      </c>
      <c r="C459" s="1">
        <v>10116.0</v>
      </c>
      <c r="D459" s="1">
        <v>1.480117031E9</v>
      </c>
    </row>
    <row r="460">
      <c r="A460" s="1">
        <v>27496.0</v>
      </c>
      <c r="B460" s="1">
        <v>444.0</v>
      </c>
      <c r="C460" s="1">
        <v>10116.0</v>
      </c>
      <c r="D460" s="1">
        <v>1.48011704E9</v>
      </c>
    </row>
    <row r="461">
      <c r="A461" s="1">
        <v>26928.0</v>
      </c>
      <c r="B461" s="1">
        <v>444.0</v>
      </c>
      <c r="C461" s="1">
        <v>10119.0</v>
      </c>
      <c r="D461" s="1">
        <v>1.480115072E9</v>
      </c>
    </row>
    <row r="462">
      <c r="A462" s="1">
        <v>27013.0</v>
      </c>
      <c r="B462" s="1">
        <v>444.0</v>
      </c>
      <c r="C462" s="1">
        <v>10120.0</v>
      </c>
      <c r="D462" s="1">
        <v>1.480115291E9</v>
      </c>
    </row>
    <row r="463">
      <c r="A463" s="1">
        <v>27580.0</v>
      </c>
      <c r="B463" s="1">
        <v>444.0</v>
      </c>
      <c r="C463" s="1">
        <v>10120.0</v>
      </c>
      <c r="D463" s="1">
        <v>1.480117281E9</v>
      </c>
    </row>
    <row r="464">
      <c r="A464" s="1">
        <v>27597.0</v>
      </c>
      <c r="B464" s="1">
        <v>444.0</v>
      </c>
      <c r="C464" s="1">
        <v>10120.0</v>
      </c>
      <c r="D464" s="1">
        <v>1.480117324E9</v>
      </c>
    </row>
    <row r="465">
      <c r="A465" s="1">
        <v>30501.0</v>
      </c>
      <c r="B465" s="1">
        <v>444.0</v>
      </c>
      <c r="C465" s="1">
        <v>10120.0</v>
      </c>
      <c r="D465" s="1">
        <v>1.480696926E9</v>
      </c>
    </row>
    <row r="466">
      <c r="A466" s="1">
        <v>30511.0</v>
      </c>
      <c r="B466" s="1">
        <v>444.0</v>
      </c>
      <c r="C466" s="1">
        <v>10120.0</v>
      </c>
      <c r="D466" s="1">
        <v>1.480696952E9</v>
      </c>
    </row>
    <row r="467">
      <c r="A467" s="1">
        <v>30516.0</v>
      </c>
      <c r="B467" s="1">
        <v>444.0</v>
      </c>
      <c r="C467" s="1">
        <v>10120.0</v>
      </c>
      <c r="D467" s="1">
        <v>1.480698017E9</v>
      </c>
    </row>
    <row r="468">
      <c r="A468" s="1">
        <v>30518.0</v>
      </c>
      <c r="B468" s="1">
        <v>444.0</v>
      </c>
      <c r="C468" s="1">
        <v>10120.0</v>
      </c>
      <c r="D468" s="1">
        <v>1.480699E9</v>
      </c>
    </row>
    <row r="469">
      <c r="A469" s="1">
        <v>28040.0</v>
      </c>
      <c r="B469" s="1">
        <v>444.0</v>
      </c>
      <c r="C469" s="1">
        <v>10121.0</v>
      </c>
      <c r="D469" s="1">
        <v>1.480118329E9</v>
      </c>
    </row>
    <row r="470">
      <c r="A470" s="1">
        <v>28160.0</v>
      </c>
      <c r="B470" s="1">
        <v>444.0</v>
      </c>
      <c r="C470" s="1">
        <v>10121.0</v>
      </c>
      <c r="D470" s="1">
        <v>1.480118709E9</v>
      </c>
    </row>
    <row r="471">
      <c r="A471" s="1">
        <v>28529.0</v>
      </c>
      <c r="B471" s="1">
        <v>444.0</v>
      </c>
      <c r="C471" s="1">
        <v>10121.0</v>
      </c>
      <c r="D471" s="1">
        <v>1.480119917E9</v>
      </c>
    </row>
    <row r="472">
      <c r="A472" s="1">
        <v>28711.0</v>
      </c>
      <c r="B472" s="1">
        <v>444.0</v>
      </c>
      <c r="C472" s="1">
        <v>10121.0</v>
      </c>
      <c r="D472" s="1">
        <v>1.480120756E9</v>
      </c>
    </row>
    <row r="473">
      <c r="A473" s="1">
        <v>27348.0</v>
      </c>
      <c r="B473" s="1">
        <v>444.0</v>
      </c>
      <c r="C473" s="1">
        <v>10122.0</v>
      </c>
      <c r="D473" s="1">
        <v>1.480116743E9</v>
      </c>
    </row>
    <row r="474">
      <c r="A474" s="1">
        <v>27952.0</v>
      </c>
      <c r="B474" s="1">
        <v>444.0</v>
      </c>
      <c r="C474" s="1">
        <v>10122.0</v>
      </c>
      <c r="D474" s="1">
        <v>1.480118085E9</v>
      </c>
    </row>
    <row r="475">
      <c r="A475" s="1">
        <v>29079.0</v>
      </c>
      <c r="B475" s="1">
        <v>444.0</v>
      </c>
      <c r="C475" s="1">
        <v>10126.0</v>
      </c>
      <c r="D475" s="1">
        <v>1.48016105E9</v>
      </c>
    </row>
    <row r="476">
      <c r="A476" s="1">
        <v>29091.0</v>
      </c>
      <c r="B476" s="1">
        <v>444.0</v>
      </c>
      <c r="C476" s="1">
        <v>10126.0</v>
      </c>
      <c r="D476" s="1">
        <v>1.480162059E9</v>
      </c>
    </row>
    <row r="477">
      <c r="A477" s="1">
        <v>29093.0</v>
      </c>
      <c r="B477" s="1">
        <v>444.0</v>
      </c>
      <c r="C477" s="1">
        <v>10126.0</v>
      </c>
      <c r="D477" s="1">
        <v>1.480162854E9</v>
      </c>
    </row>
    <row r="478">
      <c r="A478" s="1">
        <v>29128.0</v>
      </c>
      <c r="B478" s="1">
        <v>444.0</v>
      </c>
      <c r="C478" s="1">
        <v>10126.0</v>
      </c>
      <c r="D478" s="1">
        <v>1.480163818E9</v>
      </c>
    </row>
    <row r="479">
      <c r="A479" s="1">
        <v>29130.0</v>
      </c>
      <c r="B479" s="1">
        <v>444.0</v>
      </c>
      <c r="C479" s="1">
        <v>10126.0</v>
      </c>
      <c r="D479" s="1">
        <v>1.48016383E9</v>
      </c>
    </row>
    <row r="480">
      <c r="A480" s="1">
        <v>29297.0</v>
      </c>
      <c r="B480" s="1">
        <v>444.0</v>
      </c>
      <c r="C480" s="1">
        <v>10126.0</v>
      </c>
      <c r="D480" s="1">
        <v>1.480202729E9</v>
      </c>
    </row>
    <row r="481">
      <c r="A481" s="1">
        <v>28215.0</v>
      </c>
      <c r="B481" s="1">
        <v>444.0</v>
      </c>
      <c r="C481" s="1">
        <v>10127.0</v>
      </c>
      <c r="D481" s="1">
        <v>1.480118863E9</v>
      </c>
    </row>
    <row r="482">
      <c r="A482" s="1">
        <v>28271.0</v>
      </c>
      <c r="B482" s="1">
        <v>444.0</v>
      </c>
      <c r="C482" s="1">
        <v>10127.0</v>
      </c>
      <c r="D482" s="1">
        <v>1.480119016E9</v>
      </c>
    </row>
    <row r="483">
      <c r="A483" s="1">
        <v>28544.0</v>
      </c>
      <c r="B483" s="1">
        <v>444.0</v>
      </c>
      <c r="C483" s="1">
        <v>10127.0</v>
      </c>
      <c r="D483" s="1">
        <v>1.480119976E9</v>
      </c>
    </row>
    <row r="484">
      <c r="A484" s="1">
        <v>27464.0</v>
      </c>
      <c r="B484" s="1">
        <v>444.0</v>
      </c>
      <c r="C484" s="1">
        <v>10128.0</v>
      </c>
      <c r="D484" s="1">
        <v>1.48011698E9</v>
      </c>
    </row>
    <row r="485">
      <c r="A485" s="1">
        <v>27483.0</v>
      </c>
      <c r="B485" s="1">
        <v>444.0</v>
      </c>
      <c r="C485" s="1">
        <v>10128.0</v>
      </c>
      <c r="D485" s="1">
        <v>1.480117011E9</v>
      </c>
    </row>
    <row r="486">
      <c r="A486" s="1">
        <v>27485.0</v>
      </c>
      <c r="B486" s="1">
        <v>444.0</v>
      </c>
      <c r="C486" s="1">
        <v>10128.0</v>
      </c>
      <c r="D486" s="1">
        <v>1.480117011E9</v>
      </c>
    </row>
    <row r="487">
      <c r="A487" s="1">
        <v>27898.0</v>
      </c>
      <c r="B487" s="1">
        <v>444.0</v>
      </c>
      <c r="C487" s="1">
        <v>10128.0</v>
      </c>
      <c r="D487" s="1">
        <v>1.480117986E9</v>
      </c>
    </row>
    <row r="488">
      <c r="A488" s="1">
        <v>27962.0</v>
      </c>
      <c r="B488" s="1">
        <v>444.0</v>
      </c>
      <c r="C488" s="1">
        <v>10128.0</v>
      </c>
      <c r="D488" s="1">
        <v>1.480118097E9</v>
      </c>
    </row>
    <row r="489">
      <c r="A489" s="1">
        <v>27322.0</v>
      </c>
      <c r="B489" s="1">
        <v>444.0</v>
      </c>
      <c r="C489" s="1">
        <v>10129.0</v>
      </c>
      <c r="D489" s="1">
        <v>1.480116691E9</v>
      </c>
    </row>
    <row r="490">
      <c r="A490" s="1">
        <v>27733.0</v>
      </c>
      <c r="B490" s="1">
        <v>444.0</v>
      </c>
      <c r="C490" s="1">
        <v>10129.0</v>
      </c>
      <c r="D490" s="1">
        <v>1.480117661E9</v>
      </c>
    </row>
    <row r="491">
      <c r="A491" s="1">
        <v>27792.0</v>
      </c>
      <c r="B491" s="1">
        <v>444.0</v>
      </c>
      <c r="C491" s="1">
        <v>10129.0</v>
      </c>
      <c r="D491" s="1">
        <v>1.480117745E9</v>
      </c>
    </row>
    <row r="492">
      <c r="A492" s="1">
        <v>28011.0</v>
      </c>
      <c r="B492" s="1">
        <v>444.0</v>
      </c>
      <c r="C492" s="1">
        <v>10129.0</v>
      </c>
      <c r="D492" s="1">
        <v>1.480118234E9</v>
      </c>
    </row>
    <row r="493">
      <c r="A493" s="1">
        <v>28012.0</v>
      </c>
      <c r="B493" s="1">
        <v>444.0</v>
      </c>
      <c r="C493" s="1">
        <v>10129.0</v>
      </c>
      <c r="D493" s="1">
        <v>1.480118237E9</v>
      </c>
    </row>
    <row r="494">
      <c r="A494" s="1">
        <v>29146.0</v>
      </c>
      <c r="B494" s="1">
        <v>444.0</v>
      </c>
      <c r="C494" s="1">
        <v>10129.0</v>
      </c>
      <c r="D494" s="1">
        <v>1.480167187E9</v>
      </c>
    </row>
    <row r="495">
      <c r="A495" s="1">
        <v>29148.0</v>
      </c>
      <c r="B495" s="1">
        <v>444.0</v>
      </c>
      <c r="C495" s="1">
        <v>10129.0</v>
      </c>
      <c r="D495" s="1">
        <v>1.480167208E9</v>
      </c>
    </row>
    <row r="496">
      <c r="A496" s="1">
        <v>29169.0</v>
      </c>
      <c r="B496" s="1">
        <v>444.0</v>
      </c>
      <c r="C496" s="1">
        <v>10129.0</v>
      </c>
      <c r="D496" s="1">
        <v>1.480171337E9</v>
      </c>
    </row>
    <row r="497">
      <c r="A497" s="1">
        <v>29171.0</v>
      </c>
      <c r="B497" s="1">
        <v>444.0</v>
      </c>
      <c r="C497" s="1">
        <v>10129.0</v>
      </c>
      <c r="D497" s="1">
        <v>1.480173182E9</v>
      </c>
    </row>
    <row r="498">
      <c r="A498" s="1">
        <v>29172.0</v>
      </c>
      <c r="B498" s="1">
        <v>444.0</v>
      </c>
      <c r="C498" s="1">
        <v>10129.0</v>
      </c>
      <c r="D498" s="1">
        <v>1.480173292E9</v>
      </c>
    </row>
    <row r="499">
      <c r="A499" s="1">
        <v>27556.0</v>
      </c>
      <c r="B499" s="1">
        <v>444.0</v>
      </c>
      <c r="C499" s="1">
        <v>10130.0</v>
      </c>
      <c r="D499" s="1">
        <v>1.480117232E9</v>
      </c>
    </row>
    <row r="500">
      <c r="A500" s="1">
        <v>28558.0</v>
      </c>
      <c r="B500" s="1">
        <v>444.0</v>
      </c>
      <c r="C500" s="1">
        <v>10130.0</v>
      </c>
      <c r="D500" s="1">
        <v>1.48012002E9</v>
      </c>
    </row>
    <row r="501">
      <c r="A501" s="1">
        <v>27648.0</v>
      </c>
      <c r="B501" s="1">
        <v>444.0</v>
      </c>
      <c r="C501" s="1">
        <v>10131.0</v>
      </c>
      <c r="D501" s="1">
        <v>1.480117473E9</v>
      </c>
    </row>
    <row r="502">
      <c r="A502" s="1">
        <v>28328.0</v>
      </c>
      <c r="B502" s="1">
        <v>444.0</v>
      </c>
      <c r="C502" s="1">
        <v>10131.0</v>
      </c>
      <c r="D502" s="1">
        <v>1.480119174E9</v>
      </c>
    </row>
    <row r="503">
      <c r="A503" s="1">
        <v>28330.0</v>
      </c>
      <c r="B503" s="1">
        <v>444.0</v>
      </c>
      <c r="C503" s="1">
        <v>10131.0</v>
      </c>
      <c r="D503" s="1">
        <v>1.480119189E9</v>
      </c>
    </row>
    <row r="504">
      <c r="A504" s="1">
        <v>28332.0</v>
      </c>
      <c r="B504" s="1">
        <v>444.0</v>
      </c>
      <c r="C504" s="1">
        <v>10131.0</v>
      </c>
      <c r="D504" s="1">
        <v>1.480119192E9</v>
      </c>
    </row>
    <row r="505">
      <c r="A505" s="1">
        <v>28333.0</v>
      </c>
      <c r="B505" s="1">
        <v>444.0</v>
      </c>
      <c r="C505" s="1">
        <v>10131.0</v>
      </c>
      <c r="D505" s="1">
        <v>1.4801192E9</v>
      </c>
    </row>
    <row r="506">
      <c r="A506" s="1">
        <v>28349.0</v>
      </c>
      <c r="B506" s="1">
        <v>444.0</v>
      </c>
      <c r="C506" s="1">
        <v>10131.0</v>
      </c>
      <c r="D506" s="1">
        <v>1.480119287E9</v>
      </c>
    </row>
    <row r="507">
      <c r="A507" s="1">
        <v>28366.0</v>
      </c>
      <c r="B507" s="1">
        <v>444.0</v>
      </c>
      <c r="C507" s="1">
        <v>10131.0</v>
      </c>
      <c r="D507" s="1">
        <v>1.480119311E9</v>
      </c>
    </row>
    <row r="508">
      <c r="A508" s="1">
        <v>28386.0</v>
      </c>
      <c r="B508" s="1">
        <v>444.0</v>
      </c>
      <c r="C508" s="1">
        <v>10131.0</v>
      </c>
      <c r="D508" s="1">
        <v>1.480119351E9</v>
      </c>
    </row>
    <row r="509">
      <c r="A509" s="1">
        <v>28395.0</v>
      </c>
      <c r="B509" s="1">
        <v>444.0</v>
      </c>
      <c r="C509" s="1">
        <v>10131.0</v>
      </c>
      <c r="D509" s="1">
        <v>1.480119381E9</v>
      </c>
    </row>
    <row r="510">
      <c r="A510" s="1">
        <v>28411.0</v>
      </c>
      <c r="B510" s="1">
        <v>444.0</v>
      </c>
      <c r="C510" s="1">
        <v>10131.0</v>
      </c>
      <c r="D510" s="1">
        <v>1.480119402E9</v>
      </c>
    </row>
    <row r="511">
      <c r="A511" s="1">
        <v>28423.0</v>
      </c>
      <c r="B511" s="1">
        <v>444.0</v>
      </c>
      <c r="C511" s="1">
        <v>10131.0</v>
      </c>
      <c r="D511" s="1">
        <v>1.48011942E9</v>
      </c>
    </row>
    <row r="512">
      <c r="A512" s="1">
        <v>28074.0</v>
      </c>
      <c r="B512" s="1">
        <v>444.0</v>
      </c>
      <c r="C512" s="1">
        <v>10132.0</v>
      </c>
      <c r="D512" s="1">
        <v>1.480118436E9</v>
      </c>
    </row>
    <row r="513">
      <c r="A513" s="1">
        <v>28276.0</v>
      </c>
      <c r="B513" s="1">
        <v>444.0</v>
      </c>
      <c r="C513" s="1">
        <v>10132.0</v>
      </c>
      <c r="D513" s="1">
        <v>1.480119022E9</v>
      </c>
    </row>
    <row r="514">
      <c r="A514" s="1">
        <v>28175.0</v>
      </c>
      <c r="B514" s="1">
        <v>444.0</v>
      </c>
      <c r="C514" s="1">
        <v>10133.0</v>
      </c>
      <c r="D514" s="1">
        <v>1.480118775E9</v>
      </c>
    </row>
    <row r="515">
      <c r="A515" s="1">
        <v>28623.0</v>
      </c>
      <c r="B515" s="1">
        <v>444.0</v>
      </c>
      <c r="C515" s="1">
        <v>10133.0</v>
      </c>
      <c r="D515" s="1">
        <v>1.480120339E9</v>
      </c>
    </row>
    <row r="516">
      <c r="A516" s="1">
        <v>30923.0</v>
      </c>
      <c r="B516" s="1">
        <v>444.0</v>
      </c>
      <c r="C516" s="1">
        <v>10133.0</v>
      </c>
      <c r="D516" s="1">
        <v>1.481545932E9</v>
      </c>
    </row>
    <row r="517">
      <c r="A517" s="1">
        <v>27182.0</v>
      </c>
      <c r="B517" s="1">
        <v>444.0</v>
      </c>
      <c r="C517" s="1">
        <v>10134.0</v>
      </c>
      <c r="D517" s="1">
        <v>1.480116168E9</v>
      </c>
    </row>
    <row r="518">
      <c r="A518" s="1">
        <v>28035.0</v>
      </c>
      <c r="B518" s="1">
        <v>444.0</v>
      </c>
      <c r="C518" s="1">
        <v>10134.0</v>
      </c>
      <c r="D518" s="1">
        <v>1.480118286E9</v>
      </c>
    </row>
    <row r="519">
      <c r="A519" s="1">
        <v>29302.0</v>
      </c>
      <c r="B519" s="1">
        <v>444.0</v>
      </c>
      <c r="C519" s="1">
        <v>10135.0</v>
      </c>
      <c r="D519" s="1">
        <v>1.480203156E9</v>
      </c>
    </row>
    <row r="520">
      <c r="A520" s="1">
        <v>29879.0</v>
      </c>
      <c r="B520" s="1">
        <v>444.0</v>
      </c>
      <c r="C520" s="1">
        <v>10135.0</v>
      </c>
      <c r="D520" s="1">
        <v>1.480334718E9</v>
      </c>
    </row>
    <row r="521">
      <c r="A521" s="1">
        <v>29885.0</v>
      </c>
      <c r="B521" s="1">
        <v>444.0</v>
      </c>
      <c r="C521" s="1">
        <v>10135.0</v>
      </c>
      <c r="D521" s="1">
        <v>1.480335163E9</v>
      </c>
    </row>
    <row r="522">
      <c r="A522" s="1">
        <v>30185.0</v>
      </c>
      <c r="B522" s="1">
        <v>444.0</v>
      </c>
      <c r="C522" s="1">
        <v>10135.0</v>
      </c>
      <c r="D522" s="1">
        <v>1.480521366E9</v>
      </c>
    </row>
    <row r="523">
      <c r="A523" s="1">
        <v>27177.0</v>
      </c>
      <c r="B523" s="1">
        <v>444.0</v>
      </c>
      <c r="C523" s="1">
        <v>10136.0</v>
      </c>
      <c r="D523" s="1">
        <v>1.480116151E9</v>
      </c>
    </row>
    <row r="524">
      <c r="A524" s="1">
        <v>27877.0</v>
      </c>
      <c r="B524" s="1">
        <v>444.0</v>
      </c>
      <c r="C524" s="1">
        <v>10136.0</v>
      </c>
      <c r="D524" s="1">
        <v>1.480117946E9</v>
      </c>
    </row>
    <row r="525">
      <c r="A525" s="1">
        <v>28079.0</v>
      </c>
      <c r="B525" s="1">
        <v>444.0</v>
      </c>
      <c r="C525" s="1">
        <v>10136.0</v>
      </c>
      <c r="D525" s="1">
        <v>1.480118455E9</v>
      </c>
    </row>
    <row r="526">
      <c r="A526" s="1">
        <v>28080.0</v>
      </c>
      <c r="B526" s="1">
        <v>444.0</v>
      </c>
      <c r="C526" s="1">
        <v>10136.0</v>
      </c>
      <c r="D526" s="1">
        <v>1.480118458E9</v>
      </c>
    </row>
    <row r="527">
      <c r="A527" s="1">
        <v>27759.0</v>
      </c>
      <c r="B527" s="1">
        <v>444.0</v>
      </c>
      <c r="C527" s="1">
        <v>10137.0</v>
      </c>
      <c r="D527" s="1">
        <v>1.480117685E9</v>
      </c>
    </row>
    <row r="528">
      <c r="A528" s="1">
        <v>27134.0</v>
      </c>
      <c r="B528" s="1">
        <v>444.0</v>
      </c>
      <c r="C528" s="1">
        <v>10138.0</v>
      </c>
      <c r="D528" s="1">
        <v>1.480115953E9</v>
      </c>
    </row>
    <row r="529">
      <c r="A529" s="1">
        <v>27686.0</v>
      </c>
      <c r="B529" s="1">
        <v>444.0</v>
      </c>
      <c r="C529" s="1">
        <v>10138.0</v>
      </c>
      <c r="D529" s="1">
        <v>1.480117557E9</v>
      </c>
    </row>
    <row r="530">
      <c r="A530" s="1">
        <v>28303.0</v>
      </c>
      <c r="B530" s="1">
        <v>444.0</v>
      </c>
      <c r="C530" s="1">
        <v>10138.0</v>
      </c>
      <c r="D530" s="1">
        <v>1.480119105E9</v>
      </c>
    </row>
    <row r="531">
      <c r="A531" s="1">
        <v>28039.0</v>
      </c>
      <c r="B531" s="1">
        <v>444.0</v>
      </c>
      <c r="C531" s="1">
        <v>10139.0</v>
      </c>
      <c r="D531" s="1">
        <v>1.480118304E9</v>
      </c>
    </row>
    <row r="532">
      <c r="A532" s="1">
        <v>28257.0</v>
      </c>
      <c r="B532" s="1">
        <v>444.0</v>
      </c>
      <c r="C532" s="1">
        <v>10139.0</v>
      </c>
      <c r="D532" s="1">
        <v>1.480119006E9</v>
      </c>
    </row>
    <row r="533">
      <c r="A533" s="1">
        <v>28265.0</v>
      </c>
      <c r="B533" s="1">
        <v>444.0</v>
      </c>
      <c r="C533" s="1">
        <v>10139.0</v>
      </c>
      <c r="D533" s="1">
        <v>1.480119012E9</v>
      </c>
    </row>
    <row r="534">
      <c r="A534" s="1">
        <v>27427.0</v>
      </c>
      <c r="B534" s="1">
        <v>444.0</v>
      </c>
      <c r="C534" s="1">
        <v>10140.0</v>
      </c>
      <c r="D534" s="1">
        <v>1.480116894E9</v>
      </c>
    </row>
    <row r="535">
      <c r="A535" s="1">
        <v>28045.0</v>
      </c>
      <c r="B535" s="1">
        <v>444.0</v>
      </c>
      <c r="C535" s="1">
        <v>10140.0</v>
      </c>
      <c r="D535" s="1">
        <v>1.480118345E9</v>
      </c>
    </row>
    <row r="536">
      <c r="A536" s="1">
        <v>28335.0</v>
      </c>
      <c r="B536" s="1">
        <v>444.0</v>
      </c>
      <c r="C536" s="1">
        <v>10140.0</v>
      </c>
      <c r="D536" s="1">
        <v>1.480119209E9</v>
      </c>
    </row>
    <row r="537">
      <c r="A537" s="1">
        <v>27824.0</v>
      </c>
      <c r="B537" s="1">
        <v>444.0</v>
      </c>
      <c r="C537" s="1">
        <v>10141.0</v>
      </c>
      <c r="D537" s="1">
        <v>1.480117807E9</v>
      </c>
    </row>
    <row r="538">
      <c r="A538" s="1">
        <v>27899.0</v>
      </c>
      <c r="B538" s="1">
        <v>444.0</v>
      </c>
      <c r="C538" s="1">
        <v>10141.0</v>
      </c>
      <c r="D538" s="1">
        <v>1.480117988E9</v>
      </c>
    </row>
    <row r="539">
      <c r="A539" s="1">
        <v>28078.0</v>
      </c>
      <c r="B539" s="1">
        <v>444.0</v>
      </c>
      <c r="C539" s="1">
        <v>10141.0</v>
      </c>
      <c r="D539" s="1">
        <v>1.480118452E9</v>
      </c>
    </row>
    <row r="540">
      <c r="A540" s="1">
        <v>28169.0</v>
      </c>
      <c r="B540" s="1">
        <v>444.0</v>
      </c>
      <c r="C540" s="1">
        <v>10141.0</v>
      </c>
      <c r="D540" s="1">
        <v>1.480118753E9</v>
      </c>
    </row>
    <row r="541">
      <c r="A541" s="1">
        <v>28187.0</v>
      </c>
      <c r="B541" s="1">
        <v>444.0</v>
      </c>
      <c r="C541" s="1">
        <v>10141.0</v>
      </c>
      <c r="D541" s="1">
        <v>1.48011882E9</v>
      </c>
    </row>
    <row r="542">
      <c r="A542" s="1">
        <v>28199.0</v>
      </c>
      <c r="B542" s="1">
        <v>444.0</v>
      </c>
      <c r="C542" s="1">
        <v>10141.0</v>
      </c>
      <c r="D542" s="1">
        <v>1.480118833E9</v>
      </c>
    </row>
    <row r="543">
      <c r="A543" s="1">
        <v>29360.0</v>
      </c>
      <c r="B543" s="1">
        <v>444.0</v>
      </c>
      <c r="C543" s="1">
        <v>10141.0</v>
      </c>
      <c r="D543" s="1">
        <v>1.480266113E9</v>
      </c>
    </row>
    <row r="544">
      <c r="A544" s="1">
        <v>27605.0</v>
      </c>
      <c r="B544" s="1">
        <v>444.0</v>
      </c>
      <c r="C544" s="1">
        <v>10144.0</v>
      </c>
      <c r="D544" s="1">
        <v>1.480117336E9</v>
      </c>
    </row>
    <row r="545">
      <c r="A545" s="1">
        <v>27630.0</v>
      </c>
      <c r="B545" s="1">
        <v>444.0</v>
      </c>
      <c r="C545" s="1">
        <v>10144.0</v>
      </c>
      <c r="D545" s="1">
        <v>1.480117413E9</v>
      </c>
    </row>
    <row r="546">
      <c r="A546" s="1">
        <v>28119.0</v>
      </c>
      <c r="B546" s="1">
        <v>444.0</v>
      </c>
      <c r="C546" s="1">
        <v>10144.0</v>
      </c>
      <c r="D546" s="1">
        <v>1.480118568E9</v>
      </c>
    </row>
    <row r="547">
      <c r="A547" s="1">
        <v>28886.0</v>
      </c>
      <c r="B547" s="1">
        <v>444.0</v>
      </c>
      <c r="C547" s="1">
        <v>10144.0</v>
      </c>
      <c r="D547" s="1">
        <v>1.480123386E9</v>
      </c>
    </row>
    <row r="548">
      <c r="A548" s="1">
        <v>29595.0</v>
      </c>
      <c r="B548" s="1">
        <v>444.0</v>
      </c>
      <c r="C548" s="1">
        <v>10144.0</v>
      </c>
      <c r="D548" s="1">
        <v>1.480326163E9</v>
      </c>
    </row>
    <row r="549">
      <c r="A549" s="1">
        <v>29666.0</v>
      </c>
      <c r="B549" s="1">
        <v>444.0</v>
      </c>
      <c r="C549" s="1">
        <v>10144.0</v>
      </c>
      <c r="D549" s="1">
        <v>1.480327891E9</v>
      </c>
    </row>
    <row r="550">
      <c r="A550" s="1">
        <v>27393.0</v>
      </c>
      <c r="B550" s="1">
        <v>444.0</v>
      </c>
      <c r="C550" s="1">
        <v>10145.0</v>
      </c>
      <c r="D550" s="1">
        <v>1.480116824E9</v>
      </c>
    </row>
    <row r="551">
      <c r="A551" s="1">
        <v>28315.0</v>
      </c>
      <c r="B551" s="1">
        <v>444.0</v>
      </c>
      <c r="C551" s="1">
        <v>10145.0</v>
      </c>
      <c r="D551" s="1">
        <v>1.480119138E9</v>
      </c>
    </row>
    <row r="552">
      <c r="A552" s="1">
        <v>28838.0</v>
      </c>
      <c r="B552" s="1">
        <v>444.0</v>
      </c>
      <c r="C552" s="1">
        <v>10145.0</v>
      </c>
      <c r="D552" s="1">
        <v>1.480122775E9</v>
      </c>
    </row>
    <row r="553">
      <c r="A553" s="1">
        <v>27301.0</v>
      </c>
      <c r="B553" s="1">
        <v>444.0</v>
      </c>
      <c r="C553" s="1">
        <v>10146.0</v>
      </c>
      <c r="D553" s="1">
        <v>1.480116645E9</v>
      </c>
    </row>
    <row r="554">
      <c r="A554" s="1">
        <v>27540.0</v>
      </c>
      <c r="B554" s="1">
        <v>444.0</v>
      </c>
      <c r="C554" s="1">
        <v>10146.0</v>
      </c>
      <c r="D554" s="1">
        <v>1.48011717E9</v>
      </c>
    </row>
    <row r="555">
      <c r="A555" s="1">
        <v>27929.0</v>
      </c>
      <c r="B555" s="1">
        <v>444.0</v>
      </c>
      <c r="C555" s="1">
        <v>10148.0</v>
      </c>
      <c r="D555" s="1">
        <v>1.480118025E9</v>
      </c>
    </row>
    <row r="556">
      <c r="A556" s="1">
        <v>27938.0</v>
      </c>
      <c r="B556" s="1">
        <v>444.0</v>
      </c>
      <c r="C556" s="1">
        <v>10148.0</v>
      </c>
      <c r="D556" s="1">
        <v>1.480118049E9</v>
      </c>
    </row>
    <row r="557">
      <c r="A557" s="1">
        <v>28679.0</v>
      </c>
      <c r="B557" s="1">
        <v>444.0</v>
      </c>
      <c r="C557" s="1">
        <v>10148.0</v>
      </c>
      <c r="D557" s="1">
        <v>1.480120538E9</v>
      </c>
    </row>
    <row r="558">
      <c r="A558" s="1">
        <v>28680.0</v>
      </c>
      <c r="B558" s="1">
        <v>444.0</v>
      </c>
      <c r="C558" s="1">
        <v>10148.0</v>
      </c>
      <c r="D558" s="1">
        <v>1.480120546E9</v>
      </c>
    </row>
    <row r="559">
      <c r="A559" s="1">
        <v>28892.0</v>
      </c>
      <c r="B559" s="1">
        <v>444.0</v>
      </c>
      <c r="C559" s="1">
        <v>10148.0</v>
      </c>
      <c r="D559" s="1">
        <v>1.480123551E9</v>
      </c>
    </row>
    <row r="560">
      <c r="A560" s="1">
        <v>28893.0</v>
      </c>
      <c r="B560" s="1">
        <v>444.0</v>
      </c>
      <c r="C560" s="1">
        <v>10148.0</v>
      </c>
      <c r="D560" s="1">
        <v>1.480123583E9</v>
      </c>
    </row>
    <row r="561">
      <c r="A561" s="1">
        <v>30329.0</v>
      </c>
      <c r="B561" s="1">
        <v>444.0</v>
      </c>
      <c r="C561" s="1">
        <v>10148.0</v>
      </c>
      <c r="D561" s="1">
        <v>1.480554859E9</v>
      </c>
    </row>
    <row r="562">
      <c r="A562" s="1">
        <v>30330.0</v>
      </c>
      <c r="B562" s="1">
        <v>444.0</v>
      </c>
      <c r="C562" s="1">
        <v>10148.0</v>
      </c>
      <c r="D562" s="1">
        <v>1.480554862E9</v>
      </c>
    </row>
    <row r="563">
      <c r="A563" s="1">
        <v>27664.0</v>
      </c>
      <c r="B563" s="1">
        <v>444.0</v>
      </c>
      <c r="C563" s="1">
        <v>10149.0</v>
      </c>
      <c r="D563" s="1">
        <v>1.480117517E9</v>
      </c>
    </row>
    <row r="564">
      <c r="A564" s="1">
        <v>27668.0</v>
      </c>
      <c r="B564" s="1">
        <v>444.0</v>
      </c>
      <c r="C564" s="1">
        <v>10149.0</v>
      </c>
      <c r="D564" s="1">
        <v>1.480117524E9</v>
      </c>
    </row>
    <row r="565">
      <c r="A565" s="1">
        <v>27356.0</v>
      </c>
      <c r="B565" s="1">
        <v>444.0</v>
      </c>
      <c r="C565" s="1">
        <v>10152.0</v>
      </c>
      <c r="D565" s="1">
        <v>1.48011676E9</v>
      </c>
    </row>
    <row r="566">
      <c r="A566" s="1">
        <v>27813.0</v>
      </c>
      <c r="B566" s="1">
        <v>444.0</v>
      </c>
      <c r="C566" s="1">
        <v>10152.0</v>
      </c>
      <c r="D566" s="1">
        <v>1.480117782E9</v>
      </c>
    </row>
    <row r="567">
      <c r="A567" s="1">
        <v>27842.0</v>
      </c>
      <c r="B567" s="1">
        <v>444.0</v>
      </c>
      <c r="C567" s="1">
        <v>10152.0</v>
      </c>
      <c r="D567" s="1">
        <v>1.480117877E9</v>
      </c>
    </row>
    <row r="568">
      <c r="A568" s="1">
        <v>27870.0</v>
      </c>
      <c r="B568" s="1">
        <v>444.0</v>
      </c>
      <c r="C568" s="1">
        <v>10152.0</v>
      </c>
      <c r="D568" s="1">
        <v>1.480117936E9</v>
      </c>
    </row>
    <row r="569">
      <c r="A569" s="1">
        <v>27921.0</v>
      </c>
      <c r="B569" s="1">
        <v>444.0</v>
      </c>
      <c r="C569" s="1">
        <v>10152.0</v>
      </c>
      <c r="D569" s="1">
        <v>1.480118009E9</v>
      </c>
    </row>
    <row r="570">
      <c r="A570" s="1">
        <v>28581.0</v>
      </c>
      <c r="B570" s="1">
        <v>444.0</v>
      </c>
      <c r="C570" s="1">
        <v>10152.0</v>
      </c>
      <c r="D570" s="1">
        <v>1.480120224E9</v>
      </c>
    </row>
    <row r="571">
      <c r="A571" s="1">
        <v>28590.0</v>
      </c>
      <c r="B571" s="1">
        <v>444.0</v>
      </c>
      <c r="C571" s="1">
        <v>10152.0</v>
      </c>
      <c r="D571" s="1">
        <v>1.480120258E9</v>
      </c>
    </row>
    <row r="572">
      <c r="A572" s="1">
        <v>28678.0</v>
      </c>
      <c r="B572" s="1">
        <v>444.0</v>
      </c>
      <c r="C572" s="1">
        <v>10152.0</v>
      </c>
      <c r="D572" s="1">
        <v>1.480120533E9</v>
      </c>
    </row>
    <row r="573">
      <c r="A573" s="1">
        <v>29415.0</v>
      </c>
      <c r="B573" s="1">
        <v>444.0</v>
      </c>
      <c r="C573" s="1">
        <v>10153.0</v>
      </c>
      <c r="D573" s="1">
        <v>1.480266951E9</v>
      </c>
    </row>
    <row r="574">
      <c r="A574" s="1">
        <v>29222.0</v>
      </c>
      <c r="B574" s="1">
        <v>444.0</v>
      </c>
      <c r="C574" s="1">
        <v>10158.0</v>
      </c>
      <c r="D574" s="1">
        <v>1.480180438E9</v>
      </c>
    </row>
    <row r="575">
      <c r="A575" s="1">
        <v>29244.0</v>
      </c>
      <c r="B575" s="1">
        <v>444.0</v>
      </c>
      <c r="C575" s="1">
        <v>10158.0</v>
      </c>
      <c r="D575" s="1">
        <v>1.480183824E9</v>
      </c>
    </row>
    <row r="576">
      <c r="A576" s="1">
        <v>29541.0</v>
      </c>
      <c r="B576" s="1">
        <v>444.0</v>
      </c>
      <c r="C576" s="1">
        <v>10158.0</v>
      </c>
      <c r="D576" s="1">
        <v>1.480280843E9</v>
      </c>
    </row>
    <row r="577">
      <c r="A577" s="1">
        <v>30877.0</v>
      </c>
      <c r="B577" s="1">
        <v>444.0</v>
      </c>
      <c r="C577" s="1">
        <v>10166.0</v>
      </c>
      <c r="D577" s="1">
        <v>1.481422199E9</v>
      </c>
    </row>
    <row r="578">
      <c r="A578" s="1">
        <v>30879.0</v>
      </c>
      <c r="B578" s="1">
        <v>444.0</v>
      </c>
      <c r="C578" s="1">
        <v>10166.0</v>
      </c>
      <c r="D578" s="1">
        <v>1.481422877E9</v>
      </c>
    </row>
    <row r="579">
      <c r="A579" s="1">
        <v>30881.0</v>
      </c>
      <c r="B579" s="1">
        <v>444.0</v>
      </c>
      <c r="C579" s="1">
        <v>10166.0</v>
      </c>
      <c r="D579" s="1">
        <v>1.481422932E9</v>
      </c>
    </row>
    <row r="580">
      <c r="A580" s="1">
        <v>30883.0</v>
      </c>
      <c r="B580" s="1">
        <v>444.0</v>
      </c>
      <c r="C580" s="1">
        <v>10166.0</v>
      </c>
      <c r="D580" s="1">
        <v>1.481422936E9</v>
      </c>
    </row>
    <row r="581">
      <c r="A581" s="1">
        <v>30886.0</v>
      </c>
      <c r="B581" s="1">
        <v>444.0</v>
      </c>
      <c r="C581" s="1">
        <v>10166.0</v>
      </c>
      <c r="D581" s="1">
        <v>1.481422974E9</v>
      </c>
    </row>
    <row r="582">
      <c r="A582" s="1">
        <v>30887.0</v>
      </c>
      <c r="B582" s="1">
        <v>444.0</v>
      </c>
      <c r="C582" s="1">
        <v>10166.0</v>
      </c>
      <c r="D582" s="1">
        <v>1.481422977E9</v>
      </c>
    </row>
    <row r="583">
      <c r="A583" s="1">
        <v>30890.0</v>
      </c>
      <c r="B583" s="1">
        <v>444.0</v>
      </c>
      <c r="C583" s="1">
        <v>10166.0</v>
      </c>
      <c r="D583" s="1">
        <v>1.481426029E9</v>
      </c>
    </row>
    <row r="584">
      <c r="A584" s="1">
        <v>30892.0</v>
      </c>
      <c r="B584" s="1">
        <v>444.0</v>
      </c>
      <c r="C584" s="1">
        <v>10166.0</v>
      </c>
      <c r="D584" s="1">
        <v>1.481426033E9</v>
      </c>
    </row>
    <row r="585">
      <c r="A585" s="1">
        <v>30948.0</v>
      </c>
      <c r="B585" s="1">
        <v>444.0</v>
      </c>
      <c r="C585" s="1">
        <v>10167.0</v>
      </c>
      <c r="D585" s="1">
        <v>1.481591156E9</v>
      </c>
    </row>
    <row r="586">
      <c r="A586" s="1">
        <v>28322.0</v>
      </c>
      <c r="B586" s="1">
        <v>445.0</v>
      </c>
      <c r="C586" s="1">
        <v>2.0</v>
      </c>
      <c r="D586" s="1">
        <v>1.480119155E9</v>
      </c>
    </row>
    <row r="587">
      <c r="A587" s="1">
        <v>28358.0</v>
      </c>
      <c r="B587" s="1">
        <v>445.0</v>
      </c>
      <c r="C587" s="1">
        <v>2.0</v>
      </c>
      <c r="D587" s="1">
        <v>1.480119294E9</v>
      </c>
    </row>
    <row r="588">
      <c r="A588" s="1">
        <v>28514.0</v>
      </c>
      <c r="B588" s="1">
        <v>445.0</v>
      </c>
      <c r="C588" s="1">
        <v>2.0</v>
      </c>
      <c r="D588" s="1">
        <v>1.48011984E9</v>
      </c>
    </row>
    <row r="589">
      <c r="A589" s="1">
        <v>28515.0</v>
      </c>
      <c r="B589" s="1">
        <v>445.0</v>
      </c>
      <c r="C589" s="1">
        <v>2.0</v>
      </c>
      <c r="D589" s="1">
        <v>1.480119842E9</v>
      </c>
    </row>
    <row r="590">
      <c r="A590" s="1">
        <v>28599.0</v>
      </c>
      <c r="B590" s="1">
        <v>445.0</v>
      </c>
      <c r="C590" s="1">
        <v>2.0</v>
      </c>
      <c r="D590" s="1">
        <v>1.48012029E9</v>
      </c>
    </row>
    <row r="591">
      <c r="A591" s="1">
        <v>28600.0</v>
      </c>
      <c r="B591" s="1">
        <v>445.0</v>
      </c>
      <c r="C591" s="1">
        <v>2.0</v>
      </c>
      <c r="D591" s="1">
        <v>1.480120303E9</v>
      </c>
    </row>
    <row r="592">
      <c r="A592" s="1">
        <v>28690.0</v>
      </c>
      <c r="B592" s="1">
        <v>445.0</v>
      </c>
      <c r="C592" s="1">
        <v>2.0</v>
      </c>
      <c r="D592" s="1">
        <v>1.480120591E9</v>
      </c>
    </row>
    <row r="593">
      <c r="A593" s="1">
        <v>28691.0</v>
      </c>
      <c r="B593" s="1">
        <v>445.0</v>
      </c>
      <c r="C593" s="1">
        <v>2.0</v>
      </c>
      <c r="D593" s="1">
        <v>1.480120593E9</v>
      </c>
    </row>
    <row r="594">
      <c r="A594" s="1">
        <v>28694.0</v>
      </c>
      <c r="B594" s="1">
        <v>445.0</v>
      </c>
      <c r="C594" s="1">
        <v>2.0</v>
      </c>
      <c r="D594" s="1">
        <v>1.480120622E9</v>
      </c>
    </row>
    <row r="595">
      <c r="A595" s="1">
        <v>28698.0</v>
      </c>
      <c r="B595" s="1">
        <v>445.0</v>
      </c>
      <c r="C595" s="1">
        <v>2.0</v>
      </c>
      <c r="D595" s="1">
        <v>1.480120627E9</v>
      </c>
    </row>
    <row r="596">
      <c r="A596" s="1">
        <v>28700.0</v>
      </c>
      <c r="B596" s="1">
        <v>445.0</v>
      </c>
      <c r="C596" s="1">
        <v>2.0</v>
      </c>
      <c r="D596" s="1">
        <v>1.480120641E9</v>
      </c>
    </row>
    <row r="597">
      <c r="A597" s="1">
        <v>28706.0</v>
      </c>
      <c r="B597" s="1">
        <v>445.0</v>
      </c>
      <c r="C597" s="1">
        <v>2.0</v>
      </c>
      <c r="D597" s="1">
        <v>1.480120709E9</v>
      </c>
    </row>
    <row r="598">
      <c r="A598" s="1">
        <v>28710.0</v>
      </c>
      <c r="B598" s="1">
        <v>445.0</v>
      </c>
      <c r="C598" s="1">
        <v>2.0</v>
      </c>
      <c r="D598" s="1">
        <v>1.48012075E9</v>
      </c>
    </row>
    <row r="599">
      <c r="A599" s="1">
        <v>28872.0</v>
      </c>
      <c r="B599" s="1">
        <v>445.0</v>
      </c>
      <c r="C599" s="1">
        <v>2.0</v>
      </c>
      <c r="D599" s="1">
        <v>1.480123335E9</v>
      </c>
    </row>
    <row r="600">
      <c r="A600" s="1">
        <v>28873.0</v>
      </c>
      <c r="B600" s="1">
        <v>445.0</v>
      </c>
      <c r="C600" s="1">
        <v>2.0</v>
      </c>
      <c r="D600" s="1">
        <v>1.480123338E9</v>
      </c>
    </row>
    <row r="601">
      <c r="A601" s="1">
        <v>28877.0</v>
      </c>
      <c r="B601" s="1">
        <v>445.0</v>
      </c>
      <c r="C601" s="1">
        <v>2.0</v>
      </c>
      <c r="D601" s="1">
        <v>1.480123357E9</v>
      </c>
    </row>
    <row r="602">
      <c r="A602" s="1">
        <v>28878.0</v>
      </c>
      <c r="B602" s="1">
        <v>445.0</v>
      </c>
      <c r="C602" s="1">
        <v>2.0</v>
      </c>
      <c r="D602" s="1">
        <v>1.480123363E9</v>
      </c>
    </row>
    <row r="603">
      <c r="A603" s="1">
        <v>28888.0</v>
      </c>
      <c r="B603" s="1">
        <v>445.0</v>
      </c>
      <c r="C603" s="1">
        <v>2.0</v>
      </c>
      <c r="D603" s="1">
        <v>1.4801234E9</v>
      </c>
    </row>
    <row r="604">
      <c r="A604" s="1">
        <v>28889.0</v>
      </c>
      <c r="B604" s="1">
        <v>445.0</v>
      </c>
      <c r="C604" s="1">
        <v>2.0</v>
      </c>
      <c r="D604" s="1">
        <v>1.48012341E9</v>
      </c>
    </row>
    <row r="605">
      <c r="A605" s="1">
        <v>28974.0</v>
      </c>
      <c r="B605" s="1">
        <v>445.0</v>
      </c>
      <c r="C605" s="1">
        <v>2.0</v>
      </c>
      <c r="D605" s="1">
        <v>1.48012541E9</v>
      </c>
    </row>
    <row r="606">
      <c r="A606" s="1">
        <v>28976.0</v>
      </c>
      <c r="B606" s="1">
        <v>445.0</v>
      </c>
      <c r="C606" s="1">
        <v>2.0</v>
      </c>
      <c r="D606" s="1">
        <v>1.480125417E9</v>
      </c>
    </row>
    <row r="607">
      <c r="A607" s="1">
        <v>28977.0</v>
      </c>
      <c r="B607" s="1">
        <v>445.0</v>
      </c>
      <c r="C607" s="1">
        <v>2.0</v>
      </c>
      <c r="D607" s="1">
        <v>1.480125431E9</v>
      </c>
    </row>
    <row r="608">
      <c r="A608" s="1">
        <v>28985.0</v>
      </c>
      <c r="B608" s="1">
        <v>445.0</v>
      </c>
      <c r="C608" s="1">
        <v>2.0</v>
      </c>
      <c r="D608" s="1">
        <v>1.480125489E9</v>
      </c>
    </row>
    <row r="609">
      <c r="A609" s="1">
        <v>28986.0</v>
      </c>
      <c r="B609" s="1">
        <v>445.0</v>
      </c>
      <c r="C609" s="1">
        <v>2.0</v>
      </c>
      <c r="D609" s="1">
        <v>1.480125497E9</v>
      </c>
    </row>
    <row r="610">
      <c r="A610" s="1">
        <v>28988.0</v>
      </c>
      <c r="B610" s="1">
        <v>445.0</v>
      </c>
      <c r="C610" s="1">
        <v>2.0</v>
      </c>
      <c r="D610" s="1">
        <v>1.48012551E9</v>
      </c>
    </row>
    <row r="611">
      <c r="A611" s="1">
        <v>29258.0</v>
      </c>
      <c r="B611" s="1">
        <v>445.0</v>
      </c>
      <c r="C611" s="1">
        <v>2.0</v>
      </c>
      <c r="D611" s="1">
        <v>1.480191736E9</v>
      </c>
    </row>
    <row r="612">
      <c r="A612" s="1">
        <v>29259.0</v>
      </c>
      <c r="B612" s="1">
        <v>445.0</v>
      </c>
      <c r="C612" s="1">
        <v>2.0</v>
      </c>
      <c r="D612" s="1">
        <v>1.480191741E9</v>
      </c>
    </row>
    <row r="613">
      <c r="A613" s="1">
        <v>29270.0</v>
      </c>
      <c r="B613" s="1">
        <v>445.0</v>
      </c>
      <c r="C613" s="1">
        <v>2.0</v>
      </c>
      <c r="D613" s="1">
        <v>1.480191841E9</v>
      </c>
    </row>
    <row r="614">
      <c r="A614" s="1">
        <v>29271.0</v>
      </c>
      <c r="B614" s="1">
        <v>445.0</v>
      </c>
      <c r="C614" s="1">
        <v>2.0</v>
      </c>
      <c r="D614" s="1">
        <v>1.480191844E9</v>
      </c>
    </row>
    <row r="615">
      <c r="A615" s="1">
        <v>29508.0</v>
      </c>
      <c r="B615" s="1">
        <v>445.0</v>
      </c>
      <c r="C615" s="1">
        <v>2.0</v>
      </c>
      <c r="D615" s="1">
        <v>1.480275699E9</v>
      </c>
    </row>
    <row r="616">
      <c r="A616" s="1">
        <v>29509.0</v>
      </c>
      <c r="B616" s="1">
        <v>445.0</v>
      </c>
      <c r="C616" s="1">
        <v>2.0</v>
      </c>
      <c r="D616" s="1">
        <v>1.480275703E9</v>
      </c>
    </row>
    <row r="617">
      <c r="A617" s="1">
        <v>29922.0</v>
      </c>
      <c r="B617" s="1">
        <v>445.0</v>
      </c>
      <c r="C617" s="1">
        <v>2.0</v>
      </c>
      <c r="D617" s="1">
        <v>1.480353779E9</v>
      </c>
    </row>
    <row r="618">
      <c r="A618" s="1">
        <v>29923.0</v>
      </c>
      <c r="B618" s="1">
        <v>445.0</v>
      </c>
      <c r="C618" s="1">
        <v>2.0</v>
      </c>
      <c r="D618" s="1">
        <v>1.480353817E9</v>
      </c>
    </row>
    <row r="619">
      <c r="A619" s="1">
        <v>29987.0</v>
      </c>
      <c r="B619" s="1">
        <v>445.0</v>
      </c>
      <c r="C619" s="1">
        <v>2.0</v>
      </c>
      <c r="D619" s="1">
        <v>1.480386887E9</v>
      </c>
    </row>
    <row r="620">
      <c r="A620" s="1">
        <v>29988.0</v>
      </c>
      <c r="B620" s="1">
        <v>445.0</v>
      </c>
      <c r="C620" s="1">
        <v>2.0</v>
      </c>
      <c r="D620" s="1">
        <v>1.480386892E9</v>
      </c>
    </row>
    <row r="621">
      <c r="A621" s="1">
        <v>30388.0</v>
      </c>
      <c r="B621" s="1">
        <v>445.0</v>
      </c>
      <c r="C621" s="1">
        <v>2.0</v>
      </c>
      <c r="D621" s="1">
        <v>1.480609383E9</v>
      </c>
    </row>
    <row r="622">
      <c r="A622" s="1">
        <v>30389.0</v>
      </c>
      <c r="B622" s="1">
        <v>445.0</v>
      </c>
      <c r="C622" s="1">
        <v>2.0</v>
      </c>
      <c r="D622" s="1">
        <v>1.480609386E9</v>
      </c>
    </row>
    <row r="623">
      <c r="A623" s="1">
        <v>30408.0</v>
      </c>
      <c r="B623" s="1">
        <v>445.0</v>
      </c>
      <c r="C623" s="1">
        <v>2.0</v>
      </c>
      <c r="D623" s="1">
        <v>1.480611739E9</v>
      </c>
    </row>
    <row r="624">
      <c r="A624" s="1">
        <v>30409.0</v>
      </c>
      <c r="B624" s="1">
        <v>445.0</v>
      </c>
      <c r="C624" s="1">
        <v>2.0</v>
      </c>
      <c r="D624" s="1">
        <v>1.480611741E9</v>
      </c>
    </row>
    <row r="625">
      <c r="A625" s="1">
        <v>30491.0</v>
      </c>
      <c r="B625" s="1">
        <v>445.0</v>
      </c>
      <c r="C625" s="1">
        <v>2.0</v>
      </c>
      <c r="D625" s="1">
        <v>1.480694176E9</v>
      </c>
    </row>
    <row r="626">
      <c r="A626" s="1">
        <v>30492.0</v>
      </c>
      <c r="B626" s="1">
        <v>445.0</v>
      </c>
      <c r="C626" s="1">
        <v>2.0</v>
      </c>
      <c r="D626" s="1">
        <v>1.480694178E9</v>
      </c>
    </row>
    <row r="627">
      <c r="A627" s="1">
        <v>30541.0</v>
      </c>
      <c r="B627" s="1">
        <v>445.0</v>
      </c>
      <c r="C627" s="1">
        <v>2.0</v>
      </c>
      <c r="D627" s="1">
        <v>1.480702433E9</v>
      </c>
    </row>
    <row r="628">
      <c r="A628" s="1">
        <v>30542.0</v>
      </c>
      <c r="B628" s="1">
        <v>445.0</v>
      </c>
      <c r="C628" s="1">
        <v>2.0</v>
      </c>
      <c r="D628" s="1">
        <v>1.480702435E9</v>
      </c>
    </row>
    <row r="629">
      <c r="A629" s="1">
        <v>30543.0</v>
      </c>
      <c r="B629" s="1">
        <v>445.0</v>
      </c>
      <c r="C629" s="1">
        <v>2.0</v>
      </c>
      <c r="D629" s="1">
        <v>1.480702437E9</v>
      </c>
    </row>
    <row r="630">
      <c r="A630" s="1">
        <v>30544.0</v>
      </c>
      <c r="B630" s="1">
        <v>445.0</v>
      </c>
      <c r="C630" s="1">
        <v>2.0</v>
      </c>
      <c r="D630" s="1">
        <v>1.480702438E9</v>
      </c>
    </row>
    <row r="631">
      <c r="A631" s="1">
        <v>30545.0</v>
      </c>
      <c r="B631" s="1">
        <v>445.0</v>
      </c>
      <c r="C631" s="1">
        <v>2.0</v>
      </c>
      <c r="D631" s="1">
        <v>1.480702463E9</v>
      </c>
    </row>
    <row r="632">
      <c r="A632" s="1">
        <v>30546.0</v>
      </c>
      <c r="B632" s="1">
        <v>445.0</v>
      </c>
      <c r="C632" s="1">
        <v>2.0</v>
      </c>
      <c r="D632" s="1">
        <v>1.480702468E9</v>
      </c>
    </row>
    <row r="633">
      <c r="A633" s="1">
        <v>30548.0</v>
      </c>
      <c r="B633" s="1">
        <v>445.0</v>
      </c>
      <c r="C633" s="1">
        <v>2.0</v>
      </c>
      <c r="D633" s="1">
        <v>1.48070352E9</v>
      </c>
    </row>
    <row r="634">
      <c r="A634" s="1">
        <v>30549.0</v>
      </c>
      <c r="B634" s="1">
        <v>445.0</v>
      </c>
      <c r="C634" s="1">
        <v>2.0</v>
      </c>
      <c r="D634" s="1">
        <v>1.480703523E9</v>
      </c>
    </row>
    <row r="635">
      <c r="A635" s="1">
        <v>30562.0</v>
      </c>
      <c r="B635" s="1">
        <v>445.0</v>
      </c>
      <c r="C635" s="1">
        <v>2.0</v>
      </c>
      <c r="D635" s="1">
        <v>1.480704033E9</v>
      </c>
    </row>
    <row r="636">
      <c r="A636" s="1">
        <v>30578.0</v>
      </c>
      <c r="B636" s="1">
        <v>445.0</v>
      </c>
      <c r="C636" s="1">
        <v>2.0</v>
      </c>
      <c r="D636" s="1">
        <v>1.480704601E9</v>
      </c>
    </row>
    <row r="637">
      <c r="A637" s="1">
        <v>30580.0</v>
      </c>
      <c r="B637" s="1">
        <v>445.0</v>
      </c>
      <c r="C637" s="1">
        <v>2.0</v>
      </c>
      <c r="D637" s="1">
        <v>1.480704624E9</v>
      </c>
    </row>
    <row r="638">
      <c r="A638" s="1">
        <v>30655.0</v>
      </c>
      <c r="B638" s="1">
        <v>445.0</v>
      </c>
      <c r="C638" s="1">
        <v>2.0</v>
      </c>
      <c r="D638" s="1">
        <v>1.48072734E9</v>
      </c>
    </row>
    <row r="639">
      <c r="A639" s="1">
        <v>30656.0</v>
      </c>
      <c r="B639" s="1">
        <v>445.0</v>
      </c>
      <c r="C639" s="1">
        <v>2.0</v>
      </c>
      <c r="D639" s="1">
        <v>1.480727343E9</v>
      </c>
    </row>
    <row r="640">
      <c r="A640" s="1">
        <v>30718.0</v>
      </c>
      <c r="B640" s="1">
        <v>445.0</v>
      </c>
      <c r="C640" s="1">
        <v>2.0</v>
      </c>
      <c r="D640" s="1">
        <v>1.480956936E9</v>
      </c>
    </row>
    <row r="641">
      <c r="A641" s="1">
        <v>30719.0</v>
      </c>
      <c r="B641" s="1">
        <v>445.0</v>
      </c>
      <c r="C641" s="1">
        <v>2.0</v>
      </c>
      <c r="D641" s="1">
        <v>1.480956939E9</v>
      </c>
    </row>
    <row r="642">
      <c r="A642" s="1">
        <v>30800.0</v>
      </c>
      <c r="B642" s="1">
        <v>445.0</v>
      </c>
      <c r="C642" s="1">
        <v>2.0</v>
      </c>
      <c r="D642" s="1">
        <v>1.481086618E9</v>
      </c>
    </row>
    <row r="643">
      <c r="A643" s="1">
        <v>30801.0</v>
      </c>
      <c r="B643" s="1">
        <v>445.0</v>
      </c>
      <c r="C643" s="1">
        <v>2.0</v>
      </c>
      <c r="D643" s="1">
        <v>1.481086621E9</v>
      </c>
    </row>
    <row r="644">
      <c r="A644" s="1">
        <v>30991.0</v>
      </c>
      <c r="B644" s="1">
        <v>445.0</v>
      </c>
      <c r="C644" s="1">
        <v>2.0</v>
      </c>
      <c r="D644" s="1">
        <v>1.481600535E9</v>
      </c>
    </row>
    <row r="645">
      <c r="A645" s="1">
        <v>30992.0</v>
      </c>
      <c r="B645" s="1">
        <v>445.0</v>
      </c>
      <c r="C645" s="1">
        <v>2.0</v>
      </c>
      <c r="D645" s="1">
        <v>1.481600546E9</v>
      </c>
    </row>
    <row r="646">
      <c r="A646" s="1">
        <v>31028.0</v>
      </c>
      <c r="B646" s="1">
        <v>445.0</v>
      </c>
      <c r="C646" s="1">
        <v>2.0</v>
      </c>
      <c r="D646" s="1">
        <v>1.48166334E9</v>
      </c>
    </row>
    <row r="647">
      <c r="A647" s="1">
        <v>31029.0</v>
      </c>
      <c r="B647" s="1">
        <v>445.0</v>
      </c>
      <c r="C647" s="1">
        <v>2.0</v>
      </c>
      <c r="D647" s="1">
        <v>1.481663343E9</v>
      </c>
    </row>
    <row r="648">
      <c r="A648" s="1">
        <v>31030.0</v>
      </c>
      <c r="B648" s="1">
        <v>445.0</v>
      </c>
      <c r="C648" s="1">
        <v>2.0</v>
      </c>
      <c r="D648" s="1">
        <v>1.481663354E9</v>
      </c>
    </row>
    <row r="649">
      <c r="A649" s="1">
        <v>31031.0</v>
      </c>
      <c r="B649" s="1">
        <v>445.0</v>
      </c>
      <c r="C649" s="1">
        <v>2.0</v>
      </c>
      <c r="D649" s="1">
        <v>1.481663358E9</v>
      </c>
    </row>
    <row r="650">
      <c r="A650" s="1">
        <v>31032.0</v>
      </c>
      <c r="B650" s="1">
        <v>445.0</v>
      </c>
      <c r="C650" s="1">
        <v>2.0</v>
      </c>
      <c r="D650" s="1">
        <v>1.481663366E9</v>
      </c>
    </row>
    <row r="651">
      <c r="A651" s="1">
        <v>31033.0</v>
      </c>
      <c r="B651" s="1">
        <v>445.0</v>
      </c>
      <c r="C651" s="1">
        <v>2.0</v>
      </c>
      <c r="D651" s="1">
        <v>1.481663377E9</v>
      </c>
    </row>
    <row r="652">
      <c r="A652" s="1">
        <v>31200.0</v>
      </c>
      <c r="B652" s="1">
        <v>445.0</v>
      </c>
      <c r="C652" s="1">
        <v>2.0</v>
      </c>
      <c r="D652" s="1">
        <v>1.48466172E9</v>
      </c>
    </row>
    <row r="653">
      <c r="A653" s="1">
        <v>31201.0</v>
      </c>
      <c r="B653" s="1">
        <v>445.0</v>
      </c>
      <c r="C653" s="1">
        <v>2.0</v>
      </c>
      <c r="D653" s="1">
        <v>1.484661724E9</v>
      </c>
    </row>
    <row r="654">
      <c r="A654" s="1">
        <v>31202.0</v>
      </c>
      <c r="B654" s="1">
        <v>445.0</v>
      </c>
      <c r="C654" s="1">
        <v>2.0</v>
      </c>
      <c r="D654" s="1">
        <v>1.484661732E9</v>
      </c>
    </row>
    <row r="655">
      <c r="A655" s="1">
        <v>31203.0</v>
      </c>
      <c r="B655" s="1">
        <v>445.0</v>
      </c>
      <c r="C655" s="1">
        <v>2.0</v>
      </c>
      <c r="D655" s="1">
        <v>1.484661747E9</v>
      </c>
    </row>
    <row r="656">
      <c r="A656" s="1">
        <v>31204.0</v>
      </c>
      <c r="B656" s="1">
        <v>445.0</v>
      </c>
      <c r="C656" s="1">
        <v>2.0</v>
      </c>
      <c r="D656" s="1">
        <v>1.484661863E9</v>
      </c>
    </row>
    <row r="657">
      <c r="A657" s="1">
        <v>31205.0</v>
      </c>
      <c r="B657" s="1">
        <v>445.0</v>
      </c>
      <c r="C657" s="1">
        <v>2.0</v>
      </c>
      <c r="D657" s="1">
        <v>1.484664536E9</v>
      </c>
    </row>
    <row r="658">
      <c r="A658" s="1">
        <v>31237.0</v>
      </c>
      <c r="B658" s="1">
        <v>445.0</v>
      </c>
      <c r="C658" s="1">
        <v>2.0</v>
      </c>
      <c r="D658" s="1">
        <v>1.48467306E9</v>
      </c>
    </row>
    <row r="659">
      <c r="A659" s="1">
        <v>31238.0</v>
      </c>
      <c r="B659" s="1">
        <v>445.0</v>
      </c>
      <c r="C659" s="1">
        <v>2.0</v>
      </c>
      <c r="D659" s="1">
        <v>1.484673076E9</v>
      </c>
    </row>
    <row r="660">
      <c r="A660" s="1">
        <v>31335.0</v>
      </c>
      <c r="B660" s="1">
        <v>445.0</v>
      </c>
      <c r="C660" s="1">
        <v>2.0</v>
      </c>
      <c r="D660" s="1">
        <v>1.484769846E9</v>
      </c>
    </row>
    <row r="661">
      <c r="A661" s="1">
        <v>31336.0</v>
      </c>
      <c r="B661" s="1">
        <v>445.0</v>
      </c>
      <c r="C661" s="1">
        <v>2.0</v>
      </c>
      <c r="D661" s="1">
        <v>1.484769852E9</v>
      </c>
    </row>
    <row r="662">
      <c r="A662" s="1">
        <v>31337.0</v>
      </c>
      <c r="B662" s="1">
        <v>445.0</v>
      </c>
      <c r="C662" s="1">
        <v>2.0</v>
      </c>
      <c r="D662" s="1">
        <v>1.484771556E9</v>
      </c>
    </row>
    <row r="663">
      <c r="A663" s="1">
        <v>31338.0</v>
      </c>
      <c r="B663" s="1">
        <v>445.0</v>
      </c>
      <c r="C663" s="1">
        <v>2.0</v>
      </c>
      <c r="D663" s="1">
        <v>1.484771563E9</v>
      </c>
    </row>
    <row r="664">
      <c r="A664" s="1">
        <v>133867.0</v>
      </c>
      <c r="B664" s="1">
        <v>445.0</v>
      </c>
      <c r="C664" s="1">
        <v>2.0</v>
      </c>
      <c r="D664" s="1">
        <v>1.497668202E9</v>
      </c>
    </row>
    <row r="665">
      <c r="A665" s="1">
        <v>28394.0</v>
      </c>
      <c r="B665" s="1">
        <v>445.0</v>
      </c>
      <c r="C665" s="1">
        <v>10116.0</v>
      </c>
      <c r="D665" s="1">
        <v>1.480119379E9</v>
      </c>
    </row>
    <row r="666">
      <c r="A666" s="1">
        <v>30508.0</v>
      </c>
      <c r="B666" s="1">
        <v>445.0</v>
      </c>
      <c r="C666" s="1">
        <v>10120.0</v>
      </c>
      <c r="D666" s="1">
        <v>1.480696935E9</v>
      </c>
    </row>
    <row r="667">
      <c r="A667" s="1">
        <v>30513.0</v>
      </c>
      <c r="B667" s="1">
        <v>445.0</v>
      </c>
      <c r="C667" s="1">
        <v>10120.0</v>
      </c>
      <c r="D667" s="1">
        <v>1.480697E9</v>
      </c>
    </row>
    <row r="668">
      <c r="A668" s="1">
        <v>30534.0</v>
      </c>
      <c r="B668" s="1">
        <v>445.0</v>
      </c>
      <c r="C668" s="1">
        <v>10120.0</v>
      </c>
      <c r="D668" s="1">
        <v>1.480701392E9</v>
      </c>
    </row>
    <row r="669">
      <c r="A669" s="1">
        <v>29861.0</v>
      </c>
      <c r="B669" s="1">
        <v>445.0</v>
      </c>
      <c r="C669" s="1">
        <v>10126.0</v>
      </c>
      <c r="D669" s="1">
        <v>1.480332415E9</v>
      </c>
    </row>
    <row r="670">
      <c r="A670" s="1">
        <v>28641.0</v>
      </c>
      <c r="B670" s="1">
        <v>445.0</v>
      </c>
      <c r="C670" s="1">
        <v>10128.0</v>
      </c>
      <c r="D670" s="1">
        <v>1.480120432E9</v>
      </c>
    </row>
    <row r="671">
      <c r="A671" s="1">
        <v>29186.0</v>
      </c>
      <c r="B671" s="1">
        <v>445.0</v>
      </c>
      <c r="C671" s="1">
        <v>10129.0</v>
      </c>
      <c r="D671" s="1">
        <v>1.480174207E9</v>
      </c>
    </row>
    <row r="672">
      <c r="A672" s="1">
        <v>30015.0</v>
      </c>
      <c r="B672" s="1">
        <v>445.0</v>
      </c>
      <c r="C672" s="1">
        <v>10129.0</v>
      </c>
      <c r="D672" s="1">
        <v>1.480419371E9</v>
      </c>
    </row>
    <row r="673">
      <c r="A673" s="1">
        <v>28384.0</v>
      </c>
      <c r="B673" s="1">
        <v>445.0</v>
      </c>
      <c r="C673" s="1">
        <v>10132.0</v>
      </c>
      <c r="D673" s="1">
        <v>1.480119346E9</v>
      </c>
    </row>
    <row r="674">
      <c r="A674" s="1">
        <v>28388.0</v>
      </c>
      <c r="B674" s="1">
        <v>445.0</v>
      </c>
      <c r="C674" s="1">
        <v>10134.0</v>
      </c>
      <c r="D674" s="1">
        <v>1.480119372E9</v>
      </c>
    </row>
    <row r="675">
      <c r="A675" s="1">
        <v>28521.0</v>
      </c>
      <c r="B675" s="1">
        <v>445.0</v>
      </c>
      <c r="C675" s="1">
        <v>10134.0</v>
      </c>
      <c r="D675" s="1">
        <v>1.480119858E9</v>
      </c>
    </row>
    <row r="676">
      <c r="A676" s="1">
        <v>29889.0</v>
      </c>
      <c r="B676" s="1">
        <v>445.0</v>
      </c>
      <c r="C676" s="1">
        <v>10135.0</v>
      </c>
      <c r="D676" s="1">
        <v>1.480336425E9</v>
      </c>
    </row>
    <row r="677">
      <c r="A677" s="1">
        <v>30183.0</v>
      </c>
      <c r="B677" s="1">
        <v>445.0</v>
      </c>
      <c r="C677" s="1">
        <v>10135.0</v>
      </c>
      <c r="D677" s="1">
        <v>1.480521197E9</v>
      </c>
    </row>
    <row r="678">
      <c r="A678" s="1">
        <v>30184.0</v>
      </c>
      <c r="B678" s="1">
        <v>445.0</v>
      </c>
      <c r="C678" s="1">
        <v>10135.0</v>
      </c>
      <c r="D678" s="1">
        <v>1.480521272E9</v>
      </c>
    </row>
    <row r="679">
      <c r="A679" s="1">
        <v>30447.0</v>
      </c>
      <c r="B679" s="1">
        <v>445.0</v>
      </c>
      <c r="C679" s="1">
        <v>10135.0</v>
      </c>
      <c r="D679" s="1">
        <v>1.48068123E9</v>
      </c>
    </row>
    <row r="680">
      <c r="A680" s="1">
        <v>28437.0</v>
      </c>
      <c r="B680" s="1">
        <v>445.0</v>
      </c>
      <c r="C680" s="1">
        <v>10136.0</v>
      </c>
      <c r="D680" s="1">
        <v>1.48011946E9</v>
      </c>
    </row>
    <row r="681">
      <c r="A681" s="1">
        <v>29958.0</v>
      </c>
      <c r="B681" s="1">
        <v>445.0</v>
      </c>
      <c r="C681" s="1">
        <v>10137.0</v>
      </c>
      <c r="D681" s="1">
        <v>1.480361361E9</v>
      </c>
    </row>
    <row r="682">
      <c r="A682" s="1">
        <v>28422.0</v>
      </c>
      <c r="B682" s="1">
        <v>445.0</v>
      </c>
      <c r="C682" s="1">
        <v>10138.0</v>
      </c>
      <c r="D682" s="1">
        <v>1.480119415E9</v>
      </c>
    </row>
    <row r="683">
      <c r="A683" s="1">
        <v>28448.0</v>
      </c>
      <c r="B683" s="1">
        <v>445.0</v>
      </c>
      <c r="C683" s="1">
        <v>10138.0</v>
      </c>
      <c r="D683" s="1">
        <v>1.480119523E9</v>
      </c>
    </row>
    <row r="684">
      <c r="A684" s="1">
        <v>30052.0</v>
      </c>
      <c r="B684" s="1">
        <v>445.0</v>
      </c>
      <c r="C684" s="1">
        <v>10138.0</v>
      </c>
      <c r="D684" s="1">
        <v>1.480455103E9</v>
      </c>
    </row>
    <row r="685">
      <c r="A685" s="1">
        <v>30055.0</v>
      </c>
      <c r="B685" s="1">
        <v>445.0</v>
      </c>
      <c r="C685" s="1">
        <v>10138.0</v>
      </c>
      <c r="D685" s="1">
        <v>1.480455108E9</v>
      </c>
    </row>
    <row r="686">
      <c r="A686" s="1">
        <v>27252.0</v>
      </c>
      <c r="B686" s="1">
        <v>445.0</v>
      </c>
      <c r="C686" s="1">
        <v>10140.0</v>
      </c>
      <c r="D686" s="1">
        <v>1.480116471E9</v>
      </c>
    </row>
    <row r="687">
      <c r="A687" s="1">
        <v>30863.0</v>
      </c>
      <c r="B687" s="1">
        <v>445.0</v>
      </c>
      <c r="C687" s="1">
        <v>10140.0</v>
      </c>
      <c r="D687" s="1">
        <v>1.481419858E9</v>
      </c>
    </row>
    <row r="688">
      <c r="A688" s="1">
        <v>28733.0</v>
      </c>
      <c r="B688" s="1">
        <v>445.0</v>
      </c>
      <c r="C688" s="1">
        <v>10141.0</v>
      </c>
      <c r="D688" s="1">
        <v>1.480121363E9</v>
      </c>
    </row>
    <row r="689">
      <c r="A689" s="1">
        <v>28854.0</v>
      </c>
      <c r="B689" s="1">
        <v>445.0</v>
      </c>
      <c r="C689" s="1">
        <v>10141.0</v>
      </c>
      <c r="D689" s="1">
        <v>1.48012302E9</v>
      </c>
    </row>
    <row r="690">
      <c r="A690" s="1">
        <v>28924.0</v>
      </c>
      <c r="B690" s="1">
        <v>445.0</v>
      </c>
      <c r="C690" s="1">
        <v>10141.0</v>
      </c>
      <c r="D690" s="1">
        <v>1.480124334E9</v>
      </c>
    </row>
    <row r="691">
      <c r="A691" s="1">
        <v>28936.0</v>
      </c>
      <c r="B691" s="1">
        <v>445.0</v>
      </c>
      <c r="C691" s="1">
        <v>10141.0</v>
      </c>
      <c r="D691" s="1">
        <v>1.480124837E9</v>
      </c>
    </row>
    <row r="692">
      <c r="A692" s="1">
        <v>28956.0</v>
      </c>
      <c r="B692" s="1">
        <v>445.0</v>
      </c>
      <c r="C692" s="1">
        <v>10141.0</v>
      </c>
      <c r="D692" s="1">
        <v>1.480125161E9</v>
      </c>
    </row>
    <row r="693">
      <c r="A693" s="1">
        <v>28975.0</v>
      </c>
      <c r="B693" s="1">
        <v>445.0</v>
      </c>
      <c r="C693" s="1">
        <v>10141.0</v>
      </c>
      <c r="D693" s="1">
        <v>1.480125414E9</v>
      </c>
    </row>
    <row r="694">
      <c r="A694" s="1">
        <v>29311.0</v>
      </c>
      <c r="B694" s="1">
        <v>445.0</v>
      </c>
      <c r="C694" s="1">
        <v>10141.0</v>
      </c>
      <c r="D694" s="1">
        <v>1.480203724E9</v>
      </c>
    </row>
    <row r="695">
      <c r="A695" s="1">
        <v>29362.0</v>
      </c>
      <c r="B695" s="1">
        <v>445.0</v>
      </c>
      <c r="C695" s="1">
        <v>10141.0</v>
      </c>
      <c r="D695" s="1">
        <v>1.480266116E9</v>
      </c>
    </row>
    <row r="696">
      <c r="A696" s="1">
        <v>28650.0</v>
      </c>
      <c r="B696" s="1">
        <v>445.0</v>
      </c>
      <c r="C696" s="1">
        <v>10144.0</v>
      </c>
      <c r="D696" s="1">
        <v>1.480120467E9</v>
      </c>
    </row>
    <row r="697">
      <c r="A697" s="1">
        <v>28946.0</v>
      </c>
      <c r="B697" s="1">
        <v>445.0</v>
      </c>
      <c r="C697" s="1">
        <v>10145.0</v>
      </c>
      <c r="D697" s="1">
        <v>1.480124989E9</v>
      </c>
    </row>
    <row r="698">
      <c r="A698" s="1">
        <v>28323.0</v>
      </c>
      <c r="B698" s="1">
        <v>445.0</v>
      </c>
      <c r="C698" s="1">
        <v>10146.0</v>
      </c>
      <c r="D698" s="1">
        <v>1.480119159E9</v>
      </c>
    </row>
    <row r="699">
      <c r="A699" s="1">
        <v>28665.0</v>
      </c>
      <c r="B699" s="1">
        <v>445.0</v>
      </c>
      <c r="C699" s="1">
        <v>10146.0</v>
      </c>
      <c r="D699" s="1">
        <v>1.480120492E9</v>
      </c>
    </row>
    <row r="700">
      <c r="A700" s="1">
        <v>28535.0</v>
      </c>
      <c r="B700" s="1">
        <v>445.0</v>
      </c>
      <c r="C700" s="1">
        <v>10148.0</v>
      </c>
      <c r="D700" s="1">
        <v>1.480119948E9</v>
      </c>
    </row>
    <row r="701">
      <c r="A701" s="1">
        <v>28713.0</v>
      </c>
      <c r="B701" s="1">
        <v>445.0</v>
      </c>
      <c r="C701" s="1">
        <v>10148.0</v>
      </c>
      <c r="D701" s="1">
        <v>1.480120776E9</v>
      </c>
    </row>
    <row r="702">
      <c r="A702" s="1">
        <v>30258.0</v>
      </c>
      <c r="B702" s="1">
        <v>445.0</v>
      </c>
      <c r="C702" s="1">
        <v>10148.0</v>
      </c>
      <c r="D702" s="1">
        <v>1.480530255E9</v>
      </c>
    </row>
    <row r="703">
      <c r="A703" s="1">
        <v>30341.0</v>
      </c>
      <c r="B703" s="1">
        <v>445.0</v>
      </c>
      <c r="C703" s="1">
        <v>10148.0</v>
      </c>
      <c r="D703" s="1">
        <v>1.480554904E9</v>
      </c>
    </row>
    <row r="704">
      <c r="A704" s="1">
        <v>30342.0</v>
      </c>
      <c r="B704" s="1">
        <v>445.0</v>
      </c>
      <c r="C704" s="1">
        <v>10148.0</v>
      </c>
      <c r="D704" s="1">
        <v>1.480554907E9</v>
      </c>
    </row>
    <row r="705">
      <c r="A705" s="1">
        <v>30348.0</v>
      </c>
      <c r="B705" s="1">
        <v>445.0</v>
      </c>
      <c r="C705" s="1">
        <v>10148.0</v>
      </c>
      <c r="D705" s="1">
        <v>1.480554926E9</v>
      </c>
    </row>
    <row r="706">
      <c r="A706" s="1">
        <v>30349.0</v>
      </c>
      <c r="B706" s="1">
        <v>445.0</v>
      </c>
      <c r="C706" s="1">
        <v>10148.0</v>
      </c>
      <c r="D706" s="1">
        <v>1.480554934E9</v>
      </c>
    </row>
    <row r="707">
      <c r="A707" s="1">
        <v>30378.0</v>
      </c>
      <c r="B707" s="1">
        <v>445.0</v>
      </c>
      <c r="C707" s="1">
        <v>10148.0</v>
      </c>
      <c r="D707" s="1">
        <v>1.480596341E9</v>
      </c>
    </row>
    <row r="708">
      <c r="A708" s="1">
        <v>28247.0</v>
      </c>
      <c r="B708" s="1">
        <v>445.0</v>
      </c>
      <c r="C708" s="1">
        <v>10149.0</v>
      </c>
      <c r="D708" s="1">
        <v>1.480118991E9</v>
      </c>
    </row>
    <row r="709">
      <c r="A709" s="1">
        <v>28416.0</v>
      </c>
      <c r="B709" s="1">
        <v>445.0</v>
      </c>
      <c r="C709" s="1">
        <v>10149.0</v>
      </c>
      <c r="D709" s="1">
        <v>1.480119407E9</v>
      </c>
    </row>
    <row r="710">
      <c r="A710" s="1">
        <v>28615.0</v>
      </c>
      <c r="B710" s="1">
        <v>445.0</v>
      </c>
      <c r="C710" s="1">
        <v>10149.0</v>
      </c>
      <c r="D710" s="1">
        <v>1.48012033E9</v>
      </c>
    </row>
    <row r="711">
      <c r="A711" s="1">
        <v>29904.0</v>
      </c>
      <c r="B711" s="1">
        <v>445.0</v>
      </c>
      <c r="C711" s="1">
        <v>10152.0</v>
      </c>
      <c r="D711" s="1">
        <v>1.480347661E9</v>
      </c>
    </row>
    <row r="712">
      <c r="A712" s="1">
        <v>29449.0</v>
      </c>
      <c r="B712" s="1">
        <v>445.0</v>
      </c>
      <c r="C712" s="1">
        <v>10153.0</v>
      </c>
      <c r="D712" s="1">
        <v>1.480267147E9</v>
      </c>
    </row>
    <row r="713">
      <c r="A713" s="1">
        <v>30907.0</v>
      </c>
      <c r="B713" s="1">
        <v>445.0</v>
      </c>
      <c r="C713" s="1">
        <v>10166.0</v>
      </c>
      <c r="D713" s="1">
        <v>1.481487899E9</v>
      </c>
    </row>
    <row r="714">
      <c r="A714" s="1">
        <v>30914.0</v>
      </c>
      <c r="B714" s="1">
        <v>445.0</v>
      </c>
      <c r="C714" s="1">
        <v>10166.0</v>
      </c>
      <c r="D714" s="1">
        <v>1.481501533E9</v>
      </c>
    </row>
    <row r="715">
      <c r="A715" s="1">
        <v>30915.0</v>
      </c>
      <c r="B715" s="1">
        <v>445.0</v>
      </c>
      <c r="C715" s="1">
        <v>10166.0</v>
      </c>
      <c r="D715" s="1">
        <v>1.481502869E9</v>
      </c>
    </row>
    <row r="716">
      <c r="A716" s="1">
        <v>30917.0</v>
      </c>
      <c r="B716" s="1">
        <v>445.0</v>
      </c>
      <c r="C716" s="1">
        <v>10166.0</v>
      </c>
      <c r="D716" s="1">
        <v>1.481504324E9</v>
      </c>
    </row>
    <row r="717">
      <c r="A717" s="1">
        <v>30972.0</v>
      </c>
      <c r="B717" s="1">
        <v>445.0</v>
      </c>
      <c r="C717" s="1">
        <v>10167.0</v>
      </c>
      <c r="D717" s="1">
        <v>1.481595939E9</v>
      </c>
    </row>
    <row r="718">
      <c r="A718" s="1"/>
      <c r="B718" s="1"/>
      <c r="C718" s="1"/>
      <c r="D718" s="1"/>
    </row>
    <row r="719">
      <c r="A719" s="1"/>
      <c r="B719" s="1"/>
      <c r="C719" s="1"/>
      <c r="D719" s="1"/>
    </row>
    <row r="720">
      <c r="A720" s="1"/>
      <c r="B720" s="1"/>
      <c r="C720" s="1"/>
      <c r="D720" s="1"/>
    </row>
    <row r="721">
      <c r="A721" s="1"/>
      <c r="B721" s="1"/>
      <c r="C721" s="1"/>
      <c r="D721" s="1"/>
    </row>
    <row r="722">
      <c r="A722" s="1"/>
      <c r="B722" s="1"/>
      <c r="C722" s="1"/>
      <c r="D722" s="1"/>
    </row>
    <row r="723">
      <c r="A723" s="1"/>
      <c r="B723" s="1"/>
      <c r="C723" s="1"/>
      <c r="D723" s="1"/>
    </row>
    <row r="724">
      <c r="A724" s="1"/>
      <c r="B724" s="1"/>
      <c r="C724" s="1"/>
      <c r="D724" s="1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86"/>
  </cols>
  <sheetData>
    <row r="1">
      <c r="A1" s="10" t="s">
        <v>54</v>
      </c>
      <c r="B1" s="10" t="s">
        <v>0</v>
      </c>
      <c r="C1" s="10" t="s">
        <v>65</v>
      </c>
    </row>
    <row r="2">
      <c r="A2" s="1">
        <v>26831.0</v>
      </c>
      <c r="B2" s="1">
        <v>10138.0</v>
      </c>
      <c r="C2" s="1">
        <v>1.480114822E9</v>
      </c>
    </row>
    <row r="3">
      <c r="A3" s="1">
        <v>26832.0</v>
      </c>
      <c r="B3" s="1">
        <v>10138.0</v>
      </c>
      <c r="C3" s="1">
        <v>1.480114822E9</v>
      </c>
    </row>
    <row r="4">
      <c r="A4" s="1">
        <v>26835.0</v>
      </c>
      <c r="B4" s="1">
        <v>10120.0</v>
      </c>
      <c r="C4" s="1">
        <v>1.480114853E9</v>
      </c>
    </row>
    <row r="5">
      <c r="A5" s="1">
        <v>26836.0</v>
      </c>
      <c r="B5" s="1">
        <v>10120.0</v>
      </c>
      <c r="C5" s="1">
        <v>1.480114853E9</v>
      </c>
    </row>
    <row r="6">
      <c r="A6" s="1">
        <v>26853.0</v>
      </c>
      <c r="B6" s="1">
        <v>10134.0</v>
      </c>
      <c r="C6" s="1">
        <v>1.480114905E9</v>
      </c>
    </row>
    <row r="7">
      <c r="A7" s="1">
        <v>26854.0</v>
      </c>
      <c r="B7" s="1">
        <v>10134.0</v>
      </c>
      <c r="C7" s="1">
        <v>1.480114905E9</v>
      </c>
    </row>
    <row r="8">
      <c r="A8" s="1">
        <v>26866.0</v>
      </c>
      <c r="B8" s="1">
        <v>10119.0</v>
      </c>
      <c r="C8" s="1">
        <v>1.480114954E9</v>
      </c>
    </row>
    <row r="9">
      <c r="A9" s="1">
        <v>26867.0</v>
      </c>
      <c r="B9" s="1">
        <v>10119.0</v>
      </c>
      <c r="C9" s="1">
        <v>1.480114954E9</v>
      </c>
    </row>
    <row r="10">
      <c r="A10" s="1">
        <v>26871.0</v>
      </c>
      <c r="B10" s="1">
        <v>10130.0</v>
      </c>
      <c r="C10" s="1">
        <v>1.48011496E9</v>
      </c>
    </row>
    <row r="11">
      <c r="A11" s="1">
        <v>26872.0</v>
      </c>
      <c r="B11" s="1">
        <v>10130.0</v>
      </c>
      <c r="C11" s="1">
        <v>1.48011496E9</v>
      </c>
    </row>
    <row r="12">
      <c r="A12" s="1">
        <v>26883.0</v>
      </c>
      <c r="B12" s="1">
        <v>10140.0</v>
      </c>
      <c r="C12" s="1">
        <v>1.480114979E9</v>
      </c>
    </row>
    <row r="13">
      <c r="A13" s="1">
        <v>26884.0</v>
      </c>
      <c r="B13" s="1">
        <v>10140.0</v>
      </c>
      <c r="C13" s="1">
        <v>1.480114979E9</v>
      </c>
    </row>
    <row r="14">
      <c r="A14" s="1">
        <v>26908.0</v>
      </c>
      <c r="B14" s="1">
        <v>10136.0</v>
      </c>
      <c r="C14" s="1">
        <v>1.480115026E9</v>
      </c>
    </row>
    <row r="15">
      <c r="A15" s="1">
        <v>26909.0</v>
      </c>
      <c r="B15" s="1">
        <v>10136.0</v>
      </c>
      <c r="C15" s="1">
        <v>1.480115026E9</v>
      </c>
    </row>
    <row r="16">
      <c r="A16" s="1">
        <v>26931.0</v>
      </c>
      <c r="B16" s="1">
        <v>10131.0</v>
      </c>
      <c r="C16" s="1">
        <v>1.480115075E9</v>
      </c>
    </row>
    <row r="17">
      <c r="A17" s="1">
        <v>26932.0</v>
      </c>
      <c r="B17" s="1">
        <v>10131.0</v>
      </c>
      <c r="C17" s="1">
        <v>1.480115075E9</v>
      </c>
    </row>
    <row r="18">
      <c r="A18" s="1">
        <v>26944.0</v>
      </c>
      <c r="B18" s="1">
        <v>10132.0</v>
      </c>
      <c r="C18" s="1">
        <v>1.480115126E9</v>
      </c>
    </row>
    <row r="19">
      <c r="A19" s="1">
        <v>26945.0</v>
      </c>
      <c r="B19" s="1">
        <v>10132.0</v>
      </c>
      <c r="C19" s="1">
        <v>1.480115126E9</v>
      </c>
    </row>
    <row r="20">
      <c r="A20" s="1">
        <v>26983.0</v>
      </c>
      <c r="B20" s="1">
        <v>10133.0</v>
      </c>
      <c r="C20" s="1">
        <v>1.480115219E9</v>
      </c>
    </row>
    <row r="21">
      <c r="A21" s="1">
        <v>26984.0</v>
      </c>
      <c r="B21" s="1">
        <v>10133.0</v>
      </c>
      <c r="C21" s="1">
        <v>1.48011522E9</v>
      </c>
    </row>
    <row r="22">
      <c r="A22" s="1">
        <v>27004.0</v>
      </c>
      <c r="B22" s="1">
        <v>10121.0</v>
      </c>
      <c r="C22" s="1">
        <v>1.480115258E9</v>
      </c>
    </row>
    <row r="23">
      <c r="A23" s="1">
        <v>27005.0</v>
      </c>
      <c r="B23" s="1">
        <v>10121.0</v>
      </c>
      <c r="C23" s="1">
        <v>1.480115258E9</v>
      </c>
    </row>
    <row r="24">
      <c r="A24" s="1">
        <v>27040.0</v>
      </c>
      <c r="B24" s="1">
        <v>10145.0</v>
      </c>
      <c r="C24" s="1">
        <v>1.480115431E9</v>
      </c>
    </row>
    <row r="25">
      <c r="A25" s="1">
        <v>27041.0</v>
      </c>
      <c r="B25" s="1">
        <v>10145.0</v>
      </c>
      <c r="C25" s="1">
        <v>1.480115431E9</v>
      </c>
    </row>
    <row r="26">
      <c r="A26" s="1">
        <v>27089.0</v>
      </c>
      <c r="B26" s="1">
        <v>10116.0</v>
      </c>
      <c r="C26" s="1">
        <v>1.480115731E9</v>
      </c>
    </row>
    <row r="27">
      <c r="A27" s="1">
        <v>27090.0</v>
      </c>
      <c r="B27" s="1">
        <v>10116.0</v>
      </c>
      <c r="C27" s="1">
        <v>1.480115731E9</v>
      </c>
    </row>
    <row r="28">
      <c r="A28" s="1">
        <v>27145.0</v>
      </c>
      <c r="B28" s="1">
        <v>10122.0</v>
      </c>
      <c r="C28" s="1">
        <v>1.480116051E9</v>
      </c>
    </row>
    <row r="29">
      <c r="A29" s="1">
        <v>27146.0</v>
      </c>
      <c r="B29" s="1">
        <v>10122.0</v>
      </c>
      <c r="C29" s="1">
        <v>1.480116051E9</v>
      </c>
    </row>
    <row r="30">
      <c r="A30" s="1">
        <v>27172.0</v>
      </c>
      <c r="B30" s="1">
        <v>10159.0</v>
      </c>
      <c r="C30" s="1">
        <v>1.480116142E9</v>
      </c>
    </row>
    <row r="31">
      <c r="A31" s="1">
        <v>27173.0</v>
      </c>
      <c r="B31" s="1">
        <v>10159.0</v>
      </c>
      <c r="C31" s="1">
        <v>1.480116142E9</v>
      </c>
    </row>
    <row r="32">
      <c r="A32" s="1">
        <v>27183.0</v>
      </c>
      <c r="B32" s="1">
        <v>10139.0</v>
      </c>
      <c r="C32" s="1">
        <v>1.480116171E9</v>
      </c>
    </row>
    <row r="33">
      <c r="A33" s="1">
        <v>27184.0</v>
      </c>
      <c r="B33" s="1">
        <v>10139.0</v>
      </c>
      <c r="C33" s="1">
        <v>1.480116171E9</v>
      </c>
    </row>
    <row r="34">
      <c r="A34" s="1">
        <v>27187.0</v>
      </c>
      <c r="B34" s="1">
        <v>10158.0</v>
      </c>
      <c r="C34" s="1">
        <v>1.480116185E9</v>
      </c>
    </row>
    <row r="35">
      <c r="A35" s="1">
        <v>27188.0</v>
      </c>
      <c r="B35" s="1">
        <v>10158.0</v>
      </c>
      <c r="C35" s="1">
        <v>1.480116185E9</v>
      </c>
    </row>
    <row r="36">
      <c r="A36" s="1">
        <v>27225.0</v>
      </c>
      <c r="B36" s="1">
        <v>10141.0</v>
      </c>
      <c r="C36" s="1">
        <v>1.48011636E9</v>
      </c>
    </row>
    <row r="37">
      <c r="A37" s="1">
        <v>27226.0</v>
      </c>
      <c r="B37" s="1">
        <v>10141.0</v>
      </c>
      <c r="C37" s="1">
        <v>1.48011636E9</v>
      </c>
    </row>
    <row r="38">
      <c r="A38" s="1">
        <v>27237.0</v>
      </c>
      <c r="B38" s="1">
        <v>10148.0</v>
      </c>
      <c r="C38" s="1">
        <v>1.480116406E9</v>
      </c>
    </row>
    <row r="39">
      <c r="A39" s="1">
        <v>27238.0</v>
      </c>
      <c r="B39" s="1">
        <v>10148.0</v>
      </c>
      <c r="C39" s="1">
        <v>1.480116406E9</v>
      </c>
    </row>
    <row r="40">
      <c r="A40" s="1">
        <v>27720.0</v>
      </c>
      <c r="B40" s="1">
        <v>10141.0</v>
      </c>
      <c r="C40" s="1">
        <v>1.480117647E9</v>
      </c>
    </row>
    <row r="41">
      <c r="A41" s="1">
        <v>27721.0</v>
      </c>
      <c r="B41" s="1">
        <v>10141.0</v>
      </c>
      <c r="C41" s="1">
        <v>1.480117647E9</v>
      </c>
    </row>
    <row r="42">
      <c r="A42" s="1">
        <v>27795.0</v>
      </c>
      <c r="B42" s="1">
        <v>10141.0</v>
      </c>
      <c r="C42" s="1">
        <v>1.480117746E9</v>
      </c>
    </row>
    <row r="43">
      <c r="A43" s="1">
        <v>27796.0</v>
      </c>
      <c r="B43" s="1">
        <v>10141.0</v>
      </c>
      <c r="C43" s="1">
        <v>1.480117746E9</v>
      </c>
    </row>
    <row r="44">
      <c r="A44" s="1">
        <v>28071.0</v>
      </c>
      <c r="B44" s="1">
        <v>10141.0</v>
      </c>
      <c r="C44" s="1">
        <v>1.480118431E9</v>
      </c>
    </row>
    <row r="45">
      <c r="A45" s="1">
        <v>28072.0</v>
      </c>
      <c r="B45" s="1">
        <v>10141.0</v>
      </c>
      <c r="C45" s="1">
        <v>1.480118431E9</v>
      </c>
    </row>
    <row r="46">
      <c r="A46" s="1">
        <v>28517.0</v>
      </c>
      <c r="B46" s="1">
        <v>10134.0</v>
      </c>
      <c r="C46" s="1">
        <v>1.48011985E9</v>
      </c>
    </row>
    <row r="47">
      <c r="A47" s="1">
        <v>28518.0</v>
      </c>
      <c r="B47" s="1">
        <v>10134.0</v>
      </c>
      <c r="C47" s="1">
        <v>1.48011985E9</v>
      </c>
    </row>
    <row r="48">
      <c r="A48" s="1">
        <v>28764.0</v>
      </c>
      <c r="B48" s="1">
        <v>10164.0</v>
      </c>
      <c r="C48" s="1">
        <v>1.480121713E9</v>
      </c>
    </row>
    <row r="49">
      <c r="A49" s="1">
        <v>28765.0</v>
      </c>
      <c r="B49" s="1">
        <v>10164.0</v>
      </c>
      <c r="C49" s="1">
        <v>1.480121713E9</v>
      </c>
    </row>
    <row r="50">
      <c r="A50" s="1">
        <v>28768.0</v>
      </c>
      <c r="B50" s="1">
        <v>10164.0</v>
      </c>
      <c r="C50" s="1">
        <v>1.480121729E9</v>
      </c>
    </row>
    <row r="51">
      <c r="A51" s="1">
        <v>28769.0</v>
      </c>
      <c r="B51" s="1">
        <v>10164.0</v>
      </c>
      <c r="C51" s="1">
        <v>1.480121729E9</v>
      </c>
    </row>
    <row r="52">
      <c r="A52" s="1">
        <v>28775.0</v>
      </c>
      <c r="B52" s="1">
        <v>10145.0</v>
      </c>
      <c r="C52" s="1">
        <v>1.480121762E9</v>
      </c>
    </row>
    <row r="53">
      <c r="A53" s="1">
        <v>28776.0</v>
      </c>
      <c r="B53" s="1">
        <v>10145.0</v>
      </c>
      <c r="C53" s="1">
        <v>1.480121762E9</v>
      </c>
    </row>
    <row r="54">
      <c r="A54" s="1">
        <v>28927.0</v>
      </c>
      <c r="B54" s="1">
        <v>10126.0</v>
      </c>
      <c r="C54" s="1">
        <v>1.480124513E9</v>
      </c>
    </row>
    <row r="55">
      <c r="A55" s="1">
        <v>28928.0</v>
      </c>
      <c r="B55" s="1">
        <v>10126.0</v>
      </c>
      <c r="C55" s="1">
        <v>1.480124513E9</v>
      </c>
    </row>
    <row r="56">
      <c r="A56" s="1">
        <v>29045.0</v>
      </c>
      <c r="B56" s="1">
        <v>10148.0</v>
      </c>
      <c r="C56" s="1">
        <v>1.480130034E9</v>
      </c>
    </row>
    <row r="57">
      <c r="A57" s="1">
        <v>29046.0</v>
      </c>
      <c r="B57" s="1">
        <v>10148.0</v>
      </c>
      <c r="C57" s="1">
        <v>1.480130034E9</v>
      </c>
    </row>
    <row r="58">
      <c r="A58" s="1">
        <v>29059.0</v>
      </c>
      <c r="B58" s="1">
        <v>10123.0</v>
      </c>
      <c r="C58" s="1">
        <v>1.480135396E9</v>
      </c>
    </row>
    <row r="59">
      <c r="A59" s="1">
        <v>29060.0</v>
      </c>
      <c r="B59" s="1">
        <v>10123.0</v>
      </c>
      <c r="C59" s="1">
        <v>1.480135396E9</v>
      </c>
    </row>
    <row r="60">
      <c r="A60" s="1">
        <v>29065.0</v>
      </c>
      <c r="B60" s="1">
        <v>10152.0</v>
      </c>
      <c r="C60" s="1">
        <v>1.480146237E9</v>
      </c>
    </row>
    <row r="61">
      <c r="A61" s="1">
        <v>29066.0</v>
      </c>
      <c r="B61" s="1">
        <v>10152.0</v>
      </c>
      <c r="C61" s="1">
        <v>1.480146237E9</v>
      </c>
    </row>
    <row r="62">
      <c r="A62" s="1">
        <v>29069.0</v>
      </c>
      <c r="B62" s="1">
        <v>10126.0</v>
      </c>
      <c r="C62" s="1">
        <v>1.480157909E9</v>
      </c>
    </row>
    <row r="63">
      <c r="A63" s="1">
        <v>29070.0</v>
      </c>
      <c r="B63" s="1">
        <v>10126.0</v>
      </c>
      <c r="C63" s="1">
        <v>1.480157909E9</v>
      </c>
    </row>
    <row r="64">
      <c r="A64" s="1">
        <v>29143.0</v>
      </c>
      <c r="B64" s="1">
        <v>10129.0</v>
      </c>
      <c r="C64" s="1">
        <v>1.480167178E9</v>
      </c>
    </row>
    <row r="65">
      <c r="A65" s="1">
        <v>29144.0</v>
      </c>
      <c r="B65" s="1">
        <v>10129.0</v>
      </c>
      <c r="C65" s="1">
        <v>1.480167178E9</v>
      </c>
    </row>
    <row r="66">
      <c r="A66" s="1">
        <v>29152.0</v>
      </c>
      <c r="B66" s="1">
        <v>10164.0</v>
      </c>
      <c r="C66" s="1">
        <v>1.480171179E9</v>
      </c>
    </row>
    <row r="67">
      <c r="A67" s="1">
        <v>29153.0</v>
      </c>
      <c r="B67" s="1">
        <v>10164.0</v>
      </c>
      <c r="C67" s="1">
        <v>1.480171179E9</v>
      </c>
    </row>
    <row r="68">
      <c r="A68" s="1">
        <v>29156.0</v>
      </c>
      <c r="B68" s="1">
        <v>10164.0</v>
      </c>
      <c r="C68" s="1">
        <v>1.480171188E9</v>
      </c>
    </row>
    <row r="69">
      <c r="A69" s="1">
        <v>29157.0</v>
      </c>
      <c r="B69" s="1">
        <v>10164.0</v>
      </c>
      <c r="C69" s="1">
        <v>1.480171188E9</v>
      </c>
    </row>
    <row r="70">
      <c r="A70" s="1">
        <v>29161.0</v>
      </c>
      <c r="B70" s="1">
        <v>10164.0</v>
      </c>
      <c r="C70" s="1">
        <v>1.480171198E9</v>
      </c>
    </row>
    <row r="71">
      <c r="A71" s="1">
        <v>29162.0</v>
      </c>
      <c r="B71" s="1">
        <v>10164.0</v>
      </c>
      <c r="C71" s="1">
        <v>1.480171198E9</v>
      </c>
    </row>
    <row r="72">
      <c r="A72" s="1">
        <v>29166.0</v>
      </c>
      <c r="B72" s="1">
        <v>10129.0</v>
      </c>
      <c r="C72" s="1">
        <v>1.48017132E9</v>
      </c>
    </row>
    <row r="73">
      <c r="A73" s="1">
        <v>29167.0</v>
      </c>
      <c r="B73" s="1">
        <v>10129.0</v>
      </c>
      <c r="C73" s="1">
        <v>1.48017132E9</v>
      </c>
    </row>
    <row r="74">
      <c r="A74" s="1">
        <v>29195.0</v>
      </c>
      <c r="B74" s="1">
        <v>10142.0</v>
      </c>
      <c r="C74" s="1">
        <v>1.480175257E9</v>
      </c>
    </row>
    <row r="75">
      <c r="A75" s="1">
        <v>29196.0</v>
      </c>
      <c r="B75" s="1">
        <v>10142.0</v>
      </c>
      <c r="C75" s="1">
        <v>1.480175257E9</v>
      </c>
    </row>
    <row r="76">
      <c r="A76" s="1">
        <v>29205.0</v>
      </c>
      <c r="B76" s="1">
        <v>10158.0</v>
      </c>
      <c r="C76" s="1">
        <v>1.480179604E9</v>
      </c>
    </row>
    <row r="77">
      <c r="A77" s="1">
        <v>29206.0</v>
      </c>
      <c r="B77" s="1">
        <v>10158.0</v>
      </c>
      <c r="C77" s="1">
        <v>1.480179604E9</v>
      </c>
    </row>
    <row r="78">
      <c r="A78" s="1">
        <v>29224.0</v>
      </c>
      <c r="B78" s="1">
        <v>10126.0</v>
      </c>
      <c r="C78" s="1">
        <v>1.480182049E9</v>
      </c>
    </row>
    <row r="79">
      <c r="A79" s="1">
        <v>29225.0</v>
      </c>
      <c r="B79" s="1">
        <v>10126.0</v>
      </c>
      <c r="C79" s="1">
        <v>1.480182049E9</v>
      </c>
    </row>
    <row r="80">
      <c r="A80" s="1">
        <v>29249.0</v>
      </c>
      <c r="B80" s="1">
        <v>10152.0</v>
      </c>
      <c r="C80" s="1">
        <v>1.480188608E9</v>
      </c>
    </row>
    <row r="81">
      <c r="A81" s="1">
        <v>29250.0</v>
      </c>
      <c r="B81" s="1">
        <v>10152.0</v>
      </c>
      <c r="C81" s="1">
        <v>1.480188608E9</v>
      </c>
    </row>
    <row r="82">
      <c r="A82" s="1">
        <v>29288.0</v>
      </c>
      <c r="B82" s="1">
        <v>10152.0</v>
      </c>
      <c r="C82" s="1">
        <v>1.480197241E9</v>
      </c>
    </row>
    <row r="83">
      <c r="A83" s="1">
        <v>29289.0</v>
      </c>
      <c r="B83" s="1">
        <v>10152.0</v>
      </c>
      <c r="C83" s="1">
        <v>1.480197241E9</v>
      </c>
    </row>
    <row r="84">
      <c r="A84" s="1">
        <v>29293.0</v>
      </c>
      <c r="B84" s="1">
        <v>10126.0</v>
      </c>
      <c r="C84" s="1">
        <v>1.480202407E9</v>
      </c>
    </row>
    <row r="85">
      <c r="A85" s="1">
        <v>29294.0</v>
      </c>
      <c r="B85" s="1">
        <v>10126.0</v>
      </c>
      <c r="C85" s="1">
        <v>1.480202407E9</v>
      </c>
    </row>
    <row r="86">
      <c r="A86" s="1">
        <v>29299.0</v>
      </c>
      <c r="B86" s="1">
        <v>10135.0</v>
      </c>
      <c r="C86" s="1">
        <v>1.480203128E9</v>
      </c>
    </row>
    <row r="87">
      <c r="A87" s="1">
        <v>29300.0</v>
      </c>
      <c r="B87" s="1">
        <v>10135.0</v>
      </c>
      <c r="C87" s="1">
        <v>1.480203128E9</v>
      </c>
    </row>
    <row r="88">
      <c r="A88" s="1">
        <v>29307.0</v>
      </c>
      <c r="B88" s="1">
        <v>10141.0</v>
      </c>
      <c r="C88" s="1">
        <v>1.4802037E9</v>
      </c>
    </row>
    <row r="89">
      <c r="A89" s="1">
        <v>29308.0</v>
      </c>
      <c r="B89" s="1">
        <v>10141.0</v>
      </c>
      <c r="C89" s="1">
        <v>1.4802037E9</v>
      </c>
    </row>
    <row r="90">
      <c r="A90" s="1">
        <v>29342.0</v>
      </c>
      <c r="B90" s="1">
        <v>10152.0</v>
      </c>
      <c r="C90" s="1">
        <v>1.480253613E9</v>
      </c>
    </row>
    <row r="91">
      <c r="A91" s="1">
        <v>29343.0</v>
      </c>
      <c r="B91" s="1">
        <v>10152.0</v>
      </c>
      <c r="C91" s="1">
        <v>1.480253613E9</v>
      </c>
    </row>
    <row r="92">
      <c r="A92" s="1">
        <v>29348.0</v>
      </c>
      <c r="B92" s="1">
        <v>10126.0</v>
      </c>
      <c r="C92" s="1">
        <v>1.480255584E9</v>
      </c>
    </row>
    <row r="93">
      <c r="A93" s="1">
        <v>29349.0</v>
      </c>
      <c r="B93" s="1">
        <v>10126.0</v>
      </c>
      <c r="C93" s="1">
        <v>1.480255584E9</v>
      </c>
    </row>
    <row r="94">
      <c r="A94" s="1">
        <v>29356.0</v>
      </c>
      <c r="B94" s="1">
        <v>10141.0</v>
      </c>
      <c r="C94" s="1">
        <v>1.480266102E9</v>
      </c>
    </row>
    <row r="95">
      <c r="A95" s="1">
        <v>29357.0</v>
      </c>
      <c r="B95" s="1">
        <v>10141.0</v>
      </c>
      <c r="C95" s="1">
        <v>1.480266102E9</v>
      </c>
    </row>
    <row r="96">
      <c r="A96" s="1">
        <v>29370.0</v>
      </c>
      <c r="B96" s="1">
        <v>10153.0</v>
      </c>
      <c r="C96" s="1">
        <v>1.480266449E9</v>
      </c>
    </row>
    <row r="97">
      <c r="A97" s="1">
        <v>29371.0</v>
      </c>
      <c r="B97" s="1">
        <v>10153.0</v>
      </c>
      <c r="C97" s="1">
        <v>1.480266449E9</v>
      </c>
    </row>
    <row r="98">
      <c r="A98" s="1">
        <v>29375.0</v>
      </c>
      <c r="B98" s="1">
        <v>10141.0</v>
      </c>
      <c r="C98" s="1">
        <v>1.480266583E9</v>
      </c>
    </row>
    <row r="99">
      <c r="A99" s="1">
        <v>29376.0</v>
      </c>
      <c r="B99" s="1">
        <v>10141.0</v>
      </c>
      <c r="C99" s="1">
        <v>1.480266583E9</v>
      </c>
    </row>
    <row r="100">
      <c r="A100" s="1">
        <v>29451.0</v>
      </c>
      <c r="B100" s="1">
        <v>10144.0</v>
      </c>
      <c r="C100" s="1">
        <v>1.480272882E9</v>
      </c>
    </row>
    <row r="101">
      <c r="A101" s="1">
        <v>29455.0</v>
      </c>
      <c r="B101" s="1">
        <v>10144.0</v>
      </c>
      <c r="C101" s="1">
        <v>1.480273028E9</v>
      </c>
    </row>
    <row r="102">
      <c r="A102" s="1">
        <v>29457.0</v>
      </c>
      <c r="B102" s="1">
        <v>10144.0</v>
      </c>
      <c r="C102" s="1">
        <v>1.480273149E9</v>
      </c>
    </row>
    <row r="103">
      <c r="A103" s="1">
        <v>29499.0</v>
      </c>
      <c r="B103" s="1">
        <v>10119.0</v>
      </c>
      <c r="C103" s="1">
        <v>1.480275602E9</v>
      </c>
    </row>
    <row r="104">
      <c r="A104" s="1">
        <v>29500.0</v>
      </c>
      <c r="B104" s="1">
        <v>10119.0</v>
      </c>
      <c r="C104" s="1">
        <v>1.480275602E9</v>
      </c>
    </row>
    <row r="105">
      <c r="A105" s="1">
        <v>29533.0</v>
      </c>
      <c r="B105" s="1">
        <v>10158.0</v>
      </c>
      <c r="C105" s="1">
        <v>1.480277551E9</v>
      </c>
    </row>
    <row r="106">
      <c r="A106" s="1">
        <v>29534.0</v>
      </c>
      <c r="B106" s="1">
        <v>10158.0</v>
      </c>
      <c r="C106" s="1">
        <v>1.480277551E9</v>
      </c>
    </row>
    <row r="107">
      <c r="A107" s="1">
        <v>29567.0</v>
      </c>
      <c r="B107" s="1">
        <v>10119.0</v>
      </c>
      <c r="C107" s="1">
        <v>1.480290004E9</v>
      </c>
    </row>
    <row r="108">
      <c r="A108" s="1">
        <v>29568.0</v>
      </c>
      <c r="B108" s="1">
        <v>10119.0</v>
      </c>
      <c r="C108" s="1">
        <v>1.480290004E9</v>
      </c>
    </row>
    <row r="109">
      <c r="A109" s="1">
        <v>29575.0</v>
      </c>
      <c r="B109" s="1">
        <v>10144.0</v>
      </c>
      <c r="C109" s="1">
        <v>1.480325805E9</v>
      </c>
    </row>
    <row r="110">
      <c r="A110" s="1">
        <v>29857.0</v>
      </c>
      <c r="B110" s="1">
        <v>10126.0</v>
      </c>
      <c r="C110" s="1">
        <v>1.480332406E9</v>
      </c>
    </row>
    <row r="111">
      <c r="A111" s="1">
        <v>29858.0</v>
      </c>
      <c r="B111" s="1">
        <v>10126.0</v>
      </c>
      <c r="C111" s="1">
        <v>1.480332406E9</v>
      </c>
    </row>
    <row r="112">
      <c r="A112" s="1">
        <v>29867.0</v>
      </c>
      <c r="B112" s="1">
        <v>10135.0</v>
      </c>
      <c r="C112" s="1">
        <v>1.480333876E9</v>
      </c>
    </row>
    <row r="113">
      <c r="A113" s="1">
        <v>29868.0</v>
      </c>
      <c r="B113" s="1">
        <v>10135.0</v>
      </c>
      <c r="C113" s="1">
        <v>1.480333876E9</v>
      </c>
    </row>
    <row r="114">
      <c r="A114" s="1">
        <v>29892.0</v>
      </c>
      <c r="B114" s="1">
        <v>10157.0</v>
      </c>
      <c r="C114" s="1">
        <v>1.48034481E9</v>
      </c>
    </row>
    <row r="115">
      <c r="A115" s="1">
        <v>29893.0</v>
      </c>
      <c r="B115" s="1">
        <v>10157.0</v>
      </c>
      <c r="C115" s="1">
        <v>1.48034481E9</v>
      </c>
    </row>
    <row r="116">
      <c r="A116" s="1">
        <v>29900.0</v>
      </c>
      <c r="B116" s="1">
        <v>10152.0</v>
      </c>
      <c r="C116" s="1">
        <v>1.480347637E9</v>
      </c>
    </row>
    <row r="117">
      <c r="A117" s="1">
        <v>29901.0</v>
      </c>
      <c r="B117" s="1">
        <v>10152.0</v>
      </c>
      <c r="C117" s="1">
        <v>1.480347637E9</v>
      </c>
    </row>
    <row r="118">
      <c r="A118" s="1">
        <v>29907.0</v>
      </c>
      <c r="B118" s="1">
        <v>10148.0</v>
      </c>
      <c r="C118" s="1">
        <v>1.480351419E9</v>
      </c>
    </row>
    <row r="119">
      <c r="A119" s="1">
        <v>29908.0</v>
      </c>
      <c r="B119" s="1">
        <v>10148.0</v>
      </c>
      <c r="C119" s="1">
        <v>1.480351419E9</v>
      </c>
    </row>
    <row r="120">
      <c r="A120" s="1">
        <v>29927.0</v>
      </c>
      <c r="B120" s="1">
        <v>10152.0</v>
      </c>
      <c r="C120" s="1">
        <v>1.480355702E9</v>
      </c>
    </row>
    <row r="121">
      <c r="A121" s="1">
        <v>29928.0</v>
      </c>
      <c r="B121" s="1">
        <v>10152.0</v>
      </c>
      <c r="C121" s="1">
        <v>1.480355702E9</v>
      </c>
    </row>
    <row r="122">
      <c r="A122" s="1">
        <v>29932.0</v>
      </c>
      <c r="B122" s="1">
        <v>10126.0</v>
      </c>
      <c r="C122" s="1">
        <v>1.480359851E9</v>
      </c>
    </row>
    <row r="123">
      <c r="A123" s="1">
        <v>29933.0</v>
      </c>
      <c r="B123" s="1">
        <v>10126.0</v>
      </c>
      <c r="C123" s="1">
        <v>1.480359851E9</v>
      </c>
    </row>
    <row r="124">
      <c r="A124" s="1">
        <v>29936.0</v>
      </c>
      <c r="B124" s="1">
        <v>10137.0</v>
      </c>
      <c r="C124" s="1">
        <v>1.480360978E9</v>
      </c>
    </row>
    <row r="125">
      <c r="A125" s="1">
        <v>29937.0</v>
      </c>
      <c r="B125" s="1">
        <v>10137.0</v>
      </c>
      <c r="C125" s="1">
        <v>1.480360978E9</v>
      </c>
    </row>
    <row r="126">
      <c r="A126" s="1">
        <v>29961.0</v>
      </c>
      <c r="B126" s="1">
        <v>10138.0</v>
      </c>
      <c r="C126" s="1">
        <v>1.480364254E9</v>
      </c>
    </row>
    <row r="127">
      <c r="A127" s="1">
        <v>29962.0</v>
      </c>
      <c r="B127" s="1">
        <v>10138.0</v>
      </c>
      <c r="C127" s="1">
        <v>1.480364254E9</v>
      </c>
    </row>
    <row r="128">
      <c r="A128" s="1">
        <v>29967.0</v>
      </c>
      <c r="B128" s="1">
        <v>10116.0</v>
      </c>
      <c r="C128" s="1">
        <v>1.480364286E9</v>
      </c>
    </row>
    <row r="129">
      <c r="A129" s="1">
        <v>29968.0</v>
      </c>
      <c r="B129" s="1">
        <v>10116.0</v>
      </c>
      <c r="C129" s="1">
        <v>1.480364286E9</v>
      </c>
    </row>
    <row r="130">
      <c r="A130" s="1">
        <v>29972.0</v>
      </c>
      <c r="B130" s="1">
        <v>10131.0</v>
      </c>
      <c r="C130" s="1">
        <v>1.480372119E9</v>
      </c>
    </row>
    <row r="131">
      <c r="A131" s="1">
        <v>29973.0</v>
      </c>
      <c r="B131" s="1">
        <v>10131.0</v>
      </c>
      <c r="C131" s="1">
        <v>1.480372119E9</v>
      </c>
    </row>
    <row r="132">
      <c r="A132" s="1">
        <v>29978.0</v>
      </c>
      <c r="B132" s="1">
        <v>10125.0</v>
      </c>
      <c r="C132" s="1">
        <v>1.480382656E9</v>
      </c>
    </row>
    <row r="133">
      <c r="A133" s="1">
        <v>29979.0</v>
      </c>
      <c r="B133" s="1">
        <v>10125.0</v>
      </c>
      <c r="C133" s="1">
        <v>1.480382656E9</v>
      </c>
    </row>
    <row r="134">
      <c r="A134" s="1">
        <v>30006.0</v>
      </c>
      <c r="B134" s="1">
        <v>10126.0</v>
      </c>
      <c r="C134" s="1">
        <v>1.480414476E9</v>
      </c>
    </row>
    <row r="135">
      <c r="A135" s="1">
        <v>30007.0</v>
      </c>
      <c r="B135" s="1">
        <v>10126.0</v>
      </c>
      <c r="C135" s="1">
        <v>1.480414476E9</v>
      </c>
    </row>
    <row r="136">
      <c r="A136" s="1">
        <v>30012.0</v>
      </c>
      <c r="B136" s="1">
        <v>10129.0</v>
      </c>
      <c r="C136" s="1">
        <v>1.480419362E9</v>
      </c>
    </row>
    <row r="137">
      <c r="A137" s="1">
        <v>30013.0</v>
      </c>
      <c r="B137" s="1">
        <v>10129.0</v>
      </c>
      <c r="C137" s="1">
        <v>1.480419362E9</v>
      </c>
    </row>
    <row r="138">
      <c r="A138" s="1">
        <v>30016.0</v>
      </c>
      <c r="B138" s="1">
        <v>10121.0</v>
      </c>
      <c r="C138" s="1">
        <v>1.480437081E9</v>
      </c>
    </row>
    <row r="139">
      <c r="A139" s="1">
        <v>30017.0</v>
      </c>
      <c r="B139" s="1">
        <v>10121.0</v>
      </c>
      <c r="C139" s="1">
        <v>1.480437081E9</v>
      </c>
    </row>
    <row r="140">
      <c r="A140" s="1">
        <v>30019.0</v>
      </c>
      <c r="B140" s="1">
        <v>10120.0</v>
      </c>
      <c r="C140" s="1">
        <v>1.48044148E9</v>
      </c>
    </row>
    <row r="141">
      <c r="A141" s="1">
        <v>30020.0</v>
      </c>
      <c r="B141" s="1">
        <v>10120.0</v>
      </c>
      <c r="C141" s="1">
        <v>1.48044148E9</v>
      </c>
    </row>
    <row r="142">
      <c r="A142" s="1">
        <v>30026.0</v>
      </c>
      <c r="B142" s="1">
        <v>10126.0</v>
      </c>
      <c r="C142" s="1">
        <v>1.480445626E9</v>
      </c>
    </row>
    <row r="143">
      <c r="A143" s="1">
        <v>30027.0</v>
      </c>
      <c r="B143" s="1">
        <v>10126.0</v>
      </c>
      <c r="C143" s="1">
        <v>1.480445626E9</v>
      </c>
    </row>
    <row r="144">
      <c r="A144" s="1">
        <v>30048.0</v>
      </c>
      <c r="B144" s="1">
        <v>10138.0</v>
      </c>
      <c r="C144" s="1">
        <v>1.480455077E9</v>
      </c>
    </row>
    <row r="145">
      <c r="A145" s="1">
        <v>30049.0</v>
      </c>
      <c r="B145" s="1">
        <v>10138.0</v>
      </c>
      <c r="C145" s="1">
        <v>1.480455077E9</v>
      </c>
    </row>
    <row r="146">
      <c r="A146" s="1">
        <v>30058.0</v>
      </c>
      <c r="B146" s="1">
        <v>10152.0</v>
      </c>
      <c r="C146" s="1">
        <v>1.480462407E9</v>
      </c>
    </row>
    <row r="147">
      <c r="A147" s="1">
        <v>30059.0</v>
      </c>
      <c r="B147" s="1">
        <v>10152.0</v>
      </c>
      <c r="C147" s="1">
        <v>1.480462407E9</v>
      </c>
    </row>
    <row r="148">
      <c r="A148" s="1">
        <v>30063.0</v>
      </c>
      <c r="B148" s="1">
        <v>10122.0</v>
      </c>
      <c r="C148" s="1">
        <v>1.48048685E9</v>
      </c>
    </row>
    <row r="149">
      <c r="A149" s="1">
        <v>30064.0</v>
      </c>
      <c r="B149" s="1">
        <v>10122.0</v>
      </c>
      <c r="C149" s="1">
        <v>1.48048685E9</v>
      </c>
    </row>
    <row r="150">
      <c r="A150" s="1">
        <v>30070.0</v>
      </c>
      <c r="B150" s="1">
        <v>10148.0</v>
      </c>
      <c r="C150" s="1">
        <v>1.480499278E9</v>
      </c>
    </row>
    <row r="151">
      <c r="A151" s="1">
        <v>30071.0</v>
      </c>
      <c r="B151" s="1">
        <v>10148.0</v>
      </c>
      <c r="C151" s="1">
        <v>1.480499278E9</v>
      </c>
    </row>
    <row r="152">
      <c r="A152" s="1">
        <v>30081.0</v>
      </c>
      <c r="B152" s="1">
        <v>10148.0</v>
      </c>
      <c r="C152" s="1">
        <v>1.480509614E9</v>
      </c>
    </row>
    <row r="153">
      <c r="A153" s="1">
        <v>30082.0</v>
      </c>
      <c r="B153" s="1">
        <v>10148.0</v>
      </c>
      <c r="C153" s="1">
        <v>1.480509614E9</v>
      </c>
    </row>
    <row r="154">
      <c r="A154" s="1">
        <v>30114.0</v>
      </c>
      <c r="B154" s="1">
        <v>10148.0</v>
      </c>
      <c r="C154" s="1">
        <v>1.480510993E9</v>
      </c>
    </row>
    <row r="155">
      <c r="A155" s="1">
        <v>30115.0</v>
      </c>
      <c r="B155" s="1">
        <v>10148.0</v>
      </c>
      <c r="C155" s="1">
        <v>1.480510993E9</v>
      </c>
    </row>
    <row r="156">
      <c r="A156" s="1">
        <v>30119.0</v>
      </c>
      <c r="B156" s="1">
        <v>10148.0</v>
      </c>
      <c r="C156" s="1">
        <v>1.480511051E9</v>
      </c>
    </row>
    <row r="157">
      <c r="A157" s="1">
        <v>30120.0</v>
      </c>
      <c r="B157" s="1">
        <v>10148.0</v>
      </c>
      <c r="C157" s="1">
        <v>1.480511051E9</v>
      </c>
    </row>
    <row r="158">
      <c r="A158" s="1">
        <v>30131.0</v>
      </c>
      <c r="B158" s="1">
        <v>10148.0</v>
      </c>
      <c r="C158" s="1">
        <v>1.480512372E9</v>
      </c>
    </row>
    <row r="159">
      <c r="A159" s="1">
        <v>30132.0</v>
      </c>
      <c r="B159" s="1">
        <v>10148.0</v>
      </c>
      <c r="C159" s="1">
        <v>1.480512372E9</v>
      </c>
    </row>
    <row r="160">
      <c r="A160" s="1">
        <v>30146.0</v>
      </c>
      <c r="B160" s="1">
        <v>10148.0</v>
      </c>
      <c r="C160" s="1">
        <v>1.480519513E9</v>
      </c>
    </row>
    <row r="161">
      <c r="A161" s="1">
        <v>30147.0</v>
      </c>
      <c r="B161" s="1">
        <v>10148.0</v>
      </c>
      <c r="C161" s="1">
        <v>1.480519513E9</v>
      </c>
    </row>
    <row r="162">
      <c r="A162" s="1">
        <v>30161.0</v>
      </c>
      <c r="B162" s="1">
        <v>10148.0</v>
      </c>
      <c r="C162" s="1">
        <v>1.480519727E9</v>
      </c>
    </row>
    <row r="163">
      <c r="A163" s="1">
        <v>30162.0</v>
      </c>
      <c r="B163" s="1">
        <v>10148.0</v>
      </c>
      <c r="C163" s="1">
        <v>1.480519727E9</v>
      </c>
    </row>
    <row r="164">
      <c r="A164" s="1">
        <v>30178.0</v>
      </c>
      <c r="B164" s="1">
        <v>10135.0</v>
      </c>
      <c r="C164" s="1">
        <v>1.480521109E9</v>
      </c>
    </row>
    <row r="165">
      <c r="A165" s="1">
        <v>30179.0</v>
      </c>
      <c r="B165" s="1">
        <v>10135.0</v>
      </c>
      <c r="C165" s="1">
        <v>1.480521109E9</v>
      </c>
    </row>
    <row r="166">
      <c r="A166" s="1">
        <v>30211.0</v>
      </c>
      <c r="B166" s="1">
        <v>10148.0</v>
      </c>
      <c r="C166" s="1">
        <v>1.480524262E9</v>
      </c>
    </row>
    <row r="167">
      <c r="A167" s="1">
        <v>30212.0</v>
      </c>
      <c r="B167" s="1">
        <v>10148.0</v>
      </c>
      <c r="C167" s="1">
        <v>1.480524262E9</v>
      </c>
    </row>
    <row r="168">
      <c r="A168" s="1">
        <v>30241.0</v>
      </c>
      <c r="B168" s="1">
        <v>10148.0</v>
      </c>
      <c r="C168" s="1">
        <v>1.48052975E9</v>
      </c>
    </row>
    <row r="169">
      <c r="A169" s="1">
        <v>30242.0</v>
      </c>
      <c r="B169" s="1">
        <v>10148.0</v>
      </c>
      <c r="C169" s="1">
        <v>1.48052975E9</v>
      </c>
    </row>
    <row r="170">
      <c r="A170" s="1">
        <v>30283.0</v>
      </c>
      <c r="B170" s="1">
        <v>10166.0</v>
      </c>
      <c r="C170" s="1">
        <v>1.480533266E9</v>
      </c>
    </row>
    <row r="171">
      <c r="A171" s="1">
        <v>30284.0</v>
      </c>
      <c r="B171" s="1">
        <v>10166.0</v>
      </c>
      <c r="C171" s="1">
        <v>1.480533266E9</v>
      </c>
    </row>
    <row r="172">
      <c r="A172" s="1">
        <v>30320.0</v>
      </c>
      <c r="B172" s="1">
        <v>10131.0</v>
      </c>
      <c r="C172" s="1">
        <v>1.480547702E9</v>
      </c>
    </row>
    <row r="173">
      <c r="A173" s="1">
        <v>30321.0</v>
      </c>
      <c r="B173" s="1">
        <v>10131.0</v>
      </c>
      <c r="C173" s="1">
        <v>1.480547702E9</v>
      </c>
    </row>
    <row r="174">
      <c r="A174" s="1">
        <v>30324.0</v>
      </c>
      <c r="B174" s="1">
        <v>10148.0</v>
      </c>
      <c r="C174" s="1">
        <v>1.480554803E9</v>
      </c>
    </row>
    <row r="175">
      <c r="A175" s="1">
        <v>30325.0</v>
      </c>
      <c r="B175" s="1">
        <v>10148.0</v>
      </c>
      <c r="C175" s="1">
        <v>1.480554803E9</v>
      </c>
    </row>
    <row r="176">
      <c r="A176" s="1">
        <v>30355.0</v>
      </c>
      <c r="B176" s="1">
        <v>10131.0</v>
      </c>
      <c r="C176" s="1">
        <v>1.480556005E9</v>
      </c>
    </row>
    <row r="177">
      <c r="A177" s="1">
        <v>30356.0</v>
      </c>
      <c r="B177" s="1">
        <v>10131.0</v>
      </c>
      <c r="C177" s="1">
        <v>1.480556005E9</v>
      </c>
    </row>
    <row r="178">
      <c r="A178" s="1">
        <v>30366.0</v>
      </c>
      <c r="B178" s="1">
        <v>10126.0</v>
      </c>
      <c r="C178" s="1">
        <v>1.480593179E9</v>
      </c>
    </row>
    <row r="179">
      <c r="A179" s="1">
        <v>30367.0</v>
      </c>
      <c r="B179" s="1">
        <v>10126.0</v>
      </c>
      <c r="C179" s="1">
        <v>1.480593179E9</v>
      </c>
    </row>
    <row r="180">
      <c r="A180" s="1">
        <v>30372.0</v>
      </c>
      <c r="B180" s="1">
        <v>10148.0</v>
      </c>
      <c r="C180" s="1">
        <v>1.480596302E9</v>
      </c>
    </row>
    <row r="181">
      <c r="A181" s="1">
        <v>30373.0</v>
      </c>
      <c r="B181" s="1">
        <v>10148.0</v>
      </c>
      <c r="C181" s="1">
        <v>1.480596302E9</v>
      </c>
    </row>
    <row r="182">
      <c r="A182" s="1">
        <v>30418.0</v>
      </c>
      <c r="B182" s="1">
        <v>10131.0</v>
      </c>
      <c r="C182" s="1">
        <v>1.480613608E9</v>
      </c>
    </row>
    <row r="183">
      <c r="A183" s="1">
        <v>30419.0</v>
      </c>
      <c r="B183" s="1">
        <v>10131.0</v>
      </c>
      <c r="C183" s="1">
        <v>1.480613608E9</v>
      </c>
    </row>
    <row r="184">
      <c r="A184" s="1">
        <v>30434.0</v>
      </c>
      <c r="B184" s="1">
        <v>10167.0</v>
      </c>
      <c r="C184" s="1">
        <v>1.480652969E9</v>
      </c>
    </row>
    <row r="185">
      <c r="A185" s="1">
        <v>30442.0</v>
      </c>
      <c r="B185" s="1">
        <v>10135.0</v>
      </c>
      <c r="C185" s="1">
        <v>1.480681196E9</v>
      </c>
    </row>
    <row r="186">
      <c r="A186" s="1">
        <v>30443.0</v>
      </c>
      <c r="B186" s="1">
        <v>10135.0</v>
      </c>
      <c r="C186" s="1">
        <v>1.480681196E9</v>
      </c>
    </row>
    <row r="187">
      <c r="A187" s="1">
        <v>30452.0</v>
      </c>
      <c r="B187" s="1">
        <v>10143.0</v>
      </c>
      <c r="C187" s="1">
        <v>1.480683445E9</v>
      </c>
    </row>
    <row r="188">
      <c r="A188" s="1">
        <v>30453.0</v>
      </c>
      <c r="B188" s="1">
        <v>10143.0</v>
      </c>
      <c r="C188" s="1">
        <v>1.480683445E9</v>
      </c>
    </row>
    <row r="189">
      <c r="A189" s="1">
        <v>30471.0</v>
      </c>
      <c r="B189" s="1">
        <v>10143.0</v>
      </c>
      <c r="C189" s="1">
        <v>1.480684037E9</v>
      </c>
    </row>
    <row r="190">
      <c r="A190" s="1">
        <v>30472.0</v>
      </c>
      <c r="B190" s="1">
        <v>10143.0</v>
      </c>
      <c r="C190" s="1">
        <v>1.480684037E9</v>
      </c>
    </row>
    <row r="191">
      <c r="A191" s="1">
        <v>30483.0</v>
      </c>
      <c r="B191" s="1">
        <v>10143.0</v>
      </c>
      <c r="C191" s="1">
        <v>1.480684152E9</v>
      </c>
    </row>
    <row r="192">
      <c r="A192" s="1">
        <v>30484.0</v>
      </c>
      <c r="B192" s="1">
        <v>10143.0</v>
      </c>
      <c r="C192" s="1">
        <v>1.480684152E9</v>
      </c>
    </row>
    <row r="193">
      <c r="A193" s="1">
        <v>30497.0</v>
      </c>
      <c r="B193" s="1">
        <v>10120.0</v>
      </c>
      <c r="C193" s="1">
        <v>1.480696198E9</v>
      </c>
    </row>
    <row r="194">
      <c r="A194" s="1">
        <v>30498.0</v>
      </c>
      <c r="B194" s="1">
        <v>10120.0</v>
      </c>
      <c r="C194" s="1">
        <v>1.480696198E9</v>
      </c>
    </row>
    <row r="195">
      <c r="A195" s="1">
        <v>30566.0</v>
      </c>
      <c r="B195" s="1">
        <v>10166.0</v>
      </c>
      <c r="C195" s="1">
        <v>1.480704113E9</v>
      </c>
    </row>
    <row r="196">
      <c r="A196" s="1">
        <v>30567.0</v>
      </c>
      <c r="B196" s="1">
        <v>10166.0</v>
      </c>
      <c r="C196" s="1">
        <v>1.480704113E9</v>
      </c>
    </row>
    <row r="197">
      <c r="A197" s="1">
        <v>30590.0</v>
      </c>
      <c r="B197" s="1">
        <v>10128.0</v>
      </c>
      <c r="C197" s="1">
        <v>1.480719179E9</v>
      </c>
    </row>
    <row r="198">
      <c r="A198" s="1">
        <v>30591.0</v>
      </c>
      <c r="B198" s="1">
        <v>10128.0</v>
      </c>
      <c r="C198" s="1">
        <v>1.480719179E9</v>
      </c>
    </row>
    <row r="199">
      <c r="A199" s="1">
        <v>30594.0</v>
      </c>
      <c r="B199" s="1">
        <v>10145.0</v>
      </c>
      <c r="C199" s="1">
        <v>1.480719281E9</v>
      </c>
    </row>
    <row r="200">
      <c r="A200" s="1">
        <v>30595.0</v>
      </c>
      <c r="B200" s="1">
        <v>10145.0</v>
      </c>
      <c r="C200" s="1">
        <v>1.480719281E9</v>
      </c>
    </row>
    <row r="201">
      <c r="A201" s="1">
        <v>30598.0</v>
      </c>
      <c r="B201" s="1">
        <v>10135.0</v>
      </c>
      <c r="C201" s="1">
        <v>1.48071985E9</v>
      </c>
    </row>
    <row r="202">
      <c r="A202" s="1">
        <v>30599.0</v>
      </c>
      <c r="B202" s="1">
        <v>10135.0</v>
      </c>
      <c r="C202" s="1">
        <v>1.48071985E9</v>
      </c>
    </row>
    <row r="203">
      <c r="A203" s="1">
        <v>30607.0</v>
      </c>
      <c r="B203" s="1">
        <v>10159.0</v>
      </c>
      <c r="C203" s="1">
        <v>1.480720053E9</v>
      </c>
    </row>
    <row r="204">
      <c r="A204" s="1">
        <v>30608.0</v>
      </c>
      <c r="B204" s="1">
        <v>10159.0</v>
      </c>
      <c r="C204" s="1">
        <v>1.480720053E9</v>
      </c>
    </row>
    <row r="205">
      <c r="A205" s="1">
        <v>30634.0</v>
      </c>
      <c r="B205" s="1">
        <v>10159.0</v>
      </c>
      <c r="C205" s="1">
        <v>1.480722776E9</v>
      </c>
    </row>
    <row r="206">
      <c r="A206" s="1">
        <v>30635.0</v>
      </c>
      <c r="B206" s="1">
        <v>10159.0</v>
      </c>
      <c r="C206" s="1">
        <v>1.480722776E9</v>
      </c>
    </row>
    <row r="207">
      <c r="A207" s="1">
        <v>30640.0</v>
      </c>
      <c r="B207" s="1">
        <v>10120.0</v>
      </c>
      <c r="C207" s="1">
        <v>1.480723608E9</v>
      </c>
    </row>
    <row r="208">
      <c r="A208" s="1">
        <v>30641.0</v>
      </c>
      <c r="B208" s="1">
        <v>10120.0</v>
      </c>
      <c r="C208" s="1">
        <v>1.480723608E9</v>
      </c>
    </row>
    <row r="209">
      <c r="A209" s="1">
        <v>30712.0</v>
      </c>
      <c r="B209" s="1">
        <v>10131.0</v>
      </c>
      <c r="C209" s="1">
        <v>1.480946306E9</v>
      </c>
    </row>
    <row r="210">
      <c r="A210" s="1">
        <v>30713.0</v>
      </c>
      <c r="B210" s="1">
        <v>10131.0</v>
      </c>
      <c r="C210" s="1">
        <v>1.480946306E9</v>
      </c>
    </row>
    <row r="211">
      <c r="A211" s="1">
        <v>30756.0</v>
      </c>
      <c r="B211" s="1">
        <v>10115.0</v>
      </c>
      <c r="C211" s="1">
        <v>1.480969051E9</v>
      </c>
    </row>
    <row r="212">
      <c r="A212" s="1">
        <v>30757.0</v>
      </c>
      <c r="B212" s="1">
        <v>10115.0</v>
      </c>
      <c r="C212" s="1">
        <v>1.480969051E9</v>
      </c>
    </row>
    <row r="213">
      <c r="A213" s="1">
        <v>30773.0</v>
      </c>
      <c r="B213" s="1">
        <v>10158.0</v>
      </c>
      <c r="C213" s="1">
        <v>1.480977477E9</v>
      </c>
    </row>
    <row r="214">
      <c r="A214" s="1">
        <v>30774.0</v>
      </c>
      <c r="B214" s="1">
        <v>10158.0</v>
      </c>
      <c r="C214" s="1">
        <v>1.480977477E9</v>
      </c>
    </row>
    <row r="215">
      <c r="A215" s="1">
        <v>30776.0</v>
      </c>
      <c r="B215" s="1">
        <v>10123.0</v>
      </c>
      <c r="C215" s="1">
        <v>1.481016884E9</v>
      </c>
    </row>
    <row r="216">
      <c r="A216" s="1">
        <v>30777.0</v>
      </c>
      <c r="B216" s="1">
        <v>10123.0</v>
      </c>
      <c r="C216" s="1">
        <v>1.481016884E9</v>
      </c>
    </row>
    <row r="217">
      <c r="A217" s="1">
        <v>30788.0</v>
      </c>
      <c r="B217" s="1">
        <v>10157.0</v>
      </c>
      <c r="C217" s="1">
        <v>1.481053189E9</v>
      </c>
    </row>
    <row r="218">
      <c r="A218" s="1">
        <v>30789.0</v>
      </c>
      <c r="B218" s="1">
        <v>10157.0</v>
      </c>
      <c r="C218" s="1">
        <v>1.481053189E9</v>
      </c>
    </row>
    <row r="219">
      <c r="A219" s="1">
        <v>30810.0</v>
      </c>
      <c r="B219" s="1">
        <v>10120.0</v>
      </c>
      <c r="C219" s="1">
        <v>1.481243161E9</v>
      </c>
    </row>
    <row r="220">
      <c r="A220" s="1">
        <v>30811.0</v>
      </c>
      <c r="B220" s="1">
        <v>10120.0</v>
      </c>
      <c r="C220" s="1">
        <v>1.481243161E9</v>
      </c>
    </row>
    <row r="221">
      <c r="A221" s="1">
        <v>30817.0</v>
      </c>
      <c r="B221" s="1">
        <v>10133.0</v>
      </c>
      <c r="C221" s="1">
        <v>1.481401461E9</v>
      </c>
    </row>
    <row r="222">
      <c r="A222" s="1">
        <v>30818.0</v>
      </c>
      <c r="B222" s="1">
        <v>10133.0</v>
      </c>
      <c r="C222" s="1">
        <v>1.481401461E9</v>
      </c>
    </row>
    <row r="223">
      <c r="A223" s="1">
        <v>30828.0</v>
      </c>
      <c r="B223" s="1">
        <v>10166.0</v>
      </c>
      <c r="C223" s="1">
        <v>1.481408881E9</v>
      </c>
    </row>
    <row r="224">
      <c r="A224" s="1">
        <v>30829.0</v>
      </c>
      <c r="B224" s="1">
        <v>10166.0</v>
      </c>
      <c r="C224" s="1">
        <v>1.481408881E9</v>
      </c>
    </row>
    <row r="225">
      <c r="A225" s="1">
        <v>30853.0</v>
      </c>
      <c r="B225" s="1">
        <v>10140.0</v>
      </c>
      <c r="C225" s="1">
        <v>1.481419788E9</v>
      </c>
    </row>
    <row r="226">
      <c r="A226" s="1">
        <v>30854.0</v>
      </c>
      <c r="B226" s="1">
        <v>10140.0</v>
      </c>
      <c r="C226" s="1">
        <v>1.481419788E9</v>
      </c>
    </row>
    <row r="227">
      <c r="A227" s="1">
        <v>30895.0</v>
      </c>
      <c r="B227" s="1">
        <v>10164.0</v>
      </c>
      <c r="C227" s="1">
        <v>1.481482006E9</v>
      </c>
    </row>
    <row r="228">
      <c r="A228" s="1">
        <v>30896.0</v>
      </c>
      <c r="B228" s="1">
        <v>10164.0</v>
      </c>
      <c r="C228" s="1">
        <v>1.481482006E9</v>
      </c>
    </row>
    <row r="229">
      <c r="A229" s="1">
        <v>30900.0</v>
      </c>
      <c r="B229" s="1">
        <v>10145.0</v>
      </c>
      <c r="C229" s="1">
        <v>1.481482035E9</v>
      </c>
    </row>
    <row r="230">
      <c r="A230" s="1">
        <v>30901.0</v>
      </c>
      <c r="B230" s="1">
        <v>10145.0</v>
      </c>
      <c r="C230" s="1">
        <v>1.481482035E9</v>
      </c>
    </row>
    <row r="231">
      <c r="A231" s="1">
        <v>30905.0</v>
      </c>
      <c r="B231" s="1">
        <v>10166.0</v>
      </c>
      <c r="C231" s="1">
        <v>1.481487899E9</v>
      </c>
    </row>
    <row r="232">
      <c r="A232" s="1">
        <v>30906.0</v>
      </c>
      <c r="B232" s="1">
        <v>10166.0</v>
      </c>
      <c r="C232" s="1">
        <v>1.481487899E9</v>
      </c>
    </row>
    <row r="233">
      <c r="A233" s="1">
        <v>30911.0</v>
      </c>
      <c r="B233" s="1">
        <v>10166.0</v>
      </c>
      <c r="C233" s="1">
        <v>1.481501527E9</v>
      </c>
    </row>
    <row r="234">
      <c r="A234" s="1">
        <v>30912.0</v>
      </c>
      <c r="B234" s="1">
        <v>10166.0</v>
      </c>
      <c r="C234" s="1">
        <v>1.481501527E9</v>
      </c>
    </row>
    <row r="235">
      <c r="A235" s="1">
        <v>30919.0</v>
      </c>
      <c r="B235" s="1">
        <v>10133.0</v>
      </c>
      <c r="C235" s="1">
        <v>1.481545884E9</v>
      </c>
    </row>
    <row r="236">
      <c r="A236" s="1">
        <v>30920.0</v>
      </c>
      <c r="B236" s="1">
        <v>10133.0</v>
      </c>
      <c r="C236" s="1">
        <v>1.481545884E9</v>
      </c>
    </row>
    <row r="237">
      <c r="A237" s="1">
        <v>30935.0</v>
      </c>
      <c r="B237" s="1">
        <v>10167.0</v>
      </c>
      <c r="C237" s="1">
        <v>1.481589364E9</v>
      </c>
    </row>
    <row r="238">
      <c r="A238" s="1">
        <v>31073.0</v>
      </c>
      <c r="B238" s="1">
        <v>10115.0</v>
      </c>
      <c r="C238" s="1">
        <v>1.481777212E9</v>
      </c>
    </row>
    <row r="239">
      <c r="A239" s="1">
        <v>31074.0</v>
      </c>
      <c r="B239" s="1">
        <v>10115.0</v>
      </c>
      <c r="C239" s="1">
        <v>1.481777212E9</v>
      </c>
    </row>
    <row r="240">
      <c r="A240" s="1">
        <v>31378.0</v>
      </c>
      <c r="B240" s="1">
        <v>10119.0</v>
      </c>
      <c r="C240" s="1">
        <v>1.487261846E9</v>
      </c>
    </row>
    <row r="241">
      <c r="A241" s="1">
        <v>31379.0</v>
      </c>
      <c r="B241" s="1">
        <v>10119.0</v>
      </c>
      <c r="C241" s="1">
        <v>1.487261846E9</v>
      </c>
    </row>
    <row r="242">
      <c r="A242" s="1">
        <v>31383.0</v>
      </c>
      <c r="B242" s="1">
        <v>10119.0</v>
      </c>
      <c r="C242" s="1">
        <v>1.487261918E9</v>
      </c>
    </row>
    <row r="243">
      <c r="A243" s="1">
        <v>31384.0</v>
      </c>
      <c r="B243" s="1">
        <v>10119.0</v>
      </c>
      <c r="C243" s="1">
        <v>1.487261918E9</v>
      </c>
    </row>
    <row r="244">
      <c r="A244" s="1">
        <v>31480.0</v>
      </c>
      <c r="B244" s="1">
        <v>10115.0</v>
      </c>
      <c r="C244" s="1">
        <v>1.48726625E9</v>
      </c>
    </row>
    <row r="245">
      <c r="A245" s="1">
        <v>31481.0</v>
      </c>
      <c r="B245" s="1">
        <v>10115.0</v>
      </c>
      <c r="C245" s="1">
        <v>1.487266251E9</v>
      </c>
    </row>
    <row r="246">
      <c r="A246" s="1">
        <v>31521.0</v>
      </c>
      <c r="B246" s="1">
        <v>10115.0</v>
      </c>
      <c r="C246" s="1">
        <v>1.487268505E9</v>
      </c>
    </row>
    <row r="247">
      <c r="A247" s="1">
        <v>31522.0</v>
      </c>
      <c r="B247" s="1">
        <v>10115.0</v>
      </c>
      <c r="C247" s="1">
        <v>1.487268505E9</v>
      </c>
    </row>
    <row r="248">
      <c r="A248" s="1">
        <v>31525.0</v>
      </c>
      <c r="B248" s="1">
        <v>10119.0</v>
      </c>
      <c r="C248" s="1">
        <v>1.48726858E9</v>
      </c>
    </row>
    <row r="249">
      <c r="A249" s="1">
        <v>31526.0</v>
      </c>
      <c r="B249" s="1">
        <v>10119.0</v>
      </c>
      <c r="C249" s="1">
        <v>1.48726858E9</v>
      </c>
    </row>
    <row r="250">
      <c r="A250" s="1">
        <v>31530.0</v>
      </c>
      <c r="B250" s="1">
        <v>10119.0</v>
      </c>
      <c r="C250" s="1">
        <v>1.487269224E9</v>
      </c>
    </row>
    <row r="251">
      <c r="A251" s="1">
        <v>31531.0</v>
      </c>
      <c r="B251" s="1">
        <v>10119.0</v>
      </c>
      <c r="C251" s="1">
        <v>1.487269224E9</v>
      </c>
    </row>
    <row r="252">
      <c r="A252" s="1">
        <v>31837.0</v>
      </c>
      <c r="B252" s="1">
        <v>10119.0</v>
      </c>
      <c r="C252" s="1">
        <v>1.487727564E9</v>
      </c>
    </row>
    <row r="253">
      <c r="A253" s="1">
        <v>31838.0</v>
      </c>
      <c r="B253" s="1">
        <v>10119.0</v>
      </c>
      <c r="C253" s="1">
        <v>1.487727564E9</v>
      </c>
    </row>
    <row r="254">
      <c r="A254" s="1">
        <v>31848.0</v>
      </c>
      <c r="B254" s="1">
        <v>10119.0</v>
      </c>
      <c r="C254" s="1">
        <v>1.48772824E9</v>
      </c>
    </row>
    <row r="255">
      <c r="A255" s="1">
        <v>31849.0</v>
      </c>
      <c r="B255" s="1">
        <v>10119.0</v>
      </c>
      <c r="C255" s="1">
        <v>1.48772824E9</v>
      </c>
    </row>
    <row r="256">
      <c r="A256" s="1">
        <v>31943.0</v>
      </c>
      <c r="B256" s="1">
        <v>10119.0</v>
      </c>
      <c r="C256" s="1">
        <v>1.488564417E9</v>
      </c>
    </row>
    <row r="257">
      <c r="A257" s="1">
        <v>31944.0</v>
      </c>
      <c r="B257" s="1">
        <v>10119.0</v>
      </c>
      <c r="C257" s="1">
        <v>1.488564418E9</v>
      </c>
    </row>
    <row r="258">
      <c r="A258" s="1">
        <v>31974.0</v>
      </c>
      <c r="B258" s="1">
        <v>10119.0</v>
      </c>
      <c r="C258" s="1">
        <v>1.488566275E9</v>
      </c>
    </row>
    <row r="259">
      <c r="A259" s="1">
        <v>31975.0</v>
      </c>
      <c r="B259" s="1">
        <v>10119.0</v>
      </c>
      <c r="C259" s="1">
        <v>1.488566275E9</v>
      </c>
    </row>
    <row r="260">
      <c r="A260" s="1">
        <v>31985.0</v>
      </c>
      <c r="B260" s="1">
        <v>10119.0</v>
      </c>
      <c r="C260" s="1">
        <v>1.488566457E9</v>
      </c>
    </row>
    <row r="261">
      <c r="A261" s="1">
        <v>31986.0</v>
      </c>
      <c r="B261" s="1">
        <v>10119.0</v>
      </c>
      <c r="C261" s="1">
        <v>1.488566457E9</v>
      </c>
    </row>
    <row r="262">
      <c r="A262" s="1">
        <v>32272.0</v>
      </c>
      <c r="B262" s="1">
        <v>10119.0</v>
      </c>
      <c r="C262" s="1">
        <v>1.488686164E9</v>
      </c>
    </row>
    <row r="263">
      <c r="A263" s="1">
        <v>32273.0</v>
      </c>
      <c r="B263" s="1">
        <v>10119.0</v>
      </c>
      <c r="C263" s="1">
        <v>1.488686164E9</v>
      </c>
    </row>
    <row r="264">
      <c r="A264" s="1">
        <v>32511.0</v>
      </c>
      <c r="B264" s="1">
        <v>10119.0</v>
      </c>
      <c r="C264" s="1">
        <v>1.488748203E9</v>
      </c>
    </row>
    <row r="265">
      <c r="A265" s="1">
        <v>32512.0</v>
      </c>
      <c r="B265" s="1">
        <v>10119.0</v>
      </c>
      <c r="C265" s="1">
        <v>1.488748203E9</v>
      </c>
    </row>
    <row r="266">
      <c r="A266" s="1">
        <v>32546.0</v>
      </c>
      <c r="B266" s="1">
        <v>10119.0</v>
      </c>
      <c r="C266" s="1">
        <v>1.488768453E9</v>
      </c>
    </row>
    <row r="267">
      <c r="A267" s="1">
        <v>32547.0</v>
      </c>
      <c r="B267" s="1">
        <v>10119.0</v>
      </c>
      <c r="C267" s="1">
        <v>1.488768453E9</v>
      </c>
    </row>
    <row r="268">
      <c r="A268" s="1">
        <v>32566.0</v>
      </c>
      <c r="B268" s="1">
        <v>10119.0</v>
      </c>
      <c r="C268" s="1">
        <v>1.48879065E9</v>
      </c>
    </row>
    <row r="269">
      <c r="A269" s="1">
        <v>32567.0</v>
      </c>
      <c r="B269" s="1">
        <v>10119.0</v>
      </c>
      <c r="C269" s="1">
        <v>1.48879065E9</v>
      </c>
    </row>
    <row r="270">
      <c r="A270" s="1">
        <v>32687.0</v>
      </c>
      <c r="B270" s="1">
        <v>10119.0</v>
      </c>
      <c r="C270" s="1">
        <v>1.488817603E9</v>
      </c>
    </row>
    <row r="271">
      <c r="A271" s="1">
        <v>32688.0</v>
      </c>
      <c r="B271" s="1">
        <v>10119.0</v>
      </c>
      <c r="C271" s="1">
        <v>1.488817603E9</v>
      </c>
    </row>
    <row r="272">
      <c r="A272" s="1">
        <v>32748.0</v>
      </c>
      <c r="B272" s="1">
        <v>10162.0</v>
      </c>
      <c r="C272" s="1">
        <v>1.488919E9</v>
      </c>
    </row>
    <row r="273">
      <c r="A273" s="1">
        <v>32749.0</v>
      </c>
      <c r="B273" s="1">
        <v>10162.0</v>
      </c>
      <c r="C273" s="1">
        <v>1.488919E9</v>
      </c>
    </row>
    <row r="274">
      <c r="A274" s="1">
        <v>32804.0</v>
      </c>
      <c r="B274" s="1">
        <v>10119.0</v>
      </c>
      <c r="C274" s="1">
        <v>1.489093346E9</v>
      </c>
    </row>
    <row r="275">
      <c r="A275" s="1">
        <v>32805.0</v>
      </c>
      <c r="B275" s="1">
        <v>10119.0</v>
      </c>
      <c r="C275" s="1">
        <v>1.489093346E9</v>
      </c>
    </row>
    <row r="276">
      <c r="A276" s="1">
        <v>32824.0</v>
      </c>
      <c r="B276" s="1">
        <v>10119.0</v>
      </c>
      <c r="C276" s="1">
        <v>1.489171088E9</v>
      </c>
    </row>
    <row r="277">
      <c r="A277" s="1">
        <v>32825.0</v>
      </c>
      <c r="B277" s="1">
        <v>10119.0</v>
      </c>
      <c r="C277" s="1">
        <v>1.489171088E9</v>
      </c>
    </row>
    <row r="278">
      <c r="A278" s="1">
        <v>32948.0</v>
      </c>
      <c r="B278" s="1">
        <v>10115.0</v>
      </c>
      <c r="C278" s="1">
        <v>1.489772365E9</v>
      </c>
    </row>
    <row r="279">
      <c r="A279" s="1">
        <v>32949.0</v>
      </c>
      <c r="B279" s="1">
        <v>10115.0</v>
      </c>
      <c r="C279" s="1">
        <v>1.489772365E9</v>
      </c>
    </row>
    <row r="280">
      <c r="A280" s="1">
        <v>32956.0</v>
      </c>
      <c r="B280" s="1">
        <v>10115.0</v>
      </c>
      <c r="C280" s="1">
        <v>1.489775142E9</v>
      </c>
    </row>
    <row r="281">
      <c r="A281" s="1">
        <v>32957.0</v>
      </c>
      <c r="B281" s="1">
        <v>10115.0</v>
      </c>
      <c r="C281" s="1">
        <v>1.489775143E9</v>
      </c>
    </row>
    <row r="282">
      <c r="A282" s="1">
        <v>36758.0</v>
      </c>
      <c r="B282" s="1">
        <v>10162.0</v>
      </c>
      <c r="C282" s="1">
        <v>1.490037654E9</v>
      </c>
    </row>
    <row r="283">
      <c r="A283" s="1">
        <v>36759.0</v>
      </c>
      <c r="B283" s="1">
        <v>10162.0</v>
      </c>
      <c r="C283" s="1">
        <v>1.490037654E9</v>
      </c>
    </row>
    <row r="284">
      <c r="A284" s="1">
        <v>43789.0</v>
      </c>
      <c r="B284" s="1">
        <v>10162.0</v>
      </c>
      <c r="C284" s="1">
        <v>1.490703498E9</v>
      </c>
    </row>
    <row r="285">
      <c r="A285" s="1">
        <v>43790.0</v>
      </c>
      <c r="B285" s="1">
        <v>10162.0</v>
      </c>
      <c r="C285" s="1">
        <v>1.490703498E9</v>
      </c>
    </row>
    <row r="286">
      <c r="A286" s="1">
        <v>62151.0</v>
      </c>
      <c r="B286" s="1">
        <v>10162.0</v>
      </c>
      <c r="C286" s="1">
        <v>1.491747102E9</v>
      </c>
    </row>
    <row r="287">
      <c r="A287" s="1">
        <v>62152.0</v>
      </c>
      <c r="B287" s="1">
        <v>10162.0</v>
      </c>
      <c r="C287" s="1">
        <v>1.491747102E9</v>
      </c>
    </row>
    <row r="288">
      <c r="A288" s="1">
        <v>72006.0</v>
      </c>
      <c r="B288" s="1">
        <v>10119.0</v>
      </c>
      <c r="C288" s="1">
        <v>1.492570571E9</v>
      </c>
    </row>
    <row r="289">
      <c r="A289" s="1">
        <v>72007.0</v>
      </c>
      <c r="B289" s="1">
        <v>10119.0</v>
      </c>
      <c r="C289" s="1">
        <v>1.492570571E9</v>
      </c>
    </row>
    <row r="290">
      <c r="A290" s="1">
        <v>73749.0</v>
      </c>
      <c r="B290" s="1">
        <v>10162.0</v>
      </c>
      <c r="C290" s="1">
        <v>1.492713252E9</v>
      </c>
    </row>
    <row r="291">
      <c r="A291" s="1">
        <v>73750.0</v>
      </c>
      <c r="B291" s="1">
        <v>10162.0</v>
      </c>
      <c r="C291" s="1">
        <v>1.492713252E9</v>
      </c>
    </row>
    <row r="292">
      <c r="A292" s="1">
        <v>74753.0</v>
      </c>
      <c r="B292" s="1">
        <v>10119.0</v>
      </c>
      <c r="C292" s="1">
        <v>1.492759269E9</v>
      </c>
    </row>
    <row r="293">
      <c r="A293" s="1">
        <v>74754.0</v>
      </c>
      <c r="B293" s="1">
        <v>10119.0</v>
      </c>
      <c r="C293" s="1">
        <v>1.492759269E9</v>
      </c>
    </row>
    <row r="294">
      <c r="A294" s="1">
        <v>135432.0</v>
      </c>
      <c r="B294" s="1">
        <v>10119.0</v>
      </c>
      <c r="C294" s="1">
        <v>1.497866289E9</v>
      </c>
    </row>
    <row r="295">
      <c r="A295" s="1">
        <v>135433.0</v>
      </c>
      <c r="B295" s="1">
        <v>10119.0</v>
      </c>
      <c r="C295" s="1">
        <v>1.497866289E9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86"/>
    <col customWidth="1" min="2" max="4" width="12.57"/>
    <col customWidth="1" min="5" max="5" width="10.0"/>
    <col customWidth="1" min="6" max="6" width="11.43"/>
    <col customWidth="1" min="7" max="7" width="14.43"/>
    <col customWidth="1" min="8" max="8" width="11.43"/>
    <col customWidth="1" min="9" max="9" width="7.29"/>
    <col customWidth="1" min="10" max="10" width="9.0"/>
    <col customWidth="1" min="11" max="11" width="7.86"/>
    <col customWidth="1" min="12" max="12" width="6.57"/>
    <col customWidth="1" min="13" max="13" width="8.29"/>
    <col customWidth="1" min="14" max="14" width="11.43"/>
    <col customWidth="1" min="15" max="15" width="14.43"/>
    <col customWidth="1" min="16" max="16" width="11.43"/>
    <col customWidth="1" min="17" max="17" width="7.29"/>
    <col customWidth="1" min="18" max="18" width="9.0"/>
    <col customWidth="1" min="19" max="19" width="7.86"/>
    <col customWidth="1" min="20" max="20" width="6.57"/>
    <col customWidth="1" min="21" max="21" width="10.29"/>
    <col customWidth="1" min="22" max="22" width="11.43"/>
    <col customWidth="1" min="23" max="23" width="14.43"/>
    <col customWidth="1" min="24" max="25" width="11.43"/>
    <col customWidth="1" min="26" max="26" width="9.0"/>
    <col customWidth="1" min="27" max="27" width="7.86"/>
    <col customWidth="1" min="28" max="28" width="6.57"/>
    <col customWidth="1" min="29" max="30" width="11.43"/>
    <col customWidth="1" min="31" max="31" width="14.43"/>
    <col customWidth="1" min="32" max="33" width="11.43"/>
    <col customWidth="1" min="34" max="34" width="9.0"/>
    <col customWidth="1" min="35" max="35" width="7.86"/>
    <col customWidth="1" min="36" max="36" width="6.57"/>
    <col customWidth="1" min="37" max="37" width="10.29"/>
  </cols>
  <sheetData>
    <row r="1">
      <c r="A1" s="2" t="s">
        <v>0</v>
      </c>
      <c r="B1" s="3" t="s">
        <v>5</v>
      </c>
      <c r="C1" s="4" t="s">
        <v>6</v>
      </c>
      <c r="D1" s="3" t="s">
        <v>7</v>
      </c>
      <c r="E1" s="3" t="s">
        <v>8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1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 t="s">
        <v>87</v>
      </c>
      <c r="AA1" s="2" t="s">
        <v>88</v>
      </c>
      <c r="AB1" s="12" t="s">
        <v>89</v>
      </c>
      <c r="AC1" s="2" t="s">
        <v>90</v>
      </c>
      <c r="AD1" s="2" t="s">
        <v>91</v>
      </c>
      <c r="AE1" s="2" t="s">
        <v>92</v>
      </c>
      <c r="AF1" s="2" t="s">
        <v>93</v>
      </c>
      <c r="AG1" s="2" t="s">
        <v>94</v>
      </c>
      <c r="AH1" s="2" t="s">
        <v>95</v>
      </c>
      <c r="AI1" s="2" t="s">
        <v>96</v>
      </c>
      <c r="AJ1" s="2" t="s">
        <v>97</v>
      </c>
      <c r="AK1" s="5" t="s">
        <v>98</v>
      </c>
      <c r="AL1" s="5"/>
      <c r="AM1" s="6"/>
      <c r="AN1" s="6"/>
      <c r="AO1" s="5"/>
      <c r="AP1" s="5"/>
      <c r="AQ1" s="5"/>
      <c r="AR1" s="5"/>
      <c r="AS1" s="6"/>
      <c r="AT1" s="6"/>
      <c r="AU1" s="6"/>
    </row>
    <row r="2">
      <c r="A2" s="7">
        <v>10119.0</v>
      </c>
      <c r="B2" s="3" t="s">
        <v>45</v>
      </c>
      <c r="C2" s="3" t="s">
        <v>46</v>
      </c>
      <c r="D2" s="3" t="s">
        <v>47</v>
      </c>
      <c r="E2" s="3" t="s">
        <v>48</v>
      </c>
      <c r="F2" s="2">
        <f>IFERROR(__xludf.DUMMYFUNCTION("IFERROR(MAX(FILTER('PretestData (Loggedin)'!C:C,'PretestData (Loggedin)'!B:B=A2,'PretestData (Loggedin)'!C:C&lt;G2)),0)"),"1478905920")</f>
        <v>1478905920</v>
      </c>
      <c r="G2" s="2">
        <f>IFERROR(__xludf.DUMMYFUNCTION("IFERROR(MIN(FILTER({'PretestData (Submission)'!E:E}, 'PretestData (Submission)'!D:D=A2, 'PretestData (Submission)'!A:A=401, 'PretestData (Submission)'!E:E&gt;0)),0)"),"1478906632")</f>
        <v>1478906632</v>
      </c>
      <c r="H2" s="2">
        <f>IFERROR(__xludf.DUMMYFUNCTION("IFERROR(MIN(FILTER('PretestData (ViewVPL)'!D:D, 'PretestData (ViewVPL)'!C:C=A2, 'PretestData (ViewVPL)'!B:B=401,'PretestData (ViewVPL)'!D:D&gt;F2,'PretestData (ViewVPL)'!D:D&lt;G2)),0)"),"1478906578")</f>
        <v>1478906578</v>
      </c>
      <c r="I2" s="2">
        <f>IFERROR(__xludf.DUMMYFUNCTION("IFERROR(MAX(FILTER({'PretestData (Submission)'!E:E}, 'PretestData (Submission)'!D:D=A2, 'PretestData (Submission)'!A:A=401))-H2, 0)"),"54")</f>
        <v>54</v>
      </c>
      <c r="J2" s="2">
        <f>COUNTIFS('PretestData (Submission)'!D:D,"="&amp;A2,'PretestData (Submission)'!A:A,"=401",'PretestData (Submission)'!E:E,"&gt;0")</f>
        <v>1</v>
      </c>
      <c r="K2" s="2">
        <f>COUNTIFS('PretestData (Submission)'!D:D,"="&amp;A2,'PretestData (Submission)'!A:A,"=401",'PretestData (Submission)'!H:H,"&gt;0")</f>
        <v>1</v>
      </c>
      <c r="L2" s="2">
        <f>IFERROR(__xludf.DUMMYFUNCTION("IFERROR(MAX(FILTER('PretestData (Submission)'!I:I,'PretestData (Submission)'!D:D=A2,'PretestData (Submission)'!A:A=401,'PretestData (Submission)'!H:H&gt;0)),0)"),"0")</f>
        <v>0</v>
      </c>
      <c r="M2" s="8">
        <f>COUNTIFS('PretestData (ViewVPL)'!C:C,"="&amp;A2,'PretestData (ViewVPL)'!B:B,"=401")</f>
        <v>3</v>
      </c>
      <c r="N2" s="13">
        <f>IFERROR(__xludf.DUMMYFUNCTION("IFERROR(MAX(FILTER('PretestData (Loggedin)'!C:C,'PretestData (Loggedin)'!B:B=A2,'PretestData (Loggedin)'!C:C&lt;O2)),0)"),"1478905920")</f>
        <v>1478905920</v>
      </c>
      <c r="O2" s="13">
        <f>IFERROR(__xludf.DUMMYFUNCTION("IFERROR(MIN(FILTER({'PretestData (Submission)'!E:E}, 'PretestData (Submission)'!D:D=A2, 'PretestData (Submission)'!A:A=403, 'PretestData (Submission)'!E:E&gt;0)),0)"),"1478907614")</f>
        <v>1478907614</v>
      </c>
      <c r="P2" s="13">
        <f>IFERROR(__xludf.DUMMYFUNCTION("IFERROR(MIN(FILTER('PretestData (ViewVPL)'!D:D, 'PretestData (ViewVPL)'!C:C=A2, 'PretestData (ViewVPL)'!B:B=403,'PretestData (ViewVPL)'!D:D&gt;N2,'PretestData (ViewVPL)'!D:D&lt;O2)),0)"),"1478907609")</f>
        <v>1478907609</v>
      </c>
      <c r="Q2" s="13">
        <f>IFERROR(__xludf.DUMMYFUNCTION("IFERROR(MAX(FILTER({'PretestData (Submission)'!E:E}, 'PretestData (Submission)'!D:D=A2, 'PretestData (Submission)'!A:A=403))-P2,0)"),"1021")</f>
        <v>1021</v>
      </c>
      <c r="R2" s="13">
        <f>COUNTIFS('PretestData (Submission)'!D:D,"="&amp;A2,'PretestData (Submission)'!A:A,"=403",'PretestData (Submission)'!E:E,"&gt;0")</f>
        <v>3</v>
      </c>
      <c r="S2" s="13">
        <f>COUNTIFS('PretestData (Submission)'!D:D,"="&amp;A2,'PretestData (Submission)'!A:A,"=403",'PretestData (Submission)'!H:H,"&gt;0")</f>
        <v>1</v>
      </c>
      <c r="T2" s="13">
        <f>IFERROR(__xludf.DUMMYFUNCTION("IFERROR(MAX(FILTER('PretestData (Submission)'!I:I,'PretestData (Submission)'!D:D=A2,'PretestData (Submission)'!A:A=403,'PretestData (Submission)'!H:H&gt;0)),0)"),"0")</f>
        <v>0</v>
      </c>
      <c r="U2" s="8">
        <f>COUNTIFS('PretestData (ViewVPL)'!C:C,"="&amp;A2,'PretestData (ViewVPL)'!B:B,"=403")</f>
        <v>5</v>
      </c>
      <c r="V2" s="13">
        <f>IFERROR(__xludf.DUMMYFUNCTION("IFERROR(MAX(FILTER('PretestData (Loggedin)'!C:C,'PretestData (Loggedin)'!B:B=A2,'PretestData (Loggedin)'!C:C&lt;W2)),0)"),"0")</f>
        <v>0</v>
      </c>
      <c r="W2" s="13">
        <f>IFERROR(__xludf.DUMMYFUNCTION("IFERROR(MIN(FILTER({'PretestData (Submission)'!E:E}, 'PretestData (Submission)'!D:D=A2, 'PretestData (Submission)'!A:A=404, 'PretestData (Submission)'!E:E&gt;0)),0)"),"0")</f>
        <v>0</v>
      </c>
      <c r="X2" s="13">
        <f>IFERROR(__xludf.DUMMYFUNCTION("IFERROR(MIN(FILTER('PretestData (ViewVPL)'!D:D, 'PretestData (ViewVPL)'!C:C=A2, 'PretestData (ViewVPL)'!B:B=404,'PretestData (ViewVPL)'!D:D&gt;V2,'PretestData (ViewVPL)'!D:D&lt;W2)),0)"),"0")</f>
        <v>0</v>
      </c>
      <c r="Y2" s="13">
        <f>IFERROR(__xludf.DUMMYFUNCTION("IFERROR(MAX(FILTER({'PretestData (Submission)'!E:E}, 'PretestData (Submission)'!D:D=A2, 'PretestData (Submission)'!A:A=404))-X2,0)"),"0")</f>
        <v>0</v>
      </c>
      <c r="Z2" s="13">
        <f>COUNTIFS('PretestData (Submission)'!D:D,"="&amp;A2,'PretestData (Submission)'!A:A,"=404",'PretestData (Submission)'!E:E,"&gt;0")</f>
        <v>0</v>
      </c>
      <c r="AA2" s="13">
        <f>COUNTIFS('PretestData (Submission)'!D:D,"="&amp;A2,'PretestData (Submission)'!A:A,"=404",'PretestData (Submission)'!H:H,"&gt;0")</f>
        <v>0</v>
      </c>
      <c r="AB2" s="13">
        <f>IFERROR(__xludf.DUMMYFUNCTION("IFERROR(MAX(FILTER('PretestData (Submission)'!I:I,'PretestData (Submission)'!D:D=A2,'PretestData (Submission)'!A:A=404,'PretestData (Submission)'!H:H&gt;0)),0)"),"0")</f>
        <v>0</v>
      </c>
      <c r="AC2" s="13">
        <f>COUNTIFS('PretestData (ViewVPL)'!C:C,"="&amp;A2,'PretestData (ViewVPL)'!B:B,"=404")</f>
        <v>2</v>
      </c>
      <c r="AD2" s="13">
        <f>IFERROR(__xludf.DUMMYFUNCTION("IFERROR(MAX(FILTER('PretestData (Loggedin)'!C:C,'PretestData (Loggedin)'!B:B=A2,'PretestData (Loggedin)'!C:C&lt;AE2)),0)"),"0")</f>
        <v>0</v>
      </c>
      <c r="AE2" s="13">
        <f>IFERROR(__xludf.DUMMYFUNCTION("IFERROR(MIN(FILTER({'PretestData (Submission)'!E:E}, 'PretestData (Submission)'!D:D=A2, 'PretestData (Submission)'!A:A=405, 'PretestData (Submission)'!E:E&gt;0)),0)"),"0")</f>
        <v>0</v>
      </c>
      <c r="AF2" s="13">
        <f>IFERROR(__xludf.DUMMYFUNCTION("IFERROR(MIN(FILTER('PretestData (ViewVPL)'!D:D, 'PretestData (ViewVPL)'!C:C=A2, 'PretestData (ViewVPL)'!B:B=405,'PretestData (ViewVPL)'!D:D&gt;AD2,'PretestData (ViewVPL)'!D:D&lt;AE2)),0)"),"0")</f>
        <v>0</v>
      </c>
      <c r="AG2" s="8">
        <f>IFERROR(__xludf.DUMMYFUNCTION("IFERROR(MAX(FILTER({'PretestData (Submission)'!E:E}, 'PretestData (Submission)'!D:D=A2, 'PretestData (Submission)'!A:A=405))-AF2,0)"),"0")</f>
        <v>0</v>
      </c>
      <c r="AH2" s="8">
        <f>COUNTIFS('PretestData (Submission)'!D:D,"="&amp;A2,'PretestData (Submission)'!A:A,"=405",'PretestData (Submission)'!E:E,"&gt;0")</f>
        <v>0</v>
      </c>
      <c r="AI2" s="8">
        <f>COUNTIFS('PretestData (Submission)'!D:D,"="&amp;A2,'PretestData (Submission)'!A:A,"=405",'PretestData (Submission)'!H:H,"&gt;0")</f>
        <v>0</v>
      </c>
      <c r="AJ2" s="8">
        <f>IFERROR(__xludf.DUMMYFUNCTION("IFERROR(MAX(FILTER('PretestData (Submission)'!I:I,'PretestData (Submission)'!D:D=A2,'PretestData (Submission)'!A:A=405,'PretestData (Submission)'!H:H&gt;0)),0)"),"0")</f>
        <v>0</v>
      </c>
      <c r="AK2" s="8">
        <f>COUNTIFS('PretestData (ViewVPL)'!C:C,"="&amp;A2,'PretestData (ViewVPL)'!B:B,"=405")</f>
        <v>1</v>
      </c>
      <c r="AL2" s="8"/>
      <c r="AM2" s="11"/>
      <c r="AN2" s="11"/>
      <c r="AO2" s="8"/>
      <c r="AP2" s="8"/>
      <c r="AQ2" s="8"/>
      <c r="AR2" s="8"/>
      <c r="AS2" s="11"/>
      <c r="AT2" s="11"/>
      <c r="AU2" s="11"/>
    </row>
    <row r="3">
      <c r="A3" s="7">
        <v>10139.0</v>
      </c>
      <c r="B3" s="3" t="s">
        <v>45</v>
      </c>
      <c r="C3" s="3" t="s">
        <v>46</v>
      </c>
      <c r="D3" s="3" t="s">
        <v>63</v>
      </c>
      <c r="E3" s="3" t="s">
        <v>48</v>
      </c>
      <c r="F3" s="2">
        <f>IFERROR(__xludf.DUMMYFUNCTION("IFERROR(MAX(FILTER('PretestData (Loggedin)'!C:C,'PretestData (Loggedin)'!B:B=A3,'PretestData (Loggedin)'!C:C&lt;G3)),0)"),"0")</f>
        <v>0</v>
      </c>
      <c r="G3" s="2">
        <f>IFERROR(__xludf.DUMMYFUNCTION("IFERROR(MIN(FILTER({'PretestData (Submission)'!E:E}, 'PretestData (Submission)'!D:D=A3, 'PretestData (Submission)'!A:A=401, 'PretestData (Submission)'!E:E&gt;0)),0)"),"0")</f>
        <v>0</v>
      </c>
      <c r="H3" s="2">
        <f>IFERROR(__xludf.DUMMYFUNCTION("IFERROR(MIN(FILTER('PretestData (ViewVPL)'!D:D, 'PretestData (ViewVPL)'!C:C=A3, 'PretestData (ViewVPL)'!B:B=401,'PretestData (ViewVPL)'!D:D&gt;F3,'PretestData (ViewVPL)'!D:D&lt;G3)),0)"),"0")</f>
        <v>0</v>
      </c>
      <c r="I3" s="2">
        <f>IFERROR(__xludf.DUMMYFUNCTION("IFERROR(MAX(FILTER({'PretestData (Submission)'!E:E}, 'PretestData (Submission)'!D:D=A3, 'PretestData (Submission)'!A:A=401))-H3, 0)"),"0")</f>
        <v>0</v>
      </c>
      <c r="J3" s="2">
        <f>COUNTIFS('PretestData (Submission)'!D:D,"="&amp;A3,'PretestData (Submission)'!A:A,"=401",'PretestData (Submission)'!E:E,"&gt;0")</f>
        <v>0</v>
      </c>
      <c r="K3" s="2">
        <f>COUNTIFS('PretestData (Submission)'!D:D,"="&amp;A3,'PretestData (Submission)'!A:A,"=401",'PretestData (Submission)'!H:H,"&gt;0")</f>
        <v>0</v>
      </c>
      <c r="L3" s="2">
        <f>IFERROR(__xludf.DUMMYFUNCTION("IFERROR(MAX(FILTER('PretestData (Submission)'!I:I,'PretestData (Submission)'!D:D=A3,'PretestData (Submission)'!A:A=401,'PretestData (Submission)'!H:H&gt;0)),0)"),"0")</f>
        <v>0</v>
      </c>
      <c r="M3" s="8">
        <f>COUNTIFS('PretestData (ViewVPL)'!C:C,"="&amp;A3,'PretestData (ViewVPL)'!B:B,"=401")</f>
        <v>1</v>
      </c>
      <c r="N3" s="13">
        <f>IFERROR(__xludf.DUMMYFUNCTION("IFERROR(MAX(FILTER('PretestData (Loggedin)'!C:C,'PretestData (Loggedin)'!B:B=A3,'PretestData (Loggedin)'!C:C&lt;O3)),0)"),"0")</f>
        <v>0</v>
      </c>
      <c r="O3" s="13">
        <f>IFERROR(__xludf.DUMMYFUNCTION("IFERROR(MIN(FILTER({'PretestData (Submission)'!E:E}, 'PretestData (Submission)'!D:D=A3, 'PretestData (Submission)'!A:A=403, 'PretestData (Submission)'!E:E&gt;0)),0)"),"0")</f>
        <v>0</v>
      </c>
      <c r="P3" s="13">
        <f>IFERROR(__xludf.DUMMYFUNCTION("IFERROR(MIN(FILTER('PretestData (ViewVPL)'!D:D, 'PretestData (ViewVPL)'!C:C=A3, 'PretestData (ViewVPL)'!B:B=403,'PretestData (ViewVPL)'!D:D&gt;N3,'PretestData (ViewVPL)'!D:D&lt;O3)),0)"),"0")</f>
        <v>0</v>
      </c>
      <c r="Q3" s="13">
        <f>IFERROR(__xludf.DUMMYFUNCTION("IFERROR(MAX(FILTER({'PretestData (Submission)'!E:E}, 'PretestData (Submission)'!D:D=A3, 'PretestData (Submission)'!A:A=403))-P3,0)"),"0")</f>
        <v>0</v>
      </c>
      <c r="R3" s="13">
        <f>COUNTIFS('PretestData (Submission)'!D:D,"="&amp;A3,'PretestData (Submission)'!A:A,"=403",'PretestData (Submission)'!E:E,"&gt;0")</f>
        <v>0</v>
      </c>
      <c r="S3" s="13">
        <f>COUNTIFS('PretestData (Submission)'!D:D,"="&amp;A3,'PretestData (Submission)'!A:A,"=403",'PretestData (Submission)'!H:H,"&gt;0")</f>
        <v>0</v>
      </c>
      <c r="T3" s="13">
        <f>IFERROR(__xludf.DUMMYFUNCTION("IFERROR(MAX(FILTER('PretestData (Submission)'!I:I,'PretestData (Submission)'!D:D=A3,'PretestData (Submission)'!A:A=403,'PretestData (Submission)'!H:H&gt;0)),0)"),"0")</f>
        <v>0</v>
      </c>
      <c r="U3" s="8">
        <f>COUNTIFS('PretestData (ViewVPL)'!C:C,"="&amp;A3,'PretestData (ViewVPL)'!B:B,"=403")</f>
        <v>0</v>
      </c>
      <c r="V3" s="13">
        <f>IFERROR(__xludf.DUMMYFUNCTION("IFERROR(MAX(FILTER('PretestData (Loggedin)'!C:C,'PretestData (Loggedin)'!B:B=A3,'PretestData (Loggedin)'!C:C&lt;W3)),0)"),"0")</f>
        <v>0</v>
      </c>
      <c r="W3" s="13">
        <f>IFERROR(__xludf.DUMMYFUNCTION("IFERROR(MIN(FILTER({'PretestData (Submission)'!E:E}, 'PretestData (Submission)'!D:D=A3, 'PretestData (Submission)'!A:A=404, 'PretestData (Submission)'!E:E&gt;0)),0)"),"0")</f>
        <v>0</v>
      </c>
      <c r="X3" s="13">
        <f>IFERROR(__xludf.DUMMYFUNCTION("IFERROR(MIN(FILTER('PretestData (ViewVPL)'!D:D, 'PretestData (ViewVPL)'!C:C=A3, 'PretestData (ViewVPL)'!B:B=404,'PretestData (ViewVPL)'!D:D&gt;V3,'PretestData (ViewVPL)'!D:D&lt;W3)),0)"),"0")</f>
        <v>0</v>
      </c>
      <c r="Y3" s="13">
        <f>IFERROR(__xludf.DUMMYFUNCTION("IFERROR(MAX(FILTER({'PretestData (Submission)'!E:E}, 'PretestData (Submission)'!D:D=A3, 'PretestData (Submission)'!A:A=404))-X3,0)"),"0")</f>
        <v>0</v>
      </c>
      <c r="Z3" s="13">
        <f>COUNTIFS('PretestData (Submission)'!D:D,"="&amp;A3,'PretestData (Submission)'!A:A,"=404",'PretestData (Submission)'!E:E,"&gt;0")</f>
        <v>0</v>
      </c>
      <c r="AA3" s="13">
        <f>COUNTIFS('PretestData (Submission)'!D:D,"="&amp;A3,'PretestData (Submission)'!A:A,"=404",'PretestData (Submission)'!H:H,"&gt;0")</f>
        <v>0</v>
      </c>
      <c r="AB3" s="13">
        <f>IFERROR(__xludf.DUMMYFUNCTION("IFERROR(MAX(FILTER('PretestData (Submission)'!I:I,'PretestData (Submission)'!D:D=A3,'PretestData (Submission)'!A:A=404,'PretestData (Submission)'!H:H&gt;0)),0)"),"0")</f>
        <v>0</v>
      </c>
      <c r="AC3" s="13">
        <f>COUNTIFS('PretestData (ViewVPL)'!C:C,"="&amp;A3,'PretestData (ViewVPL)'!B:B,"=404")</f>
        <v>0</v>
      </c>
      <c r="AD3" s="13">
        <f>IFERROR(__xludf.DUMMYFUNCTION("IFERROR(MAX(FILTER('PretestData (Loggedin)'!C:C,'PretestData (Loggedin)'!B:B=A3,'PretestData (Loggedin)'!C:C&lt;AE3)),0)"),"0")</f>
        <v>0</v>
      </c>
      <c r="AE3" s="13">
        <f>IFERROR(__xludf.DUMMYFUNCTION("IFERROR(MIN(FILTER({'PretestData (Submission)'!E:E}, 'PretestData (Submission)'!D:D=A3, 'PretestData (Submission)'!A:A=405, 'PretestData (Submission)'!E:E&gt;0)),0)"),"0")</f>
        <v>0</v>
      </c>
      <c r="AF3" s="13">
        <f>IFERROR(__xludf.DUMMYFUNCTION("IFERROR(MIN(FILTER('PretestData (ViewVPL)'!D:D, 'PretestData (ViewVPL)'!C:C=A3, 'PretestData (ViewVPL)'!B:B=405,'PretestData (ViewVPL)'!D:D&gt;AD3,'PretestData (ViewVPL)'!D:D&lt;AE3)),0)"),"0")</f>
        <v>0</v>
      </c>
      <c r="AG3" s="8">
        <f>IFERROR(__xludf.DUMMYFUNCTION("IFERROR(MAX(FILTER({'PretestData (Submission)'!E:E}, 'PretestData (Submission)'!D:D=A3, 'PretestData (Submission)'!A:A=405))-AF3,0)"),"0")</f>
        <v>0</v>
      </c>
      <c r="AH3" s="8">
        <f>COUNTIFS('PretestData (Submission)'!D:D,"="&amp;A3,'PretestData (Submission)'!A:A,"=405",'PretestData (Submission)'!E:E,"&gt;0")</f>
        <v>0</v>
      </c>
      <c r="AI3" s="8">
        <f>COUNTIFS('PretestData (Submission)'!D:D,"="&amp;A3,'PretestData (Submission)'!A:A,"=405",'PretestData (Submission)'!H:H,"&gt;0")</f>
        <v>0</v>
      </c>
      <c r="AJ3" s="8">
        <f>IFERROR(__xludf.DUMMYFUNCTION("IFERROR(MAX(FILTER('PretestData (Submission)'!I:I,'PretestData (Submission)'!D:D=A3,'PretestData (Submission)'!A:A=405,'PretestData (Submission)'!H:H&gt;0)),0)"),"0")</f>
        <v>0</v>
      </c>
      <c r="AK3" s="8">
        <f>COUNTIFS('PretestData (ViewVPL)'!C:C,"="&amp;A3,'PretestData (ViewVPL)'!B:B,"=405")</f>
        <v>0</v>
      </c>
      <c r="AL3" s="8"/>
      <c r="AM3" s="11"/>
      <c r="AN3" s="11"/>
      <c r="AO3" s="8"/>
      <c r="AP3" s="8"/>
      <c r="AQ3" s="8"/>
      <c r="AR3" s="8"/>
      <c r="AS3" s="11"/>
      <c r="AT3" s="11"/>
      <c r="AU3" s="11"/>
    </row>
    <row r="4">
      <c r="A4" s="7">
        <v>10131.0</v>
      </c>
      <c r="B4" s="3" t="s">
        <v>45</v>
      </c>
      <c r="C4" s="3" t="s">
        <v>46</v>
      </c>
      <c r="D4" s="3" t="s">
        <v>63</v>
      </c>
      <c r="E4" s="3" t="s">
        <v>48</v>
      </c>
      <c r="F4" s="2">
        <f>IFERROR(__xludf.DUMMYFUNCTION("IFERROR(MAX(FILTER('PretestData (Loggedin)'!C:C,'PretestData (Loggedin)'!B:B=A4,'PretestData (Loggedin)'!C:C&lt;G4)),0)"),"0")</f>
        <v>0</v>
      </c>
      <c r="G4" s="2">
        <f>IFERROR(__xludf.DUMMYFUNCTION("IFERROR(MIN(FILTER({'PretestData (Submission)'!E:E}, 'PretestData (Submission)'!D:D=A4, 'PretestData (Submission)'!A:A=401, 'PretestData (Submission)'!E:E&gt;0)),0)"),"0")</f>
        <v>0</v>
      </c>
      <c r="H4" s="2">
        <f>IFERROR(__xludf.DUMMYFUNCTION("IFERROR(MIN(FILTER('PretestData (ViewVPL)'!D:D, 'PretestData (ViewVPL)'!C:C=A4, 'PretestData (ViewVPL)'!B:B=401,'PretestData (ViewVPL)'!D:D&gt;F4,'PretestData (ViewVPL)'!D:D&lt;G4)),0)"),"0")</f>
        <v>0</v>
      </c>
      <c r="I4" s="2">
        <f>IFERROR(__xludf.DUMMYFUNCTION("IFERROR(MAX(FILTER({'PretestData (Submission)'!E:E}, 'PretestData (Submission)'!D:D=A4, 'PretestData (Submission)'!A:A=401))-H4, 0)"),"0")</f>
        <v>0</v>
      </c>
      <c r="J4" s="2">
        <f>COUNTIFS('PretestData (Submission)'!D:D,"="&amp;A4,'PretestData (Submission)'!A:A,"=401",'PretestData (Submission)'!E:E,"&gt;0")</f>
        <v>0</v>
      </c>
      <c r="K4" s="2">
        <f>COUNTIFS('PretestData (Submission)'!D:D,"="&amp;A4,'PretestData (Submission)'!A:A,"=401",'PretestData (Submission)'!H:H,"&gt;0")</f>
        <v>0</v>
      </c>
      <c r="L4" s="2">
        <f>IFERROR(__xludf.DUMMYFUNCTION("IFERROR(MAX(FILTER('PretestData (Submission)'!I:I,'PretestData (Submission)'!D:D=A4,'PretestData (Submission)'!A:A=401,'PretestData (Submission)'!H:H&gt;0)),0)"),"0")</f>
        <v>0</v>
      </c>
      <c r="M4" s="8">
        <f>COUNTIFS('PretestData (ViewVPL)'!C:C,"="&amp;A4,'PretestData (ViewVPL)'!B:B,"=401")</f>
        <v>2</v>
      </c>
      <c r="N4" s="13">
        <f>IFERROR(__xludf.DUMMYFUNCTION("IFERROR(MAX(FILTER('PretestData (Loggedin)'!C:C,'PretestData (Loggedin)'!B:B=A4,'PretestData (Loggedin)'!C:C&lt;O4)),0)"),"0")</f>
        <v>0</v>
      </c>
      <c r="O4" s="13">
        <f>IFERROR(__xludf.DUMMYFUNCTION("IFERROR(MIN(FILTER({'PretestData (Submission)'!E:E}, 'PretestData (Submission)'!D:D=A4, 'PretestData (Submission)'!A:A=403, 'PretestData (Submission)'!E:E&gt;0)),0)"),"0")</f>
        <v>0</v>
      </c>
      <c r="P4" s="13">
        <f>IFERROR(__xludf.DUMMYFUNCTION("IFERROR(MIN(FILTER('PretestData (ViewVPL)'!D:D, 'PretestData (ViewVPL)'!C:C=A4, 'PretestData (ViewVPL)'!B:B=403,'PretestData (ViewVPL)'!D:D&gt;N4,'PretestData (ViewVPL)'!D:D&lt;O4)),0)"),"0")</f>
        <v>0</v>
      </c>
      <c r="Q4" s="13">
        <f>IFERROR(__xludf.DUMMYFUNCTION("IFERROR(MAX(FILTER({'PretestData (Submission)'!E:E}, 'PretestData (Submission)'!D:D=A4, 'PretestData (Submission)'!A:A=403))-P4,0)"),"0")</f>
        <v>0</v>
      </c>
      <c r="R4" s="13">
        <f>COUNTIFS('PretestData (Submission)'!D:D,"="&amp;A4,'PretestData (Submission)'!A:A,"=403",'PretestData (Submission)'!E:E,"&gt;0")</f>
        <v>0</v>
      </c>
      <c r="S4" s="13">
        <f>COUNTIFS('PretestData (Submission)'!D:D,"="&amp;A4,'PretestData (Submission)'!A:A,"=403",'PretestData (Submission)'!H:H,"&gt;0")</f>
        <v>0</v>
      </c>
      <c r="T4" s="13">
        <f>IFERROR(__xludf.DUMMYFUNCTION("IFERROR(MAX(FILTER('PretestData (Submission)'!I:I,'PretestData (Submission)'!D:D=A4,'PretestData (Submission)'!A:A=403,'PretestData (Submission)'!H:H&gt;0)),0)"),"0")</f>
        <v>0</v>
      </c>
      <c r="U4" s="8">
        <f>COUNTIFS('PretestData (ViewVPL)'!C:C,"="&amp;A4,'PretestData (ViewVPL)'!B:B,"=403")</f>
        <v>0</v>
      </c>
      <c r="V4" s="13">
        <f>IFERROR(__xludf.DUMMYFUNCTION("IFERROR(MAX(FILTER('PretestData (Loggedin)'!C:C,'PretestData (Loggedin)'!B:B=A4,'PretestData (Loggedin)'!C:C&lt;W4)),0)"),"0")</f>
        <v>0</v>
      </c>
      <c r="W4" s="13">
        <f>IFERROR(__xludf.DUMMYFUNCTION("IFERROR(MIN(FILTER({'PretestData (Submission)'!E:E}, 'PretestData (Submission)'!D:D=A4, 'PretestData (Submission)'!A:A=404, 'PretestData (Submission)'!E:E&gt;0)),0)"),"0")</f>
        <v>0</v>
      </c>
      <c r="X4" s="13">
        <f>IFERROR(__xludf.DUMMYFUNCTION("IFERROR(MIN(FILTER('PretestData (ViewVPL)'!D:D, 'PretestData (ViewVPL)'!C:C=A4, 'PretestData (ViewVPL)'!B:B=404,'PretestData (ViewVPL)'!D:D&gt;V4,'PretestData (ViewVPL)'!D:D&lt;W4)),0)"),"0")</f>
        <v>0</v>
      </c>
      <c r="Y4" s="13">
        <f>IFERROR(__xludf.DUMMYFUNCTION("IFERROR(MAX(FILTER({'PretestData (Submission)'!E:E}, 'PretestData (Submission)'!D:D=A4, 'PretestData (Submission)'!A:A=404))-X4,0)"),"0")</f>
        <v>0</v>
      </c>
      <c r="Z4" s="13">
        <f>COUNTIFS('PretestData (Submission)'!D:D,"="&amp;A4,'PretestData (Submission)'!A:A,"=404",'PretestData (Submission)'!E:E,"&gt;0")</f>
        <v>0</v>
      </c>
      <c r="AA4" s="13">
        <f>COUNTIFS('PretestData (Submission)'!D:D,"="&amp;A4,'PretestData (Submission)'!A:A,"=404",'PretestData (Submission)'!H:H,"&gt;0")</f>
        <v>0</v>
      </c>
      <c r="AB4" s="13">
        <f>IFERROR(__xludf.DUMMYFUNCTION("IFERROR(MAX(FILTER('PretestData (Submission)'!I:I,'PretestData (Submission)'!D:D=A4,'PretestData (Submission)'!A:A=404,'PretestData (Submission)'!H:H&gt;0)),0)"),"0")</f>
        <v>0</v>
      </c>
      <c r="AC4" s="13">
        <f>COUNTIFS('PretestData (ViewVPL)'!C:C,"="&amp;A4,'PretestData (ViewVPL)'!B:B,"=404")</f>
        <v>0</v>
      </c>
      <c r="AD4" s="13">
        <f>IFERROR(__xludf.DUMMYFUNCTION("IFERROR(MAX(FILTER('PretestData (Loggedin)'!C:C,'PretestData (Loggedin)'!B:B=A4,'PretestData (Loggedin)'!C:C&lt;AE4)),0)"),"0")</f>
        <v>0</v>
      </c>
      <c r="AE4" s="13">
        <f>IFERROR(__xludf.DUMMYFUNCTION("IFERROR(MIN(FILTER({'PretestData (Submission)'!E:E}, 'PretestData (Submission)'!D:D=A4, 'PretestData (Submission)'!A:A=405, 'PretestData (Submission)'!E:E&gt;0)),0)"),"0")</f>
        <v>0</v>
      </c>
      <c r="AF4" s="13">
        <f>IFERROR(__xludf.DUMMYFUNCTION("IFERROR(MIN(FILTER('PretestData (ViewVPL)'!D:D, 'PretestData (ViewVPL)'!C:C=A4, 'PretestData (ViewVPL)'!B:B=405,'PretestData (ViewVPL)'!D:D&gt;AD4,'PretestData (ViewVPL)'!D:D&lt;AE4)),0)"),"0")</f>
        <v>0</v>
      </c>
      <c r="AG4" s="8">
        <f>IFERROR(__xludf.DUMMYFUNCTION("IFERROR(MAX(FILTER({'PretestData (Submission)'!E:E}, 'PretestData (Submission)'!D:D=A4, 'PretestData (Submission)'!A:A=405))-AF4,0)"),"0")</f>
        <v>0</v>
      </c>
      <c r="AH4" s="8">
        <f>COUNTIFS('PretestData (Submission)'!D:D,"="&amp;A4,'PretestData (Submission)'!A:A,"=405",'PretestData (Submission)'!E:E,"&gt;0")</f>
        <v>0</v>
      </c>
      <c r="AI4" s="8">
        <f>COUNTIFS('PretestData (Submission)'!D:D,"="&amp;A4,'PretestData (Submission)'!A:A,"=405",'PretestData (Submission)'!H:H,"&gt;0")</f>
        <v>0</v>
      </c>
      <c r="AJ4" s="8">
        <f>IFERROR(__xludf.DUMMYFUNCTION("IFERROR(MAX(FILTER('PretestData (Submission)'!I:I,'PretestData (Submission)'!D:D=A4,'PretestData (Submission)'!A:A=405,'PretestData (Submission)'!H:H&gt;0)),0)"),"0")</f>
        <v>0</v>
      </c>
      <c r="AK4" s="8">
        <f>COUNTIFS('PretestData (ViewVPL)'!C:C,"="&amp;A4,'PretestData (ViewVPL)'!B:B,"=405")</f>
        <v>0</v>
      </c>
      <c r="AL4" s="8"/>
      <c r="AM4" s="11"/>
      <c r="AN4" s="11"/>
      <c r="AO4" s="8"/>
      <c r="AP4" s="8"/>
      <c r="AQ4" s="8"/>
      <c r="AR4" s="8"/>
      <c r="AS4" s="11"/>
      <c r="AT4" s="11"/>
      <c r="AU4" s="11"/>
    </row>
    <row r="5">
      <c r="A5" s="7">
        <v>10147.0</v>
      </c>
      <c r="B5" s="3" t="s">
        <v>45</v>
      </c>
      <c r="C5" s="3" t="s">
        <v>46</v>
      </c>
      <c r="D5" s="3" t="s">
        <v>63</v>
      </c>
      <c r="E5" s="3" t="s">
        <v>48</v>
      </c>
      <c r="F5" s="2">
        <f>IFERROR(__xludf.DUMMYFUNCTION("IFERROR(MAX(FILTER('PretestData (Loggedin)'!C:C,'PretestData (Loggedin)'!B:B=A5,'PretestData (Loggedin)'!C:C&lt;G5)),0)"),"1478906393")</f>
        <v>1478906393</v>
      </c>
      <c r="G5" s="2">
        <f>IFERROR(__xludf.DUMMYFUNCTION("IFERROR(MIN(FILTER({'PretestData (Submission)'!E:E}, 'PretestData (Submission)'!D:D=A5, 'PretestData (Submission)'!A:A=401, 'PretestData (Submission)'!E:E&gt;0)),0)"),"1478907697")</f>
        <v>1478907697</v>
      </c>
      <c r="H5" s="2">
        <f>IFERROR(__xludf.DUMMYFUNCTION("IFERROR(MIN(FILTER('PretestData (ViewVPL)'!D:D, 'PretestData (ViewVPL)'!C:C=A5, 'PretestData (ViewVPL)'!B:B=401,'PretestData (ViewVPL)'!D:D&gt;F5,'PretestData (ViewVPL)'!D:D&lt;G5)),0)"),"1478906822")</f>
        <v>1478906822</v>
      </c>
      <c r="I5" s="2">
        <f>IFERROR(__xludf.DUMMYFUNCTION("IFERROR(MAX(FILTER({'PretestData (Submission)'!E:E}, 'PretestData (Submission)'!D:D=A5, 'PretestData (Submission)'!A:A=401))-H5, 0)"),"4155")</f>
        <v>4155</v>
      </c>
      <c r="J5" s="2">
        <f>COUNTIFS('PretestData (Submission)'!D:D,"="&amp;A5,'PretestData (Submission)'!A:A,"=401",'PretestData (Submission)'!E:E,"&gt;0")</f>
        <v>26</v>
      </c>
      <c r="K5" s="2">
        <f>COUNTIFS('PretestData (Submission)'!D:D,"="&amp;A5,'PretestData (Submission)'!A:A,"=401",'PretestData (Submission)'!H:H,"&gt;0")</f>
        <v>3</v>
      </c>
      <c r="L5" s="2">
        <f>IFERROR(__xludf.DUMMYFUNCTION("IFERROR(MAX(FILTER('PretestData (Submission)'!I:I,'PretestData (Submission)'!D:D=A5,'PretestData (Submission)'!A:A=401,'PretestData (Submission)'!H:H&gt;0)),0)"),"0")</f>
        <v>0</v>
      </c>
      <c r="M5" s="8">
        <f>COUNTIFS('PretestData (ViewVPL)'!C:C,"="&amp;A5,'PretestData (ViewVPL)'!B:B,"=401")</f>
        <v>2</v>
      </c>
      <c r="N5" s="13">
        <f>IFERROR(__xludf.DUMMYFUNCTION("IFERROR(MAX(FILTER('PretestData (Loggedin)'!C:C,'PretestData (Loggedin)'!B:B=A5,'PretestData (Loggedin)'!C:C&lt;O5)),0)"),"0")</f>
        <v>0</v>
      </c>
      <c r="O5" s="13">
        <f>IFERROR(__xludf.DUMMYFUNCTION("IFERROR(MIN(FILTER({'PretestData (Submission)'!E:E}, 'PretestData (Submission)'!D:D=A5, 'PretestData (Submission)'!A:A=403, 'PretestData (Submission)'!E:E&gt;0)),0)"),"0")</f>
        <v>0</v>
      </c>
      <c r="P5" s="13">
        <f>IFERROR(__xludf.DUMMYFUNCTION("IFERROR(MIN(FILTER('PretestData (ViewVPL)'!D:D, 'PretestData (ViewVPL)'!C:C=A5, 'PretestData (ViewVPL)'!B:B=403,'PretestData (ViewVPL)'!D:D&gt;N5,'PretestData (ViewVPL)'!D:D&lt;O5)),0)"),"0")</f>
        <v>0</v>
      </c>
      <c r="Q5" s="13">
        <f>IFERROR(__xludf.DUMMYFUNCTION("IFERROR(MAX(FILTER({'PretestData (Submission)'!E:E}, 'PretestData (Submission)'!D:D=A5, 'PretestData (Submission)'!A:A=403))-P5,0)"),"0")</f>
        <v>0</v>
      </c>
      <c r="R5" s="13">
        <f>COUNTIFS('PretestData (Submission)'!D:D,"="&amp;A5,'PretestData (Submission)'!A:A,"=403",'PretestData (Submission)'!E:E,"&gt;0")</f>
        <v>0</v>
      </c>
      <c r="S5" s="13">
        <f>COUNTIFS('PretestData (Submission)'!D:D,"="&amp;A5,'PretestData (Submission)'!A:A,"=403",'PretestData (Submission)'!H:H,"&gt;0")</f>
        <v>0</v>
      </c>
      <c r="T5" s="13">
        <f>IFERROR(__xludf.DUMMYFUNCTION("IFERROR(MAX(FILTER('PretestData (Submission)'!I:I,'PretestData (Submission)'!D:D=A5,'PretestData (Submission)'!A:A=403,'PretestData (Submission)'!H:H&gt;0)),0)"),"0")</f>
        <v>0</v>
      </c>
      <c r="U5" s="8">
        <f>COUNTIFS('PretestData (ViewVPL)'!C:C,"="&amp;A5,'PretestData (ViewVPL)'!B:B,"=403")</f>
        <v>0</v>
      </c>
      <c r="V5" s="13">
        <f>IFERROR(__xludf.DUMMYFUNCTION("IFERROR(MAX(FILTER('PretestData (Loggedin)'!C:C,'PretestData (Loggedin)'!B:B=A5,'PretestData (Loggedin)'!C:C&lt;W5)),0)"),"0")</f>
        <v>0</v>
      </c>
      <c r="W5" s="13">
        <f>IFERROR(__xludf.DUMMYFUNCTION("IFERROR(MIN(FILTER({'PretestData (Submission)'!E:E}, 'PretestData (Submission)'!D:D=A5, 'PretestData (Submission)'!A:A=404, 'PretestData (Submission)'!E:E&gt;0)),0)"),"0")</f>
        <v>0</v>
      </c>
      <c r="X5" s="13">
        <f>IFERROR(__xludf.DUMMYFUNCTION("IFERROR(MIN(FILTER('PretestData (ViewVPL)'!D:D, 'PretestData (ViewVPL)'!C:C=A5, 'PretestData (ViewVPL)'!B:B=404,'PretestData (ViewVPL)'!D:D&gt;V5,'PretestData (ViewVPL)'!D:D&lt;W5)),0)"),"0")</f>
        <v>0</v>
      </c>
      <c r="Y5" s="13">
        <f>IFERROR(__xludf.DUMMYFUNCTION("IFERROR(MAX(FILTER({'PretestData (Submission)'!E:E}, 'PretestData (Submission)'!D:D=A5, 'PretestData (Submission)'!A:A=404))-X5,0)"),"0")</f>
        <v>0</v>
      </c>
      <c r="Z5" s="13">
        <f>COUNTIFS('PretestData (Submission)'!D:D,"="&amp;A5,'PretestData (Submission)'!A:A,"=404",'PretestData (Submission)'!E:E,"&gt;0")</f>
        <v>0</v>
      </c>
      <c r="AA5" s="13">
        <f>COUNTIFS('PretestData (Submission)'!D:D,"="&amp;A5,'PretestData (Submission)'!A:A,"=404",'PretestData (Submission)'!H:H,"&gt;0")</f>
        <v>0</v>
      </c>
      <c r="AB5" s="13">
        <f>IFERROR(__xludf.DUMMYFUNCTION("IFERROR(MAX(FILTER('PretestData (Submission)'!I:I,'PretestData (Submission)'!D:D=A5,'PretestData (Submission)'!A:A=404,'PretestData (Submission)'!H:H&gt;0)),0)"),"0")</f>
        <v>0</v>
      </c>
      <c r="AC5" s="13">
        <f>COUNTIFS('PretestData (ViewVPL)'!C:C,"="&amp;A5,'PretestData (ViewVPL)'!B:B,"=404")</f>
        <v>0</v>
      </c>
      <c r="AD5" s="13">
        <f>IFERROR(__xludf.DUMMYFUNCTION("IFERROR(MAX(FILTER('PretestData (Loggedin)'!C:C,'PretestData (Loggedin)'!B:B=A5,'PretestData (Loggedin)'!C:C&lt;AE5)),0)"),"0")</f>
        <v>0</v>
      </c>
      <c r="AE5" s="13">
        <f>IFERROR(__xludf.DUMMYFUNCTION("IFERROR(MIN(FILTER({'PretestData (Submission)'!E:E}, 'PretestData (Submission)'!D:D=A5, 'PretestData (Submission)'!A:A=405, 'PretestData (Submission)'!E:E&gt;0)),0)"),"0")</f>
        <v>0</v>
      </c>
      <c r="AF5" s="13">
        <f>IFERROR(__xludf.DUMMYFUNCTION("IFERROR(MIN(FILTER('PretestData (ViewVPL)'!D:D, 'PretestData (ViewVPL)'!C:C=A5, 'PretestData (ViewVPL)'!B:B=405,'PretestData (ViewVPL)'!D:D&gt;AD5,'PretestData (ViewVPL)'!D:D&lt;AE5)),0)"),"0")</f>
        <v>0</v>
      </c>
      <c r="AG5" s="8">
        <f>IFERROR(__xludf.DUMMYFUNCTION("IFERROR(MAX(FILTER({'PretestData (Submission)'!E:E}, 'PretestData (Submission)'!D:D=A5, 'PretestData (Submission)'!A:A=405))-AF5,0)"),"0")</f>
        <v>0</v>
      </c>
      <c r="AH5" s="8">
        <f>COUNTIFS('PretestData (Submission)'!D:D,"="&amp;A5,'PretestData (Submission)'!A:A,"=405",'PretestData (Submission)'!E:E,"&gt;0")</f>
        <v>0</v>
      </c>
      <c r="AI5" s="8">
        <f>COUNTIFS('PretestData (Submission)'!D:D,"="&amp;A5,'PretestData (Submission)'!A:A,"=405",'PretestData (Submission)'!H:H,"&gt;0")</f>
        <v>0</v>
      </c>
      <c r="AJ5" s="8">
        <f>IFERROR(__xludf.DUMMYFUNCTION("IFERROR(MAX(FILTER('PretestData (Submission)'!I:I,'PretestData (Submission)'!D:D=A5,'PretestData (Submission)'!A:A=405,'PretestData (Submission)'!H:H&gt;0)),0)"),"0")</f>
        <v>0</v>
      </c>
      <c r="AK5" s="8">
        <f>COUNTIFS('PretestData (ViewVPL)'!C:C,"="&amp;A5,'PretestData (ViewVPL)'!B:B,"=405")</f>
        <v>0</v>
      </c>
      <c r="AL5" s="8"/>
      <c r="AM5" s="11"/>
      <c r="AN5" s="11"/>
      <c r="AO5" s="8"/>
      <c r="AP5" s="8"/>
      <c r="AQ5" s="8"/>
      <c r="AR5" s="8"/>
      <c r="AS5" s="11"/>
      <c r="AT5" s="11"/>
      <c r="AU5" s="11"/>
    </row>
    <row r="6">
      <c r="A6" s="7">
        <v>10157.0</v>
      </c>
      <c r="B6" s="3" t="s">
        <v>45</v>
      </c>
      <c r="C6" s="3" t="s">
        <v>46</v>
      </c>
      <c r="D6" s="3" t="s">
        <v>63</v>
      </c>
      <c r="E6" s="3" t="s">
        <v>48</v>
      </c>
      <c r="F6" s="2">
        <f>IFERROR(__xludf.DUMMYFUNCTION("IFERROR(MAX(FILTER('PretestData (Loggedin)'!C:C,'PretestData (Loggedin)'!B:B=A6,'PretestData (Loggedin)'!C:C&lt;G6)),0)"),"0")</f>
        <v>0</v>
      </c>
      <c r="G6" s="2">
        <f>IFERROR(__xludf.DUMMYFUNCTION("IFERROR(MIN(FILTER({'PretestData (Submission)'!E:E}, 'PretestData (Submission)'!D:D=A6, 'PretestData (Submission)'!A:A=401, 'PretestData (Submission)'!E:E&gt;0)),0)"),"0")</f>
        <v>0</v>
      </c>
      <c r="H6" s="2">
        <f>IFERROR(__xludf.DUMMYFUNCTION("IFERROR(MIN(FILTER('PretestData (ViewVPL)'!D:D, 'PretestData (ViewVPL)'!C:C=A6, 'PretestData (ViewVPL)'!B:B=401,'PretestData (ViewVPL)'!D:D&gt;F6,'PretestData (ViewVPL)'!D:D&lt;G6)),0)"),"0")</f>
        <v>0</v>
      </c>
      <c r="I6" s="2">
        <f>IFERROR(__xludf.DUMMYFUNCTION("IFERROR(MAX(FILTER({'PretestData (Submission)'!E:E}, 'PretestData (Submission)'!D:D=A6, 'PretestData (Submission)'!A:A=401))-H6, 0)"),"0")</f>
        <v>0</v>
      </c>
      <c r="J6" s="2">
        <f>COUNTIFS('PretestData (Submission)'!D:D,"="&amp;A6,'PretestData (Submission)'!A:A,"=401",'PretestData (Submission)'!E:E,"&gt;0")</f>
        <v>0</v>
      </c>
      <c r="K6" s="2">
        <f>COUNTIFS('PretestData (Submission)'!D:D,"="&amp;A6,'PretestData (Submission)'!A:A,"=401",'PretestData (Submission)'!H:H,"&gt;0")</f>
        <v>0</v>
      </c>
      <c r="L6" s="2">
        <f>IFERROR(__xludf.DUMMYFUNCTION("IFERROR(MAX(FILTER('PretestData (Submission)'!I:I,'PretestData (Submission)'!D:D=A6,'PretestData (Submission)'!A:A=401,'PretestData (Submission)'!H:H&gt;0)),0)"),"0")</f>
        <v>0</v>
      </c>
      <c r="M6" s="8">
        <f>COUNTIFS('PretestData (ViewVPL)'!C:C,"="&amp;A6,'PretestData (ViewVPL)'!B:B,"=401")</f>
        <v>0</v>
      </c>
      <c r="N6" s="13">
        <f>IFERROR(__xludf.DUMMYFUNCTION("IFERROR(MAX(FILTER('PretestData (Loggedin)'!C:C,'PretestData (Loggedin)'!B:B=A6,'PretestData (Loggedin)'!C:C&lt;O6)),0)"),"0")</f>
        <v>0</v>
      </c>
      <c r="O6" s="13">
        <f>IFERROR(__xludf.DUMMYFUNCTION("IFERROR(MIN(FILTER({'PretestData (Submission)'!E:E}, 'PretestData (Submission)'!D:D=A6, 'PretestData (Submission)'!A:A=403, 'PretestData (Submission)'!E:E&gt;0)),0)"),"0")</f>
        <v>0</v>
      </c>
      <c r="P6" s="13">
        <f>IFERROR(__xludf.DUMMYFUNCTION("IFERROR(MIN(FILTER('PretestData (ViewVPL)'!D:D, 'PretestData (ViewVPL)'!C:C=A6, 'PretestData (ViewVPL)'!B:B=403,'PretestData (ViewVPL)'!D:D&gt;N6,'PretestData (ViewVPL)'!D:D&lt;O6)),0)"),"0")</f>
        <v>0</v>
      </c>
      <c r="Q6" s="13">
        <f>IFERROR(__xludf.DUMMYFUNCTION("IFERROR(MAX(FILTER({'PretestData (Submission)'!E:E}, 'PretestData (Submission)'!D:D=A6, 'PretestData (Submission)'!A:A=403))-P6,0)"),"0")</f>
        <v>0</v>
      </c>
      <c r="R6" s="13">
        <f>COUNTIFS('PretestData (Submission)'!D:D,"="&amp;A6,'PretestData (Submission)'!A:A,"=403",'PretestData (Submission)'!E:E,"&gt;0")</f>
        <v>0</v>
      </c>
      <c r="S6" s="13">
        <f>COUNTIFS('PretestData (Submission)'!D:D,"="&amp;A6,'PretestData (Submission)'!A:A,"=403",'PretestData (Submission)'!H:H,"&gt;0")</f>
        <v>0</v>
      </c>
      <c r="T6" s="13">
        <f>IFERROR(__xludf.DUMMYFUNCTION("IFERROR(MAX(FILTER('PretestData (Submission)'!I:I,'PretestData (Submission)'!D:D=A6,'PretestData (Submission)'!A:A=403,'PretestData (Submission)'!H:H&gt;0)),0)"),"0")</f>
        <v>0</v>
      </c>
      <c r="U6" s="8">
        <f>COUNTIFS('PretestData (ViewVPL)'!C:C,"="&amp;A6,'PretestData (ViewVPL)'!B:B,"=403")</f>
        <v>0</v>
      </c>
      <c r="V6" s="13">
        <f>IFERROR(__xludf.DUMMYFUNCTION("IFERROR(MAX(FILTER('PretestData (Loggedin)'!C:C,'PretestData (Loggedin)'!B:B=A6,'PretestData (Loggedin)'!C:C&lt;W6)),0)"),"0")</f>
        <v>0</v>
      </c>
      <c r="W6" s="13">
        <f>IFERROR(__xludf.DUMMYFUNCTION("IFERROR(MIN(FILTER({'PretestData (Submission)'!E:E}, 'PretestData (Submission)'!D:D=A6, 'PretestData (Submission)'!A:A=404, 'PretestData (Submission)'!E:E&gt;0)),0)"),"0")</f>
        <v>0</v>
      </c>
      <c r="X6" s="13">
        <f>IFERROR(__xludf.DUMMYFUNCTION("IFERROR(MIN(FILTER('PretestData (ViewVPL)'!D:D, 'PretestData (ViewVPL)'!C:C=A6, 'PretestData (ViewVPL)'!B:B=404,'PretestData (ViewVPL)'!D:D&gt;V6,'PretestData (ViewVPL)'!D:D&lt;W6)),0)"),"0")</f>
        <v>0</v>
      </c>
      <c r="Y6" s="13">
        <f>IFERROR(__xludf.DUMMYFUNCTION("IFERROR(MAX(FILTER({'PretestData (Submission)'!E:E}, 'PretestData (Submission)'!D:D=A6, 'PretestData (Submission)'!A:A=404))-X6,0)"),"0")</f>
        <v>0</v>
      </c>
      <c r="Z6" s="13">
        <f>COUNTIFS('PretestData (Submission)'!D:D,"="&amp;A6,'PretestData (Submission)'!A:A,"=404",'PretestData (Submission)'!E:E,"&gt;0")</f>
        <v>0</v>
      </c>
      <c r="AA6" s="13">
        <f>COUNTIFS('PretestData (Submission)'!D:D,"="&amp;A6,'PretestData (Submission)'!A:A,"=404",'PretestData (Submission)'!H:H,"&gt;0")</f>
        <v>0</v>
      </c>
      <c r="AB6" s="13">
        <f>IFERROR(__xludf.DUMMYFUNCTION("IFERROR(MAX(FILTER('PretestData (Submission)'!I:I,'PretestData (Submission)'!D:D=A6,'PretestData (Submission)'!A:A=404,'PretestData (Submission)'!H:H&gt;0)),0)"),"0")</f>
        <v>0</v>
      </c>
      <c r="AC6" s="13">
        <f>COUNTIFS('PretestData (ViewVPL)'!C:C,"="&amp;A6,'PretestData (ViewVPL)'!B:B,"=404")</f>
        <v>0</v>
      </c>
      <c r="AD6" s="13">
        <f>IFERROR(__xludf.DUMMYFUNCTION("IFERROR(MAX(FILTER('PretestData (Loggedin)'!C:C,'PretestData (Loggedin)'!B:B=A6,'PretestData (Loggedin)'!C:C&lt;AE6)),0)"),"0")</f>
        <v>0</v>
      </c>
      <c r="AE6" s="13">
        <f>IFERROR(__xludf.DUMMYFUNCTION("IFERROR(MIN(FILTER({'PretestData (Submission)'!E:E}, 'PretestData (Submission)'!D:D=A6, 'PretestData (Submission)'!A:A=405, 'PretestData (Submission)'!E:E&gt;0)),0)"),"0")</f>
        <v>0</v>
      </c>
      <c r="AF6" s="13">
        <f>IFERROR(__xludf.DUMMYFUNCTION("IFERROR(MIN(FILTER('PretestData (ViewVPL)'!D:D, 'PretestData (ViewVPL)'!C:C=A6, 'PretestData (ViewVPL)'!B:B=405,'PretestData (ViewVPL)'!D:D&gt;AD6,'PretestData (ViewVPL)'!D:D&lt;AE6)),0)"),"0")</f>
        <v>0</v>
      </c>
      <c r="AG6" s="8">
        <f>IFERROR(__xludf.DUMMYFUNCTION("IFERROR(MAX(FILTER({'PretestData (Submission)'!E:E}, 'PretestData (Submission)'!D:D=A6, 'PretestData (Submission)'!A:A=405))-AF6,0)"),"0")</f>
        <v>0</v>
      </c>
      <c r="AH6" s="8">
        <f>COUNTIFS('PretestData (Submission)'!D:D,"="&amp;A6,'PretestData (Submission)'!A:A,"=405",'PretestData (Submission)'!E:E,"&gt;0")</f>
        <v>0</v>
      </c>
      <c r="AI6" s="8">
        <f>COUNTIFS('PretestData (Submission)'!D:D,"="&amp;A6,'PretestData (Submission)'!A:A,"=405",'PretestData (Submission)'!H:H,"&gt;0")</f>
        <v>0</v>
      </c>
      <c r="AJ6" s="8">
        <f>IFERROR(__xludf.DUMMYFUNCTION("IFERROR(MAX(FILTER('PretestData (Submission)'!I:I,'PretestData (Submission)'!D:D=A6,'PretestData (Submission)'!A:A=405,'PretestData (Submission)'!H:H&gt;0)),0)"),"0")</f>
        <v>0</v>
      </c>
      <c r="AK6" s="8">
        <f>COUNTIFS('PretestData (ViewVPL)'!C:C,"="&amp;A6,'PretestData (ViewVPL)'!B:B,"=405")</f>
        <v>0</v>
      </c>
      <c r="AL6" s="8"/>
      <c r="AM6" s="11"/>
      <c r="AN6" s="11"/>
      <c r="AO6" s="8"/>
      <c r="AP6" s="8"/>
      <c r="AQ6" s="8"/>
      <c r="AR6" s="8"/>
      <c r="AS6" s="11"/>
      <c r="AT6" s="11"/>
      <c r="AU6" s="11"/>
    </row>
    <row r="7">
      <c r="A7" s="7">
        <v>10148.0</v>
      </c>
      <c r="B7" s="3" t="s">
        <v>45</v>
      </c>
      <c r="C7" s="3" t="s">
        <v>99</v>
      </c>
      <c r="D7" s="3" t="s">
        <v>63</v>
      </c>
      <c r="E7" s="3" t="s">
        <v>100</v>
      </c>
      <c r="F7" s="2">
        <f>IFERROR(__xludf.DUMMYFUNCTION("IFERROR(MAX(FILTER('PretestData (Loggedin)'!C:C,'PretestData (Loggedin)'!B:B=A7,'PretestData (Loggedin)'!C:C&lt;G7)),0)"),"1478906305")</f>
        <v>1478906305</v>
      </c>
      <c r="G7" s="2">
        <f>IFERROR(__xludf.DUMMYFUNCTION("IFERROR(MIN(FILTER({'PretestData (Submission)'!E:E}, 'PretestData (Submission)'!D:D=A7, 'PretestData (Submission)'!A:A=401, 'PretestData (Submission)'!E:E&gt;0)),0)"),"1478906964")</f>
        <v>1478906964</v>
      </c>
      <c r="H7" s="2">
        <f>IFERROR(__xludf.DUMMYFUNCTION("IFERROR(MIN(FILTER('PretestData (ViewVPL)'!D:D, 'PretestData (ViewVPL)'!C:C=A7, 'PretestData (ViewVPL)'!B:B=401,'PretestData (ViewVPL)'!D:D&gt;F7,'PretestData (ViewVPL)'!D:D&lt;G7)),0)"),"1478906612")</f>
        <v>1478906612</v>
      </c>
      <c r="I7" s="2">
        <f>IFERROR(__xludf.DUMMYFUNCTION("IFERROR(MAX(FILTER({'PretestData (Submission)'!E:E}, 'PretestData (Submission)'!D:D=A7, 'PretestData (Submission)'!A:A=401))-H7, 0)"),"2044")</f>
        <v>2044</v>
      </c>
      <c r="J7" s="2">
        <f>COUNTIFS('PretestData (Submission)'!D:D,"="&amp;A7,'PretestData (Submission)'!A:A,"=401",'PretestData (Submission)'!E:E,"&gt;0")</f>
        <v>6</v>
      </c>
      <c r="K7" s="2">
        <f>COUNTIFS('PretestData (Submission)'!D:D,"="&amp;A7,'PretestData (Submission)'!A:A,"=401",'PretestData (Submission)'!H:H,"&gt;0")</f>
        <v>1</v>
      </c>
      <c r="L7" s="2">
        <f>IFERROR(__xludf.DUMMYFUNCTION("IFERROR(MAX(FILTER('PretestData (Submission)'!I:I,'PretestData (Submission)'!D:D=A7,'PretestData (Submission)'!A:A=401,'PretestData (Submission)'!H:H&gt;0)),0)"),"0")</f>
        <v>0</v>
      </c>
      <c r="M7" s="8">
        <f>COUNTIFS('PretestData (ViewVPL)'!C:C,"="&amp;A7,'PretestData (ViewVPL)'!B:B,"=401")</f>
        <v>14</v>
      </c>
      <c r="N7" s="13">
        <f>IFERROR(__xludf.DUMMYFUNCTION("IFERROR(MAX(FILTER('PretestData (Loggedin)'!C:C,'PretestData (Loggedin)'!B:B=A7,'PretestData (Loggedin)'!C:C&lt;O7)),0)"),"1478906305")</f>
        <v>1478906305</v>
      </c>
      <c r="O7" s="13">
        <f>IFERROR(__xludf.DUMMYFUNCTION("IFERROR(MIN(FILTER({'PretestData (Submission)'!E:E}, 'PretestData (Submission)'!D:D=A7, 'PretestData (Submission)'!A:A=403, 'PretestData (Submission)'!E:E&gt;0)),0)"),"1478909430")</f>
        <v>1478909430</v>
      </c>
      <c r="P7" s="13">
        <f>IFERROR(__xludf.DUMMYFUNCTION("IFERROR(MIN(FILTER('PretestData (ViewVPL)'!D:D, 'PretestData (ViewVPL)'!C:C=A7, 'PretestData (ViewVPL)'!B:B=403,'PretestData (ViewVPL)'!D:D&gt;N7,'PretestData (ViewVPL)'!D:D&lt;O7)),0)"),"1478909273")</f>
        <v>1478909273</v>
      </c>
      <c r="Q7" s="13">
        <f>IFERROR(__xludf.DUMMYFUNCTION("IFERROR(MAX(FILTER({'PretestData (Submission)'!E:E}, 'PretestData (Submission)'!D:D=A7, 'PretestData (Submission)'!A:A=403))-P7,0)"),"825")</f>
        <v>825</v>
      </c>
      <c r="R7" s="13">
        <f>COUNTIFS('PretestData (Submission)'!D:D,"="&amp;A7,'PretestData (Submission)'!A:A,"=403",'PretestData (Submission)'!E:E,"&gt;0")</f>
        <v>2</v>
      </c>
      <c r="S7" s="13">
        <f>COUNTIFS('PretestData (Submission)'!D:D,"="&amp;A7,'PretestData (Submission)'!A:A,"=403",'PretestData (Submission)'!H:H,"&gt;0")</f>
        <v>2</v>
      </c>
      <c r="T7" s="13">
        <f>IFERROR(__xludf.DUMMYFUNCTION("IFERROR(MAX(FILTER('PretestData (Submission)'!I:I,'PretestData (Submission)'!D:D=A7,'PretestData (Submission)'!A:A=403,'PretestData (Submission)'!H:H&gt;0)),0)"),"0")</f>
        <v>0</v>
      </c>
      <c r="U7" s="8">
        <f>COUNTIFS('PretestData (ViewVPL)'!C:C,"="&amp;A7,'PretestData (ViewVPL)'!B:B,"=403")</f>
        <v>7</v>
      </c>
      <c r="V7" s="13">
        <f>IFERROR(__xludf.DUMMYFUNCTION("IFERROR(MAX(FILTER('PretestData (Loggedin)'!C:C,'PretestData (Loggedin)'!B:B=A7,'PretestData (Loggedin)'!C:C&lt;W7)),0)"),"1478906305")</f>
        <v>1478906305</v>
      </c>
      <c r="W7" s="13">
        <f>IFERROR(__xludf.DUMMYFUNCTION("IFERROR(MIN(FILTER({'PretestData (Submission)'!E:E}, 'PretestData (Submission)'!D:D=A7, 'PretestData (Submission)'!A:A=404, 'PretestData (Submission)'!E:E&gt;0)),0)"),"1478910702")</f>
        <v>1478910702</v>
      </c>
      <c r="X7" s="13">
        <f>IFERROR(__xludf.DUMMYFUNCTION("IFERROR(MIN(FILTER('PretestData (ViewVPL)'!D:D, 'PretestData (ViewVPL)'!C:C=A7, 'PretestData (ViewVPL)'!B:B=404,'PretestData (ViewVPL)'!D:D&gt;V7,'PretestData (ViewVPL)'!D:D&lt;W7)),0)"),"1478910155")</f>
        <v>1478910155</v>
      </c>
      <c r="Y7" s="13">
        <f>IFERROR(__xludf.DUMMYFUNCTION("IFERROR(MAX(FILTER({'PretestData (Submission)'!E:E}, 'PretestData (Submission)'!D:D=A7, 'PretestData (Submission)'!A:A=404))-X7,0)"),"1026")</f>
        <v>1026</v>
      </c>
      <c r="Z7" s="13">
        <f>COUNTIFS('PretestData (Submission)'!D:D,"="&amp;A7,'PretestData (Submission)'!A:A,"=404",'PretestData (Submission)'!E:E,"&gt;0")</f>
        <v>4</v>
      </c>
      <c r="AA7" s="13">
        <f>COUNTIFS('PretestData (Submission)'!D:D,"="&amp;A7,'PretestData (Submission)'!A:A,"=404",'PretestData (Submission)'!H:H,"&gt;0")</f>
        <v>3</v>
      </c>
      <c r="AB7" s="13">
        <f>IFERROR(__xludf.DUMMYFUNCTION("IFERROR(MAX(FILTER('PretestData (Submission)'!I:I,'PretestData (Submission)'!D:D=A7,'PretestData (Submission)'!A:A=404,'PretestData (Submission)'!H:H&gt;0)),0)"),"0")</f>
        <v>0</v>
      </c>
      <c r="AC7" s="13">
        <f>COUNTIFS('PretestData (ViewVPL)'!C:C,"="&amp;A7,'PretestData (ViewVPL)'!B:B,"=404")</f>
        <v>3</v>
      </c>
      <c r="AD7" s="13">
        <f>IFERROR(__xludf.DUMMYFUNCTION("IFERROR(MAX(FILTER('PretestData (Loggedin)'!C:C,'PretestData (Loggedin)'!B:B=A7,'PretestData (Loggedin)'!C:C&lt;AE7)),0)"),"0")</f>
        <v>0</v>
      </c>
      <c r="AE7" s="13">
        <f>IFERROR(__xludf.DUMMYFUNCTION("IFERROR(MIN(FILTER({'PretestData (Submission)'!E:E}, 'PretestData (Submission)'!D:D=A7, 'PretestData (Submission)'!A:A=405, 'PretestData (Submission)'!E:E&gt;0)),0)"),"0")</f>
        <v>0</v>
      </c>
      <c r="AF7" s="13">
        <f>IFERROR(__xludf.DUMMYFUNCTION("IFERROR(MIN(FILTER('PretestData (ViewVPL)'!D:D, 'PretestData (ViewVPL)'!C:C=A7, 'PretestData (ViewVPL)'!B:B=405,'PretestData (ViewVPL)'!D:D&gt;AD7,'PretestData (ViewVPL)'!D:D&lt;AE7)),0)"),"0")</f>
        <v>0</v>
      </c>
      <c r="AG7" s="8">
        <f>IFERROR(__xludf.DUMMYFUNCTION("IFERROR(MAX(FILTER({'PretestData (Submission)'!E:E}, 'PretestData (Submission)'!D:D=A7, 'PretestData (Submission)'!A:A=405))-AF7,0)"),"0")</f>
        <v>0</v>
      </c>
      <c r="AH7" s="8">
        <f>COUNTIFS('PretestData (Submission)'!D:D,"="&amp;A7,'PretestData (Submission)'!A:A,"=405",'PretestData (Submission)'!E:E,"&gt;0")</f>
        <v>0</v>
      </c>
      <c r="AI7" s="8">
        <f>COUNTIFS('PretestData (Submission)'!D:D,"="&amp;A7,'PretestData (Submission)'!A:A,"=405",'PretestData (Submission)'!H:H,"&gt;0")</f>
        <v>0</v>
      </c>
      <c r="AJ7" s="8">
        <f>IFERROR(__xludf.DUMMYFUNCTION("IFERROR(MAX(FILTER('PretestData (Submission)'!I:I,'PretestData (Submission)'!D:D=A7,'PretestData (Submission)'!A:A=405,'PretestData (Submission)'!H:H&gt;0)),0)"),"0")</f>
        <v>0</v>
      </c>
      <c r="AK7" s="8">
        <f>COUNTIFS('PretestData (ViewVPL)'!C:C,"="&amp;A7,'PretestData (ViewVPL)'!B:B,"=405")</f>
        <v>1</v>
      </c>
      <c r="AL7" s="8"/>
      <c r="AM7" s="11"/>
      <c r="AN7" s="11"/>
      <c r="AO7" s="8"/>
      <c r="AP7" s="8"/>
      <c r="AQ7" s="8"/>
      <c r="AR7" s="8"/>
      <c r="AS7" s="11"/>
      <c r="AT7" s="11"/>
      <c r="AU7" s="11"/>
    </row>
    <row r="8">
      <c r="A8" s="7">
        <v>10141.0</v>
      </c>
      <c r="B8" s="3" t="s">
        <v>45</v>
      </c>
      <c r="C8" s="3" t="s">
        <v>99</v>
      </c>
      <c r="D8" s="3" t="s">
        <v>47</v>
      </c>
      <c r="E8" s="3" t="s">
        <v>100</v>
      </c>
      <c r="F8" s="2">
        <f>IFERROR(__xludf.DUMMYFUNCTION("IFERROR(MAX(FILTER('PretestData (Loggedin)'!C:C,'PretestData (Loggedin)'!B:B=A8,'PretestData (Loggedin)'!C:C&lt;G8)),0)"),"1478906171")</f>
        <v>1478906171</v>
      </c>
      <c r="G8" s="2">
        <f>IFERROR(__xludf.DUMMYFUNCTION("IFERROR(MIN(FILTER({'PretestData (Submission)'!E:E}, 'PretestData (Submission)'!D:D=A8, 'PretestData (Submission)'!A:A=401, 'PretestData (Submission)'!E:E&gt;0)),0)"),"1478908195")</f>
        <v>1478908195</v>
      </c>
      <c r="H8" s="2">
        <f>IFERROR(__xludf.DUMMYFUNCTION("IFERROR(MIN(FILTER('PretestData (ViewVPL)'!D:D, 'PretestData (ViewVPL)'!C:C=A8, 'PretestData (ViewVPL)'!B:B=401,'PretestData (ViewVPL)'!D:D&gt;F8,'PretestData (ViewVPL)'!D:D&lt;G8)),0)"),"1478906523")</f>
        <v>1478906523</v>
      </c>
      <c r="I8" s="2">
        <f>IFERROR(__xludf.DUMMYFUNCTION("IFERROR(MAX(FILTER({'PretestData (Submission)'!E:E}, 'PretestData (Submission)'!D:D=A8, 'PretestData (Submission)'!A:A=401))-H8, 0)"),"2740")</f>
        <v>2740</v>
      </c>
      <c r="J8" s="2">
        <f>COUNTIFS('PretestData (Submission)'!D:D,"="&amp;A8,'PretestData (Submission)'!A:A,"=401",'PretestData (Submission)'!E:E,"&gt;0")</f>
        <v>3</v>
      </c>
      <c r="K8" s="2">
        <f>COUNTIFS('PretestData (Submission)'!D:D,"="&amp;A8,'PretestData (Submission)'!A:A,"=401",'PretestData (Submission)'!H:H,"&gt;0")</f>
        <v>3</v>
      </c>
      <c r="L8" s="2">
        <f>IFERROR(__xludf.DUMMYFUNCTION("IFERROR(MAX(FILTER('PretestData (Submission)'!I:I,'PretestData (Submission)'!D:D=A8,'PretestData (Submission)'!A:A=401,'PretestData (Submission)'!H:H&gt;0)),0)"),"0")</f>
        <v>0</v>
      </c>
      <c r="M8" s="8">
        <f>COUNTIFS('PretestData (ViewVPL)'!C:C,"="&amp;A8,'PretestData (ViewVPL)'!B:B,"=401")</f>
        <v>19</v>
      </c>
      <c r="N8" s="13">
        <f>IFERROR(__xludf.DUMMYFUNCTION("IFERROR(MAX(FILTER('PretestData (Loggedin)'!C:C,'PretestData (Loggedin)'!B:B=A8,'PretestData (Loggedin)'!C:C&lt;O8)),0)"),"1478906171")</f>
        <v>1478906171</v>
      </c>
      <c r="O8" s="13">
        <f>IFERROR(__xludf.DUMMYFUNCTION("IFERROR(MIN(FILTER({'PretestData (Submission)'!E:E}, 'PretestData (Submission)'!D:D=A8, 'PretestData (Submission)'!A:A=403, 'PretestData (Submission)'!E:E&gt;0)),0)"),"1478909086")</f>
        <v>1478909086</v>
      </c>
      <c r="P8" s="13">
        <f>IFERROR(__xludf.DUMMYFUNCTION("IFERROR(MIN(FILTER('PretestData (ViewVPL)'!D:D, 'PretestData (ViewVPL)'!C:C=A8, 'PretestData (ViewVPL)'!B:B=403,'PretestData (ViewVPL)'!D:D&gt;N8,'PretestData (ViewVPL)'!D:D&lt;O8)),0)"),"1478908518")</f>
        <v>1478908518</v>
      </c>
      <c r="Q8" s="13">
        <f>IFERROR(__xludf.DUMMYFUNCTION("IFERROR(MAX(FILTER({'PretestData (Submission)'!E:E}, 'PretestData (Submission)'!D:D=A8, 'PretestData (Submission)'!A:A=403))-P8,0)"),"813")</f>
        <v>813</v>
      </c>
      <c r="R8" s="13">
        <f>COUNTIFS('PretestData (Submission)'!D:D,"="&amp;A8,'PretestData (Submission)'!A:A,"=403",'PretestData (Submission)'!E:E,"&gt;0")</f>
        <v>2</v>
      </c>
      <c r="S8" s="13">
        <f>COUNTIFS('PretestData (Submission)'!D:D,"="&amp;A8,'PretestData (Submission)'!A:A,"=403",'PretestData (Submission)'!H:H,"&gt;0")</f>
        <v>2</v>
      </c>
      <c r="T8" s="13">
        <f>IFERROR(__xludf.DUMMYFUNCTION("IFERROR(MAX(FILTER('PretestData (Submission)'!I:I,'PretestData (Submission)'!D:D=A8,'PretestData (Submission)'!A:A=403,'PretestData (Submission)'!H:H&gt;0)),0)"),"0")</f>
        <v>0</v>
      </c>
      <c r="U8" s="8">
        <f>COUNTIFS('PretestData (ViewVPL)'!C:C,"="&amp;A8,'PretestData (ViewVPL)'!B:B,"=403")</f>
        <v>11</v>
      </c>
      <c r="V8" s="13">
        <f>IFERROR(__xludf.DUMMYFUNCTION("IFERROR(MAX(FILTER('PretestData (Loggedin)'!C:C,'PretestData (Loggedin)'!B:B=A8,'PretestData (Loggedin)'!C:C&lt;W8)),0)"),"1478906171")</f>
        <v>1478906171</v>
      </c>
      <c r="W8" s="13">
        <f>IFERROR(__xludf.DUMMYFUNCTION("IFERROR(MIN(FILTER({'PretestData (Submission)'!E:E}, 'PretestData (Submission)'!D:D=A8, 'PretestData (Submission)'!A:A=404, 'PretestData (Submission)'!E:E&gt;0)),0)"),"1478911137")</f>
        <v>1478911137</v>
      </c>
      <c r="X8" s="13">
        <f>IFERROR(__xludf.DUMMYFUNCTION("IFERROR(MIN(FILTER('PretestData (ViewVPL)'!D:D, 'PretestData (ViewVPL)'!C:C=A8, 'PretestData (ViewVPL)'!B:B=404,'PretestData (ViewVPL)'!D:D&gt;V8,'PretestData (ViewVPL)'!D:D&lt;W8)),0)"),"1478909374")</f>
        <v>1478909374</v>
      </c>
      <c r="Y8" s="13">
        <f>IFERROR(__xludf.DUMMYFUNCTION("IFERROR(MAX(FILTER({'PretestData (Submission)'!E:E}, 'PretestData (Submission)'!D:D=A8, 'PretestData (Submission)'!A:A=404))-X8,0)"),"1763")</f>
        <v>1763</v>
      </c>
      <c r="Z8" s="13">
        <f>COUNTIFS('PretestData (Submission)'!D:D,"="&amp;A8,'PretestData (Submission)'!A:A,"=404",'PretestData (Submission)'!E:E,"&gt;0")</f>
        <v>1</v>
      </c>
      <c r="AA8" s="13">
        <f>COUNTIFS('PretestData (Submission)'!D:D,"="&amp;A8,'PretestData (Submission)'!A:A,"=404",'PretestData (Submission)'!H:H,"&gt;0")</f>
        <v>1</v>
      </c>
      <c r="AB8" s="13">
        <f>IFERROR(__xludf.DUMMYFUNCTION("IFERROR(MAX(FILTER('PretestData (Submission)'!I:I,'PretestData (Submission)'!D:D=A8,'PretestData (Submission)'!A:A=404,'PretestData (Submission)'!H:H&gt;0)),0)"),"0")</f>
        <v>0</v>
      </c>
      <c r="AC8" s="13">
        <f>COUNTIFS('PretestData (ViewVPL)'!C:C,"="&amp;A8,'PretestData (ViewVPL)'!B:B,"=404")</f>
        <v>9</v>
      </c>
      <c r="AD8" s="13">
        <f>IFERROR(__xludf.DUMMYFUNCTION("IFERROR(MAX(FILTER('PretestData (Loggedin)'!C:C,'PretestData (Loggedin)'!B:B=A8,'PretestData (Loggedin)'!C:C&lt;AE8)),0)"),"0")</f>
        <v>0</v>
      </c>
      <c r="AE8" s="13">
        <f>IFERROR(__xludf.DUMMYFUNCTION("IFERROR(MIN(FILTER({'PretestData (Submission)'!E:E}, 'PretestData (Submission)'!D:D=A8, 'PretestData (Submission)'!A:A=405, 'PretestData (Submission)'!E:E&gt;0)),0)"),"0")</f>
        <v>0</v>
      </c>
      <c r="AF8" s="13">
        <f>IFERROR(__xludf.DUMMYFUNCTION("IFERROR(MIN(FILTER('PretestData (ViewVPL)'!D:D, 'PretestData (ViewVPL)'!C:C=A8, 'PretestData (ViewVPL)'!B:B=405,'PretestData (ViewVPL)'!D:D&gt;AD8,'PretestData (ViewVPL)'!D:D&lt;AE8)),0)"),"0")</f>
        <v>0</v>
      </c>
      <c r="AG8" s="8">
        <f>IFERROR(__xludf.DUMMYFUNCTION("IFERROR(MAX(FILTER({'PretestData (Submission)'!E:E}, 'PretestData (Submission)'!D:D=A8, 'PretestData (Submission)'!A:A=405))-AF8,0)"),"0")</f>
        <v>0</v>
      </c>
      <c r="AH8" s="8">
        <f>COUNTIFS('PretestData (Submission)'!D:D,"="&amp;A8,'PretestData (Submission)'!A:A,"=405",'PretestData (Submission)'!E:E,"&gt;0")</f>
        <v>0</v>
      </c>
      <c r="AI8" s="8">
        <f>COUNTIFS('PretestData (Submission)'!D:D,"="&amp;A8,'PretestData (Submission)'!A:A,"=405",'PretestData (Submission)'!H:H,"&gt;0")</f>
        <v>0</v>
      </c>
      <c r="AJ8" s="8">
        <f>IFERROR(__xludf.DUMMYFUNCTION("IFERROR(MAX(FILTER('PretestData (Submission)'!I:I,'PretestData (Submission)'!D:D=A8,'PretestData (Submission)'!A:A=405,'PretestData (Submission)'!H:H&gt;0)),0)"),"0")</f>
        <v>0</v>
      </c>
      <c r="AK8" s="8">
        <f>COUNTIFS('PretestData (ViewVPL)'!C:C,"="&amp;A8,'PretestData (ViewVPL)'!B:B,"=405")</f>
        <v>1</v>
      </c>
      <c r="AL8" s="8"/>
      <c r="AM8" s="11"/>
      <c r="AN8" s="11"/>
      <c r="AO8" s="8"/>
      <c r="AP8" s="8"/>
      <c r="AQ8" s="8"/>
      <c r="AR8" s="8"/>
      <c r="AS8" s="11"/>
      <c r="AT8" s="11"/>
      <c r="AU8" s="11"/>
    </row>
    <row r="9">
      <c r="A9" s="7">
        <v>10143.0</v>
      </c>
      <c r="B9" s="3" t="s">
        <v>45</v>
      </c>
      <c r="C9" s="3" t="s">
        <v>99</v>
      </c>
      <c r="D9" s="3" t="s">
        <v>63</v>
      </c>
      <c r="E9" s="3" t="s">
        <v>100</v>
      </c>
      <c r="F9" s="2">
        <f>IFERROR(__xludf.DUMMYFUNCTION("IFERROR(MAX(FILTER('PretestData (Loggedin)'!C:C,'PretestData (Loggedin)'!B:B=A9,'PretestData (Loggedin)'!C:C&lt;G9)),0)"),"1478906216")</f>
        <v>1478906216</v>
      </c>
      <c r="G9" s="2">
        <f>IFERROR(__xludf.DUMMYFUNCTION("IFERROR(MIN(FILTER({'PretestData (Submission)'!E:E}, 'PretestData (Submission)'!D:D=A9, 'PretestData (Submission)'!A:A=401, 'PretestData (Submission)'!E:E&gt;0)),0)"),"1478907790")</f>
        <v>1478907790</v>
      </c>
      <c r="H9" s="2">
        <f>IFERROR(__xludf.DUMMYFUNCTION("IFERROR(MIN(FILTER('PretestData (ViewVPL)'!D:D, 'PretestData (ViewVPL)'!C:C=A9, 'PretestData (ViewVPL)'!B:B=401,'PretestData (ViewVPL)'!D:D&gt;F9,'PretestData (ViewVPL)'!D:D&lt;G9)),0)"),"1478906598")</f>
        <v>1478906598</v>
      </c>
      <c r="I9" s="2">
        <f>IFERROR(__xludf.DUMMYFUNCTION("IFERROR(MAX(FILTER({'PretestData (Submission)'!E:E}, 'PretestData (Submission)'!D:D=A9, 'PretestData (Submission)'!A:A=401))-H9, 0)"),"1263")</f>
        <v>1263</v>
      </c>
      <c r="J9" s="2">
        <f>COUNTIFS('PretestData (Submission)'!D:D,"="&amp;A9,'PretestData (Submission)'!A:A,"=401",'PretestData (Submission)'!E:E,"&gt;0")</f>
        <v>2</v>
      </c>
      <c r="K9" s="2">
        <f>COUNTIFS('PretestData (Submission)'!D:D,"="&amp;A9,'PretestData (Submission)'!A:A,"=401",'PretestData (Submission)'!H:H,"&gt;0")</f>
        <v>2</v>
      </c>
      <c r="L9" s="2">
        <f>IFERROR(__xludf.DUMMYFUNCTION("IFERROR(MAX(FILTER('PretestData (Submission)'!I:I,'PretestData (Submission)'!D:D=A9,'PretestData (Submission)'!A:A=401,'PretestData (Submission)'!H:H&gt;0)),0)"),"10")</f>
        <v>10</v>
      </c>
      <c r="M9" s="8">
        <f>COUNTIFS('PretestData (ViewVPL)'!C:C,"="&amp;A9,'PretestData (ViewVPL)'!B:B,"=401")</f>
        <v>1</v>
      </c>
      <c r="N9" s="13">
        <f>IFERROR(__xludf.DUMMYFUNCTION("IFERROR(MAX(FILTER('PretestData (Loggedin)'!C:C,'PretestData (Loggedin)'!B:B=A9,'PretestData (Loggedin)'!C:C&lt;O9)),0)"),"1478906216")</f>
        <v>1478906216</v>
      </c>
      <c r="O9" s="13">
        <f>IFERROR(__xludf.DUMMYFUNCTION("IFERROR(MIN(FILTER({'PretestData (Submission)'!E:E}, 'PretestData (Submission)'!D:D=A9, 'PretestData (Submission)'!A:A=403, 'PretestData (Submission)'!E:E&gt;0)),0)"),"1478908571")</f>
        <v>1478908571</v>
      </c>
      <c r="P9" s="13">
        <f>IFERROR(__xludf.DUMMYFUNCTION("IFERROR(MIN(FILTER('PretestData (ViewVPL)'!D:D, 'PretestData (ViewVPL)'!C:C=A9, 'PretestData (ViewVPL)'!B:B=403,'PretestData (ViewVPL)'!D:D&gt;N9,'PretestData (ViewVPL)'!D:D&lt;O9)),0)"),"1478907901")</f>
        <v>1478907901</v>
      </c>
      <c r="Q9" s="13">
        <f>IFERROR(__xludf.DUMMYFUNCTION("IFERROR(MAX(FILTER({'PretestData (Submission)'!E:E}, 'PretestData (Submission)'!D:D=A9, 'PretestData (Submission)'!A:A=403))-P9,0)"),"699")</f>
        <v>699</v>
      </c>
      <c r="R9" s="13">
        <f>COUNTIFS('PretestData (Submission)'!D:D,"="&amp;A9,'PretestData (Submission)'!A:A,"=403",'PretestData (Submission)'!E:E,"&gt;0")</f>
        <v>2</v>
      </c>
      <c r="S9" s="13">
        <f>COUNTIFS('PretestData (Submission)'!D:D,"="&amp;A9,'PretestData (Submission)'!A:A,"=403",'PretestData (Submission)'!H:H,"&gt;0")</f>
        <v>2</v>
      </c>
      <c r="T9" s="13">
        <f>IFERROR(__xludf.DUMMYFUNCTION("IFERROR(MAX(FILTER('PretestData (Submission)'!I:I,'PretestData (Submission)'!D:D=A9,'PretestData (Submission)'!A:A=403,'PretestData (Submission)'!H:H&gt;0)),0)"),"10")</f>
        <v>10</v>
      </c>
      <c r="U9" s="8">
        <f>COUNTIFS('PretestData (ViewVPL)'!C:C,"="&amp;A9,'PretestData (ViewVPL)'!B:B,"=403")</f>
        <v>1</v>
      </c>
      <c r="V9" s="13">
        <f>IFERROR(__xludf.DUMMYFUNCTION("IFERROR(MAX(FILTER('PretestData (Loggedin)'!C:C,'PretestData (Loggedin)'!B:B=A9,'PretestData (Loggedin)'!C:C&lt;W9)),0)"),"0")</f>
        <v>0</v>
      </c>
      <c r="W9" s="13">
        <f>IFERROR(__xludf.DUMMYFUNCTION("IFERROR(MIN(FILTER({'PretestData (Submission)'!E:E}, 'PretestData (Submission)'!D:D=A9, 'PretestData (Submission)'!A:A=404, 'PretestData (Submission)'!E:E&gt;0)),0)"),"0")</f>
        <v>0</v>
      </c>
      <c r="X9" s="13">
        <f>IFERROR(__xludf.DUMMYFUNCTION("IFERROR(MIN(FILTER('PretestData (ViewVPL)'!D:D, 'PretestData (ViewVPL)'!C:C=A9, 'PretestData (ViewVPL)'!B:B=404,'PretestData (ViewVPL)'!D:D&gt;V9,'PretestData (ViewVPL)'!D:D&lt;W9)),0)"),"0")</f>
        <v>0</v>
      </c>
      <c r="Y9" s="13">
        <f>IFERROR(__xludf.DUMMYFUNCTION("IFERROR(MAX(FILTER({'PretestData (Submission)'!E:E}, 'PretestData (Submission)'!D:D=A9, 'PretestData (Submission)'!A:A=404))-X9,0)"),"0")</f>
        <v>0</v>
      </c>
      <c r="Z9" s="13">
        <f>COUNTIFS('PretestData (Submission)'!D:D,"="&amp;A9,'PretestData (Submission)'!A:A,"=404",'PretestData (Submission)'!E:E,"&gt;0")</f>
        <v>0</v>
      </c>
      <c r="AA9" s="13">
        <f>COUNTIFS('PretestData (Submission)'!D:D,"="&amp;A9,'PretestData (Submission)'!A:A,"=404",'PretestData (Submission)'!H:H,"&gt;0")</f>
        <v>0</v>
      </c>
      <c r="AB9" s="13">
        <f>IFERROR(__xludf.DUMMYFUNCTION("IFERROR(MAX(FILTER('PretestData (Submission)'!I:I,'PretestData (Submission)'!D:D=A9,'PretestData (Submission)'!A:A=404,'PretestData (Submission)'!H:H&gt;0)),0)"),"0")</f>
        <v>0</v>
      </c>
      <c r="AC9" s="13">
        <f>COUNTIFS('PretestData (ViewVPL)'!C:C,"="&amp;A9,'PretestData (ViewVPL)'!B:B,"=404")</f>
        <v>3</v>
      </c>
      <c r="AD9" s="13">
        <f>IFERROR(__xludf.DUMMYFUNCTION("IFERROR(MAX(FILTER('PretestData (Loggedin)'!C:C,'PretestData (Loggedin)'!B:B=A9,'PretestData (Loggedin)'!C:C&lt;AE9)),0)"),"0")</f>
        <v>0</v>
      </c>
      <c r="AE9" s="13">
        <f>IFERROR(__xludf.DUMMYFUNCTION("IFERROR(MIN(FILTER({'PretestData (Submission)'!E:E}, 'PretestData (Submission)'!D:D=A9, 'PretestData (Submission)'!A:A=405, 'PretestData (Submission)'!E:E&gt;0)),0)"),"0")</f>
        <v>0</v>
      </c>
      <c r="AF9" s="13">
        <f>IFERROR(__xludf.DUMMYFUNCTION("IFERROR(MIN(FILTER('PretestData (ViewVPL)'!D:D, 'PretestData (ViewVPL)'!C:C=A9, 'PretestData (ViewVPL)'!B:B=405,'PretestData (ViewVPL)'!D:D&gt;AD9,'PretestData (ViewVPL)'!D:D&lt;AE9)),0)"),"0")</f>
        <v>0</v>
      </c>
      <c r="AG9" s="8">
        <f>IFERROR(__xludf.DUMMYFUNCTION("IFERROR(MAX(FILTER({'PretestData (Submission)'!E:E}, 'PretestData (Submission)'!D:D=A9, 'PretestData (Submission)'!A:A=405))-AF9,0)"),"0")</f>
        <v>0</v>
      </c>
      <c r="AH9" s="8">
        <f>COUNTIFS('PretestData (Submission)'!D:D,"="&amp;A9,'PretestData (Submission)'!A:A,"=405",'PretestData (Submission)'!E:E,"&gt;0")</f>
        <v>0</v>
      </c>
      <c r="AI9" s="8">
        <f>COUNTIFS('PretestData (Submission)'!D:D,"="&amp;A9,'PretestData (Submission)'!A:A,"=405",'PretestData (Submission)'!H:H,"&gt;0")</f>
        <v>0</v>
      </c>
      <c r="AJ9" s="8">
        <f>IFERROR(__xludf.DUMMYFUNCTION("IFERROR(MAX(FILTER('PretestData (Submission)'!I:I,'PretestData (Submission)'!D:D=A9,'PretestData (Submission)'!A:A=405,'PretestData (Submission)'!H:H&gt;0)),0)"),"0")</f>
        <v>0</v>
      </c>
      <c r="AK9" s="8">
        <f>COUNTIFS('PretestData (ViewVPL)'!C:C,"="&amp;A9,'PretestData (ViewVPL)'!B:B,"=405")</f>
        <v>0</v>
      </c>
      <c r="AL9" s="8"/>
      <c r="AM9" s="11"/>
      <c r="AN9" s="11"/>
      <c r="AO9" s="8"/>
      <c r="AP9" s="8"/>
      <c r="AQ9" s="8"/>
      <c r="AR9" s="8"/>
      <c r="AS9" s="11"/>
      <c r="AT9" s="11"/>
      <c r="AU9" s="11"/>
    </row>
    <row r="10">
      <c r="A10" s="7">
        <v>10134.0</v>
      </c>
      <c r="B10" s="3" t="s">
        <v>45</v>
      </c>
      <c r="C10" s="3" t="s">
        <v>99</v>
      </c>
      <c r="D10" s="3" t="s">
        <v>63</v>
      </c>
      <c r="E10" s="3" t="s">
        <v>100</v>
      </c>
      <c r="F10" s="2">
        <f>IFERROR(__xludf.DUMMYFUNCTION("IFERROR(MAX(FILTER('PretestData (Loggedin)'!C:C,'PretestData (Loggedin)'!B:B=A10,'PretestData (Loggedin)'!C:C&lt;G10)),0)"),"1478905852")</f>
        <v>1478905852</v>
      </c>
      <c r="G10" s="2">
        <f>IFERROR(__xludf.DUMMYFUNCTION("IFERROR(MIN(FILTER({'PretestData (Submission)'!E:E}, 'PretestData (Submission)'!D:D=A10, 'PretestData (Submission)'!A:A=401, 'PretestData (Submission)'!E:E&gt;0)),0)"),"1478906512")</f>
        <v>1478906512</v>
      </c>
      <c r="H10" s="2">
        <f>IFERROR(__xludf.DUMMYFUNCTION("IFERROR(MIN(FILTER('PretestData (ViewVPL)'!D:D, 'PretestData (ViewVPL)'!C:C=A10, 'PretestData (ViewVPL)'!B:B=401,'PretestData (ViewVPL)'!D:D&gt;F10,'PretestData (ViewVPL)'!D:D&lt;G10)),0)"),"1478906184")</f>
        <v>1478906184</v>
      </c>
      <c r="I10" s="2">
        <f>IFERROR(__xludf.DUMMYFUNCTION("IFERROR(MAX(FILTER({'PretestData (Submission)'!E:E}, 'PretestData (Submission)'!D:D=A10, 'PretestData (Submission)'!A:A=401))-H10, 0)"),"1504")</f>
        <v>1504</v>
      </c>
      <c r="J10" s="2">
        <f>COUNTIFS('PretestData (Submission)'!D:D,"="&amp;A10,'PretestData (Submission)'!A:A,"=401",'PretestData (Submission)'!E:E,"&gt;0")</f>
        <v>16</v>
      </c>
      <c r="K10" s="2">
        <f>COUNTIFS('PretestData (Submission)'!D:D,"="&amp;A10,'PretestData (Submission)'!A:A,"=401",'PretestData (Submission)'!H:H,"&gt;0")</f>
        <v>1</v>
      </c>
      <c r="L10" s="2">
        <f>IFERROR(__xludf.DUMMYFUNCTION("IFERROR(MAX(FILTER('PretestData (Submission)'!I:I,'PretestData (Submission)'!D:D=A10,'PretestData (Submission)'!A:A=401,'PretestData (Submission)'!H:H&gt;0)),0)"),"0")</f>
        <v>0</v>
      </c>
      <c r="M10" s="8">
        <f>COUNTIFS('PretestData (ViewVPL)'!C:C,"="&amp;A10,'PretestData (ViewVPL)'!B:B,"=401")</f>
        <v>5</v>
      </c>
      <c r="N10" s="13">
        <f>IFERROR(__xludf.DUMMYFUNCTION("IFERROR(MAX(FILTER('PretestData (Loggedin)'!C:C,'PretestData (Loggedin)'!B:B=A10,'PretestData (Loggedin)'!C:C&lt;O10)),0)"),"1478905852")</f>
        <v>1478905852</v>
      </c>
      <c r="O10" s="13">
        <f>IFERROR(__xludf.DUMMYFUNCTION("IFERROR(MIN(FILTER({'PretestData (Submission)'!E:E}, 'PretestData (Submission)'!D:D=A10, 'PretestData (Submission)'!A:A=403, 'PretestData (Submission)'!E:E&gt;0)),0)"),"1478908136")</f>
        <v>1478908136</v>
      </c>
      <c r="P10" s="13">
        <f>IFERROR(__xludf.DUMMYFUNCTION("IFERROR(MIN(FILTER('PretestData (ViewVPL)'!D:D, 'PretestData (ViewVPL)'!C:C=A10, 'PretestData (ViewVPL)'!B:B=403,'PretestData (ViewVPL)'!D:D&gt;N10,'PretestData (ViewVPL)'!D:D&lt;O10)),0)"),"1478907820")</f>
        <v>1478907820</v>
      </c>
      <c r="Q10" s="13">
        <f>IFERROR(__xludf.DUMMYFUNCTION("IFERROR(MAX(FILTER({'PretestData (Submission)'!E:E}, 'PretestData (Submission)'!D:D=A10, 'PretestData (Submission)'!A:A=403))-P10,0)"),"1094")</f>
        <v>1094</v>
      </c>
      <c r="R10" s="13">
        <f>COUNTIFS('PretestData (Submission)'!D:D,"="&amp;A10,'PretestData (Submission)'!A:A,"=403",'PretestData (Submission)'!E:E,"&gt;0")</f>
        <v>5</v>
      </c>
      <c r="S10" s="13">
        <f>COUNTIFS('PretestData (Submission)'!D:D,"="&amp;A10,'PretestData (Submission)'!A:A,"=403",'PretestData (Submission)'!H:H,"&gt;0")</f>
        <v>2</v>
      </c>
      <c r="T10" s="13">
        <f>IFERROR(__xludf.DUMMYFUNCTION("IFERROR(MAX(FILTER('PretestData (Submission)'!I:I,'PretestData (Submission)'!D:D=A10,'PretestData (Submission)'!A:A=403,'PretestData (Submission)'!H:H&gt;0)),0)"),"0")</f>
        <v>0</v>
      </c>
      <c r="U10" s="8">
        <f>COUNTIFS('PretestData (ViewVPL)'!C:C,"="&amp;A10,'PretestData (ViewVPL)'!B:B,"=403")</f>
        <v>13</v>
      </c>
      <c r="V10" s="13">
        <f>IFERROR(__xludf.DUMMYFUNCTION("IFERROR(MAX(FILTER('PretestData (Loggedin)'!C:C,'PretestData (Loggedin)'!B:B=A10,'PretestData (Loggedin)'!C:C&lt;W10)),0)"),"1478905852")</f>
        <v>1478905852</v>
      </c>
      <c r="W10" s="13">
        <f>IFERROR(__xludf.DUMMYFUNCTION("IFERROR(MIN(FILTER({'PretestData (Submission)'!E:E}, 'PretestData (Submission)'!D:D=A10, 'PretestData (Submission)'!A:A=404, 'PretestData (Submission)'!E:E&gt;0)),0)"),"1478909418")</f>
        <v>1478909418</v>
      </c>
      <c r="X10" s="13">
        <f>IFERROR(__xludf.DUMMYFUNCTION("IFERROR(MIN(FILTER('PretestData (ViewVPL)'!D:D, 'PretestData (ViewVPL)'!C:C=A10, 'PretestData (ViewVPL)'!B:B=404,'PretestData (ViewVPL)'!D:D&gt;V10,'PretestData (ViewVPL)'!D:D&lt;W10)),0)"),"1478909124")</f>
        <v>1478909124</v>
      </c>
      <c r="Y10" s="13">
        <f>IFERROR(__xludf.DUMMYFUNCTION("IFERROR(MAX(FILTER({'PretestData (Submission)'!E:E}, 'PretestData (Submission)'!D:D=A10, 'PretestData (Submission)'!A:A=404))-X10,0)"),"294")</f>
        <v>294</v>
      </c>
      <c r="Z10" s="13">
        <f>COUNTIFS('PretestData (Submission)'!D:D,"="&amp;A10,'PretestData (Submission)'!A:A,"=404",'PretestData (Submission)'!E:E,"&gt;0")</f>
        <v>1</v>
      </c>
      <c r="AA10" s="13">
        <f>COUNTIFS('PretestData (Submission)'!D:D,"="&amp;A10,'PretestData (Submission)'!A:A,"=404",'PretestData (Submission)'!H:H,"&gt;0")</f>
        <v>1</v>
      </c>
      <c r="AB10" s="13">
        <f>IFERROR(__xludf.DUMMYFUNCTION("IFERROR(MAX(FILTER('PretestData (Submission)'!I:I,'PretestData (Submission)'!D:D=A10,'PretestData (Submission)'!A:A=404,'PretestData (Submission)'!H:H&gt;0)),0)"),"0")</f>
        <v>0</v>
      </c>
      <c r="AC10" s="13">
        <f>COUNTIFS('PretestData (ViewVPL)'!C:C,"="&amp;A10,'PretestData (ViewVPL)'!B:B,"=404")</f>
        <v>3</v>
      </c>
      <c r="AD10" s="13">
        <f>IFERROR(__xludf.DUMMYFUNCTION("IFERROR(MAX(FILTER('PretestData (Loggedin)'!C:C,'PretestData (Loggedin)'!B:B=A10,'PretestData (Loggedin)'!C:C&lt;AE10)),0)"),"1478905852")</f>
        <v>1478905852</v>
      </c>
      <c r="AE10" s="13">
        <f>IFERROR(__xludf.DUMMYFUNCTION("IFERROR(MIN(FILTER({'PretestData (Submission)'!E:E}, 'PretestData (Submission)'!D:D=A10, 'PretestData (Submission)'!A:A=405, 'PretestData (Submission)'!E:E&gt;0)),0)"),"1478910412")</f>
        <v>1478910412</v>
      </c>
      <c r="AF10" s="13">
        <f>IFERROR(__xludf.DUMMYFUNCTION("IFERROR(MIN(FILTER('PretestData (ViewVPL)'!D:D, 'PretestData (ViewVPL)'!C:C=A10, 'PretestData (ViewVPL)'!B:B=405,'PretestData (ViewVPL)'!D:D&gt;AD10,'PretestData (ViewVPL)'!D:D&lt;AE10)),0)"),"1478909663")</f>
        <v>1478909663</v>
      </c>
      <c r="AG10" s="8">
        <f>IFERROR(__xludf.DUMMYFUNCTION("IFERROR(MAX(FILTER({'PretestData (Submission)'!E:E}, 'PretestData (Submission)'!D:D=A10, 'PretestData (Submission)'!A:A=405))-AF10,0)"),"749")</f>
        <v>749</v>
      </c>
      <c r="AH10" s="8">
        <f>COUNTIFS('PretestData (Submission)'!D:D,"="&amp;A10,'PretestData (Submission)'!A:A,"=405",'PretestData (Submission)'!E:E,"&gt;0")</f>
        <v>1</v>
      </c>
      <c r="AI10" s="8">
        <f>COUNTIFS('PretestData (Submission)'!D:D,"="&amp;A10,'PretestData (Submission)'!A:A,"=405",'PretestData (Submission)'!H:H,"&gt;0")</f>
        <v>1</v>
      </c>
      <c r="AJ10" s="8">
        <f>IFERROR(__xludf.DUMMYFUNCTION("IFERROR(MAX(FILTER('PretestData (Submission)'!I:I,'PretestData (Submission)'!D:D=A10,'PretestData (Submission)'!A:A=405,'PretestData (Submission)'!H:H&gt;0)),0)"),"0")</f>
        <v>0</v>
      </c>
      <c r="AK10" s="8">
        <f>COUNTIFS('PretestData (ViewVPL)'!C:C,"="&amp;A10,'PretestData (ViewVPL)'!B:B,"=405")</f>
        <v>1</v>
      </c>
      <c r="AL10" s="8"/>
      <c r="AM10" s="11"/>
      <c r="AN10" s="11"/>
      <c r="AO10" s="8"/>
      <c r="AP10" s="8"/>
      <c r="AQ10" s="8"/>
      <c r="AR10" s="8"/>
      <c r="AS10" s="11"/>
      <c r="AT10" s="11"/>
      <c r="AU10" s="11"/>
    </row>
    <row r="11">
      <c r="A11" s="7">
        <v>10121.0</v>
      </c>
      <c r="B11" s="3" t="s">
        <v>45</v>
      </c>
      <c r="C11" s="3" t="s">
        <v>101</v>
      </c>
      <c r="D11" s="3" t="s">
        <v>47</v>
      </c>
      <c r="E11" s="3" t="s">
        <v>48</v>
      </c>
      <c r="F11" s="2">
        <f>IFERROR(__xludf.DUMMYFUNCTION("IFERROR(MAX(FILTER('PretestData (Loggedin)'!C:C,'PretestData (Loggedin)'!B:B=A11,'PretestData (Loggedin)'!C:C&lt;G11)),0)"),"1478905651")</f>
        <v>1478905651</v>
      </c>
      <c r="G11" s="2">
        <f>IFERROR(__xludf.DUMMYFUNCTION("IFERROR(MIN(FILTER({'PretestData (Submission)'!E:E}, 'PretestData (Submission)'!D:D=A11, 'PretestData (Submission)'!A:A=401, 'PretestData (Submission)'!E:E&gt;0)),0)"),"1478907053")</f>
        <v>1478907053</v>
      </c>
      <c r="H11" s="2">
        <f>IFERROR(__xludf.DUMMYFUNCTION("IFERROR(MIN(FILTER('PretestData (ViewVPL)'!D:D, 'PretestData (ViewVPL)'!C:C=A11, 'PretestData (ViewVPL)'!B:B=401,'PretestData (ViewVPL)'!D:D&gt;F11,'PretestData (ViewVPL)'!D:D&lt;G11)),0)"),"1478906273")</f>
        <v>1478906273</v>
      </c>
      <c r="I11" s="2">
        <f>IFERROR(__xludf.DUMMYFUNCTION("IFERROR(MAX(FILTER({'PretestData (Submission)'!E:E}, 'PretestData (Submission)'!D:D=A11, 'PretestData (Submission)'!A:A=401))-H11, 0)"),"1340")</f>
        <v>1340</v>
      </c>
      <c r="J11" s="2">
        <f>COUNTIFS('PretestData (Submission)'!D:D,"="&amp;A11,'PretestData (Submission)'!A:A,"=401",'PretestData (Submission)'!E:E,"&gt;0")</f>
        <v>7</v>
      </c>
      <c r="K11" s="2">
        <f>COUNTIFS('PretestData (Submission)'!D:D,"="&amp;A11,'PretestData (Submission)'!A:A,"=401",'PretestData (Submission)'!H:H,"&gt;0")</f>
        <v>4</v>
      </c>
      <c r="L11" s="2">
        <f>IFERROR(__xludf.DUMMYFUNCTION("IFERROR(MAX(FILTER('PretestData (Submission)'!I:I,'PretestData (Submission)'!D:D=A11,'PretestData (Submission)'!A:A=401,'PretestData (Submission)'!H:H&gt;0)),0)"),"10")</f>
        <v>10</v>
      </c>
      <c r="M11" s="8">
        <f>COUNTIFS('PretestData (ViewVPL)'!C:C,"="&amp;A11,'PretestData (ViewVPL)'!B:B,"=401")</f>
        <v>7</v>
      </c>
      <c r="N11" s="13">
        <f>IFERROR(__xludf.DUMMYFUNCTION("IFERROR(MAX(FILTER('PretestData (Loggedin)'!C:C,'PretestData (Loggedin)'!B:B=A11,'PretestData (Loggedin)'!C:C&lt;O11)),0)"),"1478905651")</f>
        <v>1478905651</v>
      </c>
      <c r="O11" s="13">
        <f>IFERROR(__xludf.DUMMYFUNCTION("IFERROR(MIN(FILTER({'PretestData (Submission)'!E:E}, 'PretestData (Submission)'!D:D=A11, 'PretestData (Submission)'!A:A=403, 'PretestData (Submission)'!E:E&gt;0)),0)"),"1478908059")</f>
        <v>1478908059</v>
      </c>
      <c r="P11" s="13">
        <f>IFERROR(__xludf.DUMMYFUNCTION("IFERROR(MIN(FILTER('PretestData (ViewVPL)'!D:D, 'PretestData (ViewVPL)'!C:C=A11, 'PretestData (ViewVPL)'!B:B=403,'PretestData (ViewVPL)'!D:D&gt;N11,'PretestData (ViewVPL)'!D:D&lt;O11)),0)"),"1478907662")</f>
        <v>1478907662</v>
      </c>
      <c r="Q11" s="13">
        <f>IFERROR(__xludf.DUMMYFUNCTION("IFERROR(MAX(FILTER({'PretestData (Submission)'!E:E}, 'PretestData (Submission)'!D:D=A11, 'PretestData (Submission)'!A:A=403))-P11,0)"),"922")</f>
        <v>922</v>
      </c>
      <c r="R11" s="13">
        <f>COUNTIFS('PretestData (Submission)'!D:D,"="&amp;A11,'PretestData (Submission)'!A:A,"=403",'PretestData (Submission)'!E:E,"&gt;0")</f>
        <v>2</v>
      </c>
      <c r="S11" s="13">
        <f>COUNTIFS('PretestData (Submission)'!D:D,"="&amp;A11,'PretestData (Submission)'!A:A,"=403",'PretestData (Submission)'!H:H,"&gt;0")</f>
        <v>1</v>
      </c>
      <c r="T11" s="13">
        <f>IFERROR(__xludf.DUMMYFUNCTION("IFERROR(MAX(FILTER('PretestData (Submission)'!I:I,'PretestData (Submission)'!D:D=A11,'PretestData (Submission)'!A:A=403,'PretestData (Submission)'!H:H&gt;0)),0)"),"10")</f>
        <v>10</v>
      </c>
      <c r="U11" s="8">
        <f>COUNTIFS('PretestData (ViewVPL)'!C:C,"="&amp;A11,'PretestData (ViewVPL)'!B:B,"=403")</f>
        <v>8</v>
      </c>
      <c r="V11" s="13">
        <f>IFERROR(__xludf.DUMMYFUNCTION("IFERROR(MAX(FILTER('PretestData (Loggedin)'!C:C,'PretestData (Loggedin)'!B:B=A11,'PretestData (Loggedin)'!C:C&lt;W11)),0)"),"1478905651")</f>
        <v>1478905651</v>
      </c>
      <c r="W11" s="13">
        <f>IFERROR(__xludf.DUMMYFUNCTION("IFERROR(MIN(FILTER({'PretestData (Submission)'!E:E}, 'PretestData (Submission)'!D:D=A11, 'PretestData (Submission)'!A:A=404, 'PretestData (Submission)'!E:E&gt;0)),0)"),"1478909902")</f>
        <v>1478909902</v>
      </c>
      <c r="X11" s="13">
        <f>IFERROR(__xludf.DUMMYFUNCTION("IFERROR(MIN(FILTER('PretestData (ViewVPL)'!D:D, 'PretestData (ViewVPL)'!C:C=A11, 'PretestData (ViewVPL)'!B:B=404,'PretestData (ViewVPL)'!D:D&gt;V11,'PretestData (ViewVPL)'!D:D&lt;W11)),0)"),"1478908625")</f>
        <v>1478908625</v>
      </c>
      <c r="Y11" s="13">
        <f>IFERROR(__xludf.DUMMYFUNCTION("IFERROR(MAX(FILTER({'PretestData (Submission)'!E:E}, 'PretestData (Submission)'!D:D=A11, 'PretestData (Submission)'!A:A=404))-X11,0)"),"1277")</f>
        <v>1277</v>
      </c>
      <c r="Z11" s="13">
        <f>COUNTIFS('PretestData (Submission)'!D:D,"="&amp;A11,'PretestData (Submission)'!A:A,"=404",'PretestData (Submission)'!E:E,"&gt;0")</f>
        <v>1</v>
      </c>
      <c r="AA11" s="13">
        <f>COUNTIFS('PretestData (Submission)'!D:D,"="&amp;A11,'PretestData (Submission)'!A:A,"=404",'PretestData (Submission)'!H:H,"&gt;0")</f>
        <v>0</v>
      </c>
      <c r="AB11" s="13">
        <f>IFERROR(__xludf.DUMMYFUNCTION("IFERROR(MAX(FILTER('PretestData (Submission)'!I:I,'PretestData (Submission)'!D:D=A11,'PretestData (Submission)'!A:A=404,'PretestData (Submission)'!H:H&gt;0)),0)"),"0")</f>
        <v>0</v>
      </c>
      <c r="AC11" s="13">
        <f>COUNTIFS('PretestData (ViewVPL)'!C:C,"="&amp;A11,'PretestData (ViewVPL)'!B:B,"=404")</f>
        <v>8</v>
      </c>
      <c r="AD11" s="13">
        <f>IFERROR(__xludf.DUMMYFUNCTION("IFERROR(MAX(FILTER('PretestData (Loggedin)'!C:C,'PretestData (Loggedin)'!B:B=A11,'PretestData (Loggedin)'!C:C&lt;AE11)),0)"),"0")</f>
        <v>0</v>
      </c>
      <c r="AE11" s="13">
        <f>IFERROR(__xludf.DUMMYFUNCTION("IFERROR(MIN(FILTER({'PretestData (Submission)'!E:E}, 'PretestData (Submission)'!D:D=A11, 'PretestData (Submission)'!A:A=405, 'PretestData (Submission)'!E:E&gt;0)),0)"),"0")</f>
        <v>0</v>
      </c>
      <c r="AF11" s="13">
        <f>IFERROR(__xludf.DUMMYFUNCTION("IFERROR(MIN(FILTER('PretestData (ViewVPL)'!D:D, 'PretestData (ViewVPL)'!C:C=A11, 'PretestData (ViewVPL)'!B:B=405,'PretestData (ViewVPL)'!D:D&gt;AD11,'PretestData (ViewVPL)'!D:D&lt;AE11)),0)"),"0")</f>
        <v>0</v>
      </c>
      <c r="AG11" s="8">
        <f>IFERROR(__xludf.DUMMYFUNCTION("IFERROR(MAX(FILTER({'PretestData (Submission)'!E:E}, 'PretestData (Submission)'!D:D=A11, 'PretestData (Submission)'!A:A=405))-AF11,0)"),"0")</f>
        <v>0</v>
      </c>
      <c r="AH11" s="8">
        <f>COUNTIFS('PretestData (Submission)'!D:D,"="&amp;A11,'PretestData (Submission)'!A:A,"=405",'PretestData (Submission)'!E:E,"&gt;0")</f>
        <v>0</v>
      </c>
      <c r="AI11" s="8">
        <f>COUNTIFS('PretestData (Submission)'!D:D,"="&amp;A11,'PretestData (Submission)'!A:A,"=405",'PretestData (Submission)'!H:H,"&gt;0")</f>
        <v>0</v>
      </c>
      <c r="AJ11" s="8">
        <f>IFERROR(__xludf.DUMMYFUNCTION("IFERROR(MAX(FILTER('PretestData (Submission)'!I:I,'PretestData (Submission)'!D:D=A11,'PretestData (Submission)'!A:A=405,'PretestData (Submission)'!H:H&gt;0)),0)"),"0")</f>
        <v>0</v>
      </c>
      <c r="AK11" s="8">
        <f>COUNTIFS('PretestData (ViewVPL)'!C:C,"="&amp;A11,'PretestData (ViewVPL)'!B:B,"=405")</f>
        <v>0</v>
      </c>
      <c r="AL11" s="8"/>
      <c r="AM11" s="11"/>
      <c r="AN11" s="11"/>
      <c r="AO11" s="8"/>
      <c r="AP11" s="8"/>
      <c r="AQ11" s="8"/>
      <c r="AR11" s="8"/>
      <c r="AS11" s="11"/>
      <c r="AT11" s="11"/>
      <c r="AU11" s="11"/>
    </row>
    <row r="12">
      <c r="A12" s="7">
        <v>10133.0</v>
      </c>
      <c r="B12" s="3" t="s">
        <v>45</v>
      </c>
      <c r="C12" s="3" t="s">
        <v>101</v>
      </c>
      <c r="D12" s="3" t="s">
        <v>63</v>
      </c>
      <c r="E12" s="3" t="s">
        <v>48</v>
      </c>
      <c r="F12" s="2">
        <f>IFERROR(__xludf.DUMMYFUNCTION("IFERROR(MAX(FILTER('PretestData (Loggedin)'!C:C,'PretestData (Loggedin)'!B:B=A12,'PretestData (Loggedin)'!C:C&lt;G12)),0)"),"1478905826")</f>
        <v>1478905826</v>
      </c>
      <c r="G12" s="2">
        <f>IFERROR(__xludf.DUMMYFUNCTION("IFERROR(MIN(FILTER({'PretestData (Submission)'!E:E}, 'PretestData (Submission)'!D:D=A12, 'PretestData (Submission)'!A:A=401, 'PretestData (Submission)'!E:E&gt;0)),0)"),"1478908030")</f>
        <v>1478908030</v>
      </c>
      <c r="H12" s="2">
        <f>IFERROR(__xludf.DUMMYFUNCTION("IFERROR(MIN(FILTER('PretestData (ViewVPL)'!D:D, 'PretestData (ViewVPL)'!C:C=A12, 'PretestData (ViewVPL)'!B:B=401,'PretestData (ViewVPL)'!D:D&gt;F12,'PretestData (ViewVPL)'!D:D&lt;G12)),0)"),"1478906433")</f>
        <v>1478906433</v>
      </c>
      <c r="I12" s="2">
        <f>IFERROR(__xludf.DUMMYFUNCTION("IFERROR(MAX(FILTER({'PretestData (Submission)'!E:E}, 'PretestData (Submission)'!D:D=A12, 'PretestData (Submission)'!A:A=401))-H12, 0)"),"4428")</f>
        <v>4428</v>
      </c>
      <c r="J12" s="2">
        <f>COUNTIFS('PretestData (Submission)'!D:D,"="&amp;A12,'PretestData (Submission)'!A:A,"=401",'PretestData (Submission)'!E:E,"&gt;0")</f>
        <v>9</v>
      </c>
      <c r="K12" s="2">
        <f>COUNTIFS('PretestData (Submission)'!D:D,"="&amp;A12,'PretestData (Submission)'!A:A,"=401",'PretestData (Submission)'!H:H,"&gt;0")</f>
        <v>5</v>
      </c>
      <c r="L12" s="2">
        <f>IFERROR(__xludf.DUMMYFUNCTION("IFERROR(MAX(FILTER('PretestData (Submission)'!I:I,'PretestData (Submission)'!D:D=A12,'PretestData (Submission)'!A:A=401,'PretestData (Submission)'!H:H&gt;0)),0)"),"10")</f>
        <v>10</v>
      </c>
      <c r="M12" s="8">
        <f>COUNTIFS('PretestData (ViewVPL)'!C:C,"="&amp;A12,'PretestData (ViewVPL)'!B:B,"=401")</f>
        <v>12</v>
      </c>
      <c r="N12" s="13">
        <f>IFERROR(__xludf.DUMMYFUNCTION("IFERROR(MAX(FILTER('PretestData (Loggedin)'!C:C,'PretestData (Loggedin)'!B:B=A12,'PretestData (Loggedin)'!C:C&lt;O12)),0)"),"1478905826")</f>
        <v>1478905826</v>
      </c>
      <c r="O12" s="13">
        <f>IFERROR(__xludf.DUMMYFUNCTION("IFERROR(MIN(FILTER({'PretestData (Submission)'!E:E}, 'PretestData (Submission)'!D:D=A12, 'PretestData (Submission)'!A:A=403, 'PretestData (Submission)'!E:E&gt;0)),0)"),"1478909883")</f>
        <v>1478909883</v>
      </c>
      <c r="P12" s="13">
        <f>IFERROR(__xludf.DUMMYFUNCTION("IFERROR(MIN(FILTER('PretestData (ViewVPL)'!D:D, 'PretestData (ViewVPL)'!C:C=A12, 'PretestData (ViewVPL)'!B:B=403,'PretestData (ViewVPL)'!D:D&gt;N12,'PretestData (ViewVPL)'!D:D&lt;O12)),0)"),"1478909225")</f>
        <v>1478909225</v>
      </c>
      <c r="Q12" s="13">
        <f>IFERROR(__xludf.DUMMYFUNCTION("IFERROR(MAX(FILTER({'PretestData (Submission)'!E:E}, 'PretestData (Submission)'!D:D=A12, 'PretestData (Submission)'!A:A=403))-P12,0)"),"717")</f>
        <v>717</v>
      </c>
      <c r="R12" s="13">
        <f>COUNTIFS('PretestData (Submission)'!D:D,"="&amp;A12,'PretestData (Submission)'!A:A,"=403",'PretestData (Submission)'!E:E,"&gt;0")</f>
        <v>2</v>
      </c>
      <c r="S12" s="13">
        <f>COUNTIFS('PretestData (Submission)'!D:D,"="&amp;A12,'PretestData (Submission)'!A:A,"=403",'PretestData (Submission)'!H:H,"&gt;0")</f>
        <v>2</v>
      </c>
      <c r="T12" s="13">
        <f>IFERROR(__xludf.DUMMYFUNCTION("IFERROR(MAX(FILTER('PretestData (Submission)'!I:I,'PretestData (Submission)'!D:D=A12,'PretestData (Submission)'!A:A=403,'PretestData (Submission)'!H:H&gt;0)),0)"),"10")</f>
        <v>10</v>
      </c>
      <c r="U12" s="8">
        <f>COUNTIFS('PretestData (ViewVPL)'!C:C,"="&amp;A12,'PretestData (ViewVPL)'!B:B,"=403")</f>
        <v>6</v>
      </c>
      <c r="V12" s="13">
        <f>IFERROR(__xludf.DUMMYFUNCTION("IFERROR(MAX(FILTER('PretestData (Loggedin)'!C:C,'PretestData (Loggedin)'!B:B=A12,'PretestData (Loggedin)'!C:C&lt;W12)),0)"),"0")</f>
        <v>0</v>
      </c>
      <c r="W12" s="13">
        <f>IFERROR(__xludf.DUMMYFUNCTION("IFERROR(MIN(FILTER({'PretestData (Submission)'!E:E}, 'PretestData (Submission)'!D:D=A12, 'PretestData (Submission)'!A:A=404, 'PretestData (Submission)'!E:E&gt;0)),0)"),"0")</f>
        <v>0</v>
      </c>
      <c r="X12" s="13">
        <f>IFERROR(__xludf.DUMMYFUNCTION("IFERROR(MIN(FILTER('PretestData (ViewVPL)'!D:D, 'PretestData (ViewVPL)'!C:C=A12, 'PretestData (ViewVPL)'!B:B=404,'PretestData (ViewVPL)'!D:D&gt;V12,'PretestData (ViewVPL)'!D:D&lt;W12)),0)"),"0")</f>
        <v>0</v>
      </c>
      <c r="Y12" s="13">
        <f>IFERROR(__xludf.DUMMYFUNCTION("IFERROR(MAX(FILTER({'PretestData (Submission)'!E:E}, 'PretestData (Submission)'!D:D=A12, 'PretestData (Submission)'!A:A=404))-X12,0)"),"0")</f>
        <v>0</v>
      </c>
      <c r="Z12" s="13">
        <f>COUNTIFS('PretestData (Submission)'!D:D,"="&amp;A12,'PretestData (Submission)'!A:A,"=404",'PretestData (Submission)'!E:E,"&gt;0")</f>
        <v>0</v>
      </c>
      <c r="AA12" s="13">
        <f>COUNTIFS('PretestData (Submission)'!D:D,"="&amp;A12,'PretestData (Submission)'!A:A,"=404",'PretestData (Submission)'!H:H,"&gt;0")</f>
        <v>0</v>
      </c>
      <c r="AB12" s="13">
        <f>IFERROR(__xludf.DUMMYFUNCTION("IFERROR(MAX(FILTER('PretestData (Submission)'!I:I,'PretestData (Submission)'!D:D=A12,'PretestData (Submission)'!A:A=404,'PretestData (Submission)'!H:H&gt;0)),0)"),"0")</f>
        <v>0</v>
      </c>
      <c r="AC12" s="13">
        <f>COUNTIFS('PretestData (ViewVPL)'!C:C,"="&amp;A12,'PretestData (ViewVPL)'!B:B,"=404")</f>
        <v>4</v>
      </c>
      <c r="AD12" s="13">
        <f>IFERROR(__xludf.DUMMYFUNCTION("IFERROR(MAX(FILTER('PretestData (Loggedin)'!C:C,'PretestData (Loggedin)'!B:B=A12,'PretestData (Loggedin)'!C:C&lt;AE12)),0)"),"0")</f>
        <v>0</v>
      </c>
      <c r="AE12" s="13">
        <f>IFERROR(__xludf.DUMMYFUNCTION("IFERROR(MIN(FILTER({'PretestData (Submission)'!E:E}, 'PretestData (Submission)'!D:D=A12, 'PretestData (Submission)'!A:A=405, 'PretestData (Submission)'!E:E&gt;0)),0)"),"0")</f>
        <v>0</v>
      </c>
      <c r="AF12" s="13">
        <f>IFERROR(__xludf.DUMMYFUNCTION("IFERROR(MIN(FILTER('PretestData (ViewVPL)'!D:D, 'PretestData (ViewVPL)'!C:C=A12, 'PretestData (ViewVPL)'!B:B=405,'PretestData (ViewVPL)'!D:D&gt;AD12,'PretestData (ViewVPL)'!D:D&lt;AE12)),0)"),"0")</f>
        <v>0</v>
      </c>
      <c r="AG12" s="8">
        <f>IFERROR(__xludf.DUMMYFUNCTION("IFERROR(MAX(FILTER({'PretestData (Submission)'!E:E}, 'PretestData (Submission)'!D:D=A12, 'PretestData (Submission)'!A:A=405))-AF12,0)"),"0")</f>
        <v>0</v>
      </c>
      <c r="AH12" s="8">
        <f>COUNTIFS('PretestData (Submission)'!D:D,"="&amp;A12,'PretestData (Submission)'!A:A,"=405",'PretestData (Submission)'!E:E,"&gt;0")</f>
        <v>0</v>
      </c>
      <c r="AI12" s="8">
        <f>COUNTIFS('PretestData (Submission)'!D:D,"="&amp;A12,'PretestData (Submission)'!A:A,"=405",'PretestData (Submission)'!H:H,"&gt;0")</f>
        <v>0</v>
      </c>
      <c r="AJ12" s="8">
        <f>IFERROR(__xludf.DUMMYFUNCTION("IFERROR(MAX(FILTER('PretestData (Submission)'!I:I,'PretestData (Submission)'!D:D=A12,'PretestData (Submission)'!A:A=405,'PretestData (Submission)'!H:H&gt;0)),0)"),"0")</f>
        <v>0</v>
      </c>
      <c r="AK12" s="8">
        <f>COUNTIFS('PretestData (ViewVPL)'!C:C,"="&amp;A12,'PretestData (ViewVPL)'!B:B,"=405")</f>
        <v>1</v>
      </c>
      <c r="AL12" s="8"/>
      <c r="AM12" s="11"/>
      <c r="AN12" s="11"/>
      <c r="AO12" s="8"/>
      <c r="AP12" s="8"/>
      <c r="AQ12" s="8"/>
      <c r="AR12" s="8"/>
      <c r="AS12" s="11"/>
      <c r="AT12" s="11"/>
      <c r="AU12" s="11"/>
    </row>
    <row r="13">
      <c r="A13" s="7">
        <v>10142.0</v>
      </c>
      <c r="B13" s="3" t="s">
        <v>45</v>
      </c>
      <c r="C13" s="3" t="s">
        <v>101</v>
      </c>
      <c r="D13" s="3" t="s">
        <v>63</v>
      </c>
      <c r="E13" s="3" t="s">
        <v>48</v>
      </c>
      <c r="F13" s="2">
        <f>IFERROR(__xludf.DUMMYFUNCTION("IFERROR(MAX(FILTER('PretestData (Loggedin)'!C:C,'PretestData (Loggedin)'!B:B=A13,'PretestData (Loggedin)'!C:C&lt;G13)),0)"),"1478906200")</f>
        <v>1478906200</v>
      </c>
      <c r="G13" s="2">
        <f>IFERROR(__xludf.DUMMYFUNCTION("IFERROR(MIN(FILTER({'PretestData (Submission)'!E:E}, 'PretestData (Submission)'!D:D=A13, 'PretestData (Submission)'!A:A=401, 'PretestData (Submission)'!E:E&gt;0)),0)"),"1478907050")</f>
        <v>1478907050</v>
      </c>
      <c r="H13" s="2">
        <f>IFERROR(__xludf.DUMMYFUNCTION("IFERROR(MIN(FILTER('PretestData (ViewVPL)'!D:D, 'PretestData (ViewVPL)'!C:C=A13, 'PretestData (ViewVPL)'!B:B=401,'PretestData (ViewVPL)'!D:D&gt;F13,'PretestData (ViewVPL)'!D:D&lt;G13)),0)"),"1478906458")</f>
        <v>1478906458</v>
      </c>
      <c r="I13" s="2">
        <f>IFERROR(__xludf.DUMMYFUNCTION("IFERROR(MAX(FILTER({'PretestData (Submission)'!E:E}, 'PretestData (Submission)'!D:D=A13, 'PretestData (Submission)'!A:A=401))-H13, 0)"),"592")</f>
        <v>592</v>
      </c>
      <c r="J13" s="2">
        <f>COUNTIFS('PretestData (Submission)'!D:D,"="&amp;A13,'PretestData (Submission)'!A:A,"=401",'PretestData (Submission)'!E:E,"&gt;0")</f>
        <v>1</v>
      </c>
      <c r="K13" s="2">
        <f>COUNTIFS('PretestData (Submission)'!D:D,"="&amp;A13,'PretestData (Submission)'!A:A,"=401",'PretestData (Submission)'!H:H,"&gt;0")</f>
        <v>1</v>
      </c>
      <c r="L13" s="2">
        <f>IFERROR(__xludf.DUMMYFUNCTION("IFERROR(MAX(FILTER('PretestData (Submission)'!I:I,'PretestData (Submission)'!D:D=A13,'PretestData (Submission)'!A:A=401,'PretestData (Submission)'!H:H&gt;0)),0)"),"0")</f>
        <v>0</v>
      </c>
      <c r="M13" s="8">
        <f>COUNTIFS('PretestData (ViewVPL)'!C:C,"="&amp;A13,'PretestData (ViewVPL)'!B:B,"=401")</f>
        <v>13</v>
      </c>
      <c r="N13" s="13">
        <f>IFERROR(__xludf.DUMMYFUNCTION("IFERROR(MAX(FILTER('PretestData (Loggedin)'!C:C,'PretestData (Loggedin)'!B:B=A13,'PretestData (Loggedin)'!C:C&lt;O13)),0)"),"1478906200")</f>
        <v>1478906200</v>
      </c>
      <c r="O13" s="13">
        <f>IFERROR(__xludf.DUMMYFUNCTION("IFERROR(MIN(FILTER({'PretestData (Submission)'!E:E}, 'PretestData (Submission)'!D:D=A13, 'PretestData (Submission)'!A:A=403, 'PretestData (Submission)'!E:E&gt;0)),0)"),"1478908740")</f>
        <v>1478908740</v>
      </c>
      <c r="P13" s="13">
        <f>IFERROR(__xludf.DUMMYFUNCTION("IFERROR(MIN(FILTER('PretestData (ViewVPL)'!D:D, 'PretestData (ViewVPL)'!C:C=A13, 'PretestData (ViewVPL)'!B:B=403,'PretestData (ViewVPL)'!D:D&gt;N13,'PretestData (ViewVPL)'!D:D&lt;O13)),0)"),"1478908333")</f>
        <v>1478908333</v>
      </c>
      <c r="Q13" s="13">
        <f>IFERROR(__xludf.DUMMYFUNCTION("IFERROR(MAX(FILTER({'PretestData (Submission)'!E:E}, 'PretestData (Submission)'!D:D=A13, 'PretestData (Submission)'!A:A=403))-P13,0)"),"407")</f>
        <v>407</v>
      </c>
      <c r="R13" s="13">
        <f>COUNTIFS('PretestData (Submission)'!D:D,"="&amp;A13,'PretestData (Submission)'!A:A,"=403",'PretestData (Submission)'!E:E,"&gt;0")</f>
        <v>1</v>
      </c>
      <c r="S13" s="13">
        <f>COUNTIFS('PretestData (Submission)'!D:D,"="&amp;A13,'PretestData (Submission)'!A:A,"=403",'PretestData (Submission)'!H:H,"&gt;0")</f>
        <v>1</v>
      </c>
      <c r="T13" s="13">
        <f>IFERROR(__xludf.DUMMYFUNCTION("IFERROR(MAX(FILTER('PretestData (Submission)'!I:I,'PretestData (Submission)'!D:D=A13,'PretestData (Submission)'!A:A=403,'PretestData (Submission)'!H:H&gt;0)),0)"),"0")</f>
        <v>0</v>
      </c>
      <c r="U13" s="8">
        <f>COUNTIFS('PretestData (ViewVPL)'!C:C,"="&amp;A13,'PretestData (ViewVPL)'!B:B,"=403")</f>
        <v>5</v>
      </c>
      <c r="V13" s="13">
        <f>IFERROR(__xludf.DUMMYFUNCTION("IFERROR(MAX(FILTER('PretestData (Loggedin)'!C:C,'PretestData (Loggedin)'!B:B=A13,'PretestData (Loggedin)'!C:C&lt;W13)),0)"),"1479347925")</f>
        <v>1479347925</v>
      </c>
      <c r="W13" s="13">
        <f>IFERROR(__xludf.DUMMYFUNCTION("IFERROR(MIN(FILTER({'PretestData (Submission)'!E:E}, 'PretestData (Submission)'!D:D=A13, 'PretestData (Submission)'!A:A=404, 'PretestData (Submission)'!E:E&gt;0)),0)"),"1479348145")</f>
        <v>1479348145</v>
      </c>
      <c r="X13" s="13">
        <f>IFERROR(__xludf.DUMMYFUNCTION("IFERROR(MIN(FILTER('PretestData (ViewVPL)'!D:D, 'PretestData (ViewVPL)'!C:C=A13, 'PretestData (ViewVPL)'!B:B=404,'PretestData (ViewVPL)'!D:D&gt;V13,'PretestData (ViewVPL)'!D:D&lt;W13)),0)"),"1479347944")</f>
        <v>1479347944</v>
      </c>
      <c r="Y13" s="13">
        <f>IFERROR(__xludf.DUMMYFUNCTION("IFERROR(MAX(FILTER({'PretestData (Submission)'!E:E}, 'PretestData (Submission)'!D:D=A13, 'PretestData (Submission)'!A:A=404))-X13,0)"),"201")</f>
        <v>201</v>
      </c>
      <c r="Z13" s="13">
        <f>COUNTIFS('PretestData (Submission)'!D:D,"="&amp;A13,'PretestData (Submission)'!A:A,"=404",'PretestData (Submission)'!E:E,"&gt;0")</f>
        <v>1</v>
      </c>
      <c r="AA13" s="13">
        <f>COUNTIFS('PretestData (Submission)'!D:D,"="&amp;A13,'PretestData (Submission)'!A:A,"=404",'PretestData (Submission)'!H:H,"&gt;0")</f>
        <v>1</v>
      </c>
      <c r="AB13" s="13">
        <f>IFERROR(__xludf.DUMMYFUNCTION("IFERROR(MAX(FILTER('PretestData (Submission)'!I:I,'PretestData (Submission)'!D:D=A13,'PretestData (Submission)'!A:A=404,'PretestData (Submission)'!H:H&gt;0)),0)"),"0")</f>
        <v>0</v>
      </c>
      <c r="AC13" s="13">
        <f>COUNTIFS('PretestData (ViewVPL)'!C:C,"="&amp;A13,'PretestData (ViewVPL)'!B:B,"=404")</f>
        <v>4</v>
      </c>
      <c r="AD13" s="13">
        <f>IFERROR(__xludf.DUMMYFUNCTION("IFERROR(MAX(FILTER('PretestData (Loggedin)'!C:C,'PretestData (Loggedin)'!B:B=A13,'PretestData (Loggedin)'!C:C&lt;AE13)),0)"),"0")</f>
        <v>0</v>
      </c>
      <c r="AE13" s="13">
        <f>IFERROR(__xludf.DUMMYFUNCTION("IFERROR(MIN(FILTER({'PretestData (Submission)'!E:E}, 'PretestData (Submission)'!D:D=A13, 'PretestData (Submission)'!A:A=405, 'PretestData (Submission)'!E:E&gt;0)),0)"),"0")</f>
        <v>0</v>
      </c>
      <c r="AF13" s="13">
        <f>IFERROR(__xludf.DUMMYFUNCTION("IFERROR(MIN(FILTER('PretestData (ViewVPL)'!D:D, 'PretestData (ViewVPL)'!C:C=A13, 'PretestData (ViewVPL)'!B:B=405,'PretestData (ViewVPL)'!D:D&gt;AD13,'PretestData (ViewVPL)'!D:D&lt;AE13)),0)"),"0")</f>
        <v>0</v>
      </c>
      <c r="AG13" s="8">
        <f>IFERROR(__xludf.DUMMYFUNCTION("IFERROR(MAX(FILTER({'PretestData (Submission)'!E:E}, 'PretestData (Submission)'!D:D=A13, 'PretestData (Submission)'!A:A=405))-AF13,0)"),"0")</f>
        <v>0</v>
      </c>
      <c r="AH13" s="8">
        <f>COUNTIFS('PretestData (Submission)'!D:D,"="&amp;A13,'PretestData (Submission)'!A:A,"=405",'PretestData (Submission)'!E:E,"&gt;0")</f>
        <v>0</v>
      </c>
      <c r="AI13" s="8">
        <f>COUNTIFS('PretestData (Submission)'!D:D,"="&amp;A13,'PretestData (Submission)'!A:A,"=405",'PretestData (Submission)'!H:H,"&gt;0")</f>
        <v>0</v>
      </c>
      <c r="AJ13" s="8">
        <f>IFERROR(__xludf.DUMMYFUNCTION("IFERROR(MAX(FILTER('PretestData (Submission)'!I:I,'PretestData (Submission)'!D:D=A13,'PretestData (Submission)'!A:A=405,'PretestData (Submission)'!H:H&gt;0)),0)"),"0")</f>
        <v>0</v>
      </c>
      <c r="AK13" s="8">
        <f>COUNTIFS('PretestData (ViewVPL)'!C:C,"="&amp;A13,'PretestData (ViewVPL)'!B:B,"=405")</f>
        <v>0</v>
      </c>
      <c r="AL13" s="8"/>
      <c r="AM13" s="11"/>
      <c r="AN13" s="11"/>
      <c r="AO13" s="8"/>
      <c r="AP13" s="8"/>
      <c r="AQ13" s="8"/>
      <c r="AR13" s="8"/>
      <c r="AS13" s="11"/>
      <c r="AT13" s="11"/>
      <c r="AU13" s="11"/>
    </row>
    <row r="14">
      <c r="A14" s="7">
        <v>10127.0</v>
      </c>
      <c r="B14" s="3" t="s">
        <v>45</v>
      </c>
      <c r="C14" s="3" t="s">
        <v>101</v>
      </c>
      <c r="D14" s="3" t="s">
        <v>63</v>
      </c>
      <c r="E14" s="3" t="s">
        <v>48</v>
      </c>
      <c r="F14" s="2">
        <f>IFERROR(__xludf.DUMMYFUNCTION("IFERROR(MAX(FILTER('PretestData (Loggedin)'!C:C,'PretestData (Loggedin)'!B:B=A14,'PretestData (Loggedin)'!C:C&lt;G14)),0)"),"1478905718")</f>
        <v>1478905718</v>
      </c>
      <c r="G14" s="2">
        <f>IFERROR(__xludf.DUMMYFUNCTION("IFERROR(MIN(FILTER({'PretestData (Submission)'!E:E}, 'PretestData (Submission)'!D:D=A14, 'PretestData (Submission)'!A:A=401, 'PretestData (Submission)'!E:E&gt;0)),0)"),"1478907130")</f>
        <v>1478907130</v>
      </c>
      <c r="H14" s="2">
        <f>IFERROR(__xludf.DUMMYFUNCTION("IFERROR(MIN(FILTER('PretestData (ViewVPL)'!D:D, 'PretestData (ViewVPL)'!C:C=A14, 'PretestData (ViewVPL)'!B:B=401,'PretestData (ViewVPL)'!D:D&gt;F14,'PretestData (ViewVPL)'!D:D&lt;G14)),0)"),"1478906374")</f>
        <v>1478906374</v>
      </c>
      <c r="I14" s="2">
        <f>IFERROR(__xludf.DUMMYFUNCTION("IFERROR(MAX(FILTER({'PretestData (Submission)'!E:E}, 'PretestData (Submission)'!D:D=A14, 'PretestData (Submission)'!A:A=401))-H14, 0)"),"1315")</f>
        <v>1315</v>
      </c>
      <c r="J14" s="2">
        <f>COUNTIFS('PretestData (Submission)'!D:D,"="&amp;A14,'PretestData (Submission)'!A:A,"=401",'PretestData (Submission)'!E:E,"&gt;0")</f>
        <v>9</v>
      </c>
      <c r="K14" s="2">
        <f>COUNTIFS('PretestData (Submission)'!D:D,"="&amp;A14,'PretestData (Submission)'!A:A,"=401",'PretestData (Submission)'!H:H,"&gt;0")</f>
        <v>5</v>
      </c>
      <c r="L14" s="2">
        <f>IFERROR(__xludf.DUMMYFUNCTION("IFERROR(MAX(FILTER('PretestData (Submission)'!I:I,'PretestData (Submission)'!D:D=A14,'PretestData (Submission)'!A:A=401,'PretestData (Submission)'!H:H&gt;0)),0)"),"10")</f>
        <v>10</v>
      </c>
      <c r="M14" s="8">
        <f>COUNTIFS('PretestData (ViewVPL)'!C:C,"="&amp;A14,'PretestData (ViewVPL)'!B:B,"=401")</f>
        <v>10</v>
      </c>
      <c r="N14" s="13">
        <f>IFERROR(__xludf.DUMMYFUNCTION("IFERROR(MAX(FILTER('PretestData (Loggedin)'!C:C,'PretestData (Loggedin)'!B:B=A14,'PretestData (Loggedin)'!C:C&lt;O14)),0)"),"1478905718")</f>
        <v>1478905718</v>
      </c>
      <c r="O14" s="13">
        <f>IFERROR(__xludf.DUMMYFUNCTION("IFERROR(MIN(FILTER({'PretestData (Submission)'!E:E}, 'PretestData (Submission)'!D:D=A14, 'PretestData (Submission)'!A:A=403, 'PretestData (Submission)'!E:E&gt;0)),0)"),"1478907855")</f>
        <v>1478907855</v>
      </c>
      <c r="P14" s="13">
        <f>IFERROR(__xludf.DUMMYFUNCTION("IFERROR(MIN(FILTER('PretestData (ViewVPL)'!D:D, 'PretestData (ViewVPL)'!C:C=A14, 'PretestData (ViewVPL)'!B:B=403,'PretestData (ViewVPL)'!D:D&gt;N14,'PretestData (ViewVPL)'!D:D&lt;O14)),0)"),"1478907735")</f>
        <v>1478907735</v>
      </c>
      <c r="Q14" s="13">
        <f>IFERROR(__xludf.DUMMYFUNCTION("IFERROR(MAX(FILTER({'PretestData (Submission)'!E:E}, 'PretestData (Submission)'!D:D=A14, 'PretestData (Submission)'!A:A=403))-P14,0)"),"401480")</f>
        <v>401480</v>
      </c>
      <c r="R14" s="13">
        <f>COUNTIFS('PretestData (Submission)'!D:D,"="&amp;A14,'PretestData (Submission)'!A:A,"=403",'PretestData (Submission)'!E:E,"&gt;0")</f>
        <v>15</v>
      </c>
      <c r="S14" s="13">
        <f>COUNTIFS('PretestData (Submission)'!D:D,"="&amp;A14,'PretestData (Submission)'!A:A,"=403",'PretestData (Submission)'!H:H,"&gt;0")</f>
        <v>5</v>
      </c>
      <c r="T14" s="13">
        <f>IFERROR(__xludf.DUMMYFUNCTION("IFERROR(MAX(FILTER('PretestData (Submission)'!I:I,'PretestData (Submission)'!D:D=A14,'PretestData (Submission)'!A:A=403,'PretestData (Submission)'!H:H&gt;0)),0)"),"10")</f>
        <v>10</v>
      </c>
      <c r="U14" s="8">
        <f>COUNTIFS('PretestData (ViewVPL)'!C:C,"="&amp;A14,'PretestData (ViewVPL)'!B:B,"=403")</f>
        <v>9</v>
      </c>
      <c r="V14" s="13">
        <f>IFERROR(__xludf.DUMMYFUNCTION("IFERROR(MAX(FILTER('PretestData (Loggedin)'!C:C,'PretestData (Loggedin)'!B:B=A14,'PretestData (Loggedin)'!C:C&lt;W14)),0)"),"1478905718")</f>
        <v>1478905718</v>
      </c>
      <c r="W14" s="13">
        <f>IFERROR(__xludf.DUMMYFUNCTION("IFERROR(MIN(FILTER({'PretestData (Submission)'!E:E}, 'PretestData (Submission)'!D:D=A14, 'PretestData (Submission)'!A:A=404, 'PretestData (Submission)'!E:E&gt;0)),0)"),"1478909369")</f>
        <v>1478909369</v>
      </c>
      <c r="X14" s="13">
        <f>IFERROR(__xludf.DUMMYFUNCTION("IFERROR(MIN(FILTER('PretestData (ViewVPL)'!D:D, 'PretestData (ViewVPL)'!C:C=A14, 'PretestData (ViewVPL)'!B:B=404,'PretestData (ViewVPL)'!D:D&gt;V14,'PretestData (ViewVPL)'!D:D&lt;W14)),0)"),"1478908689")</f>
        <v>1478908689</v>
      </c>
      <c r="Y14" s="13">
        <f>IFERROR(__xludf.DUMMYFUNCTION("IFERROR(MAX(FILTER({'PretestData (Submission)'!E:E}, 'PretestData (Submission)'!D:D=A14, 'PretestData (Submission)'!A:A=404))-X14,0)"),"1671")</f>
        <v>1671</v>
      </c>
      <c r="Z14" s="13">
        <f>COUNTIFS('PretestData (Submission)'!D:D,"="&amp;A14,'PretestData (Submission)'!A:A,"=404",'PretestData (Submission)'!E:E,"&gt;0")</f>
        <v>4</v>
      </c>
      <c r="AA14" s="13">
        <f>COUNTIFS('PretestData (Submission)'!D:D,"="&amp;A14,'PretestData (Submission)'!A:A,"=404",'PretestData (Submission)'!H:H,"&gt;0")</f>
        <v>1</v>
      </c>
      <c r="AB14" s="13">
        <f>IFERROR(__xludf.DUMMYFUNCTION("IFERROR(MAX(FILTER('PretestData (Submission)'!I:I,'PretestData (Submission)'!D:D=A14,'PretestData (Submission)'!A:A=404,'PretestData (Submission)'!H:H&gt;0)),0)"),"0")</f>
        <v>0</v>
      </c>
      <c r="AC14" s="13">
        <f>COUNTIFS('PretestData (ViewVPL)'!C:C,"="&amp;A14,'PretestData (ViewVPL)'!B:B,"=404")</f>
        <v>9</v>
      </c>
      <c r="AD14" s="13">
        <f>IFERROR(__xludf.DUMMYFUNCTION("IFERROR(MAX(FILTER('PretestData (Loggedin)'!C:C,'PretestData (Loggedin)'!B:B=A14,'PretestData (Loggedin)'!C:C&lt;AE14)),0)"),"0")</f>
        <v>0</v>
      </c>
      <c r="AE14" s="13">
        <f>IFERROR(__xludf.DUMMYFUNCTION("IFERROR(MIN(FILTER({'PretestData (Submission)'!E:E}, 'PretestData (Submission)'!D:D=A14, 'PretestData (Submission)'!A:A=405, 'PretestData (Submission)'!E:E&gt;0)),0)"),"0")</f>
        <v>0</v>
      </c>
      <c r="AF14" s="13">
        <f>IFERROR(__xludf.DUMMYFUNCTION("IFERROR(MIN(FILTER('PretestData (ViewVPL)'!D:D, 'PretestData (ViewVPL)'!C:C=A14, 'PretestData (ViewVPL)'!B:B=405,'PretestData (ViewVPL)'!D:D&gt;AD14,'PretestData (ViewVPL)'!D:D&lt;AE14)),0)"),"0")</f>
        <v>0</v>
      </c>
      <c r="AG14" s="8">
        <f>IFERROR(__xludf.DUMMYFUNCTION("IFERROR(MAX(FILTER({'PretestData (Submission)'!E:E}, 'PretestData (Submission)'!D:D=A14, 'PretestData (Submission)'!A:A=405))-AF14,0)"),"0")</f>
        <v>0</v>
      </c>
      <c r="AH14" s="8">
        <f>COUNTIFS('PretestData (Submission)'!D:D,"="&amp;A14,'PretestData (Submission)'!A:A,"=405",'PretestData (Submission)'!E:E,"&gt;0")</f>
        <v>0</v>
      </c>
      <c r="AI14" s="8">
        <f>COUNTIFS('PretestData (Submission)'!D:D,"="&amp;A14,'PretestData (Submission)'!A:A,"=405",'PretestData (Submission)'!H:H,"&gt;0")</f>
        <v>0</v>
      </c>
      <c r="AJ14" s="8">
        <f>IFERROR(__xludf.DUMMYFUNCTION("IFERROR(MAX(FILTER('PretestData (Submission)'!I:I,'PretestData (Submission)'!D:D=A14,'PretestData (Submission)'!A:A=405,'PretestData (Submission)'!H:H&gt;0)),0)"),"0")</f>
        <v>0</v>
      </c>
      <c r="AK14" s="8">
        <f>COUNTIFS('PretestData (ViewVPL)'!C:C,"="&amp;A14,'PretestData (ViewVPL)'!B:B,"=405")</f>
        <v>0</v>
      </c>
      <c r="AL14" s="8"/>
      <c r="AM14" s="11"/>
      <c r="AN14" s="11"/>
      <c r="AO14" s="8"/>
      <c r="AP14" s="8"/>
      <c r="AQ14" s="8"/>
      <c r="AR14" s="8"/>
      <c r="AS14" s="11"/>
      <c r="AT14" s="11"/>
      <c r="AU14" s="11"/>
    </row>
    <row r="15">
      <c r="A15" s="7">
        <v>10128.0</v>
      </c>
      <c r="B15" s="3" t="s">
        <v>45</v>
      </c>
      <c r="C15" s="3" t="s">
        <v>102</v>
      </c>
      <c r="D15" s="3" t="s">
        <v>63</v>
      </c>
      <c r="E15" s="3" t="s">
        <v>48</v>
      </c>
      <c r="F15" s="2">
        <f>IFERROR(__xludf.DUMMYFUNCTION("IFERROR(MAX(FILTER('PretestData (Loggedin)'!C:C,'PretestData (Loggedin)'!B:B=A15,'PretestData (Loggedin)'!C:C&lt;G15)),0)"),"1478905719")</f>
        <v>1478905719</v>
      </c>
      <c r="G15" s="2">
        <f>IFERROR(__xludf.DUMMYFUNCTION("IFERROR(MIN(FILTER({'PretestData (Submission)'!E:E}, 'PretestData (Submission)'!D:D=A15, 'PretestData (Submission)'!A:A=401, 'PretestData (Submission)'!E:E&gt;0)),0)"),"1478906295")</f>
        <v>1478906295</v>
      </c>
      <c r="H15" s="2">
        <f>IFERROR(__xludf.DUMMYFUNCTION("IFERROR(MIN(FILTER('PretestData (ViewVPL)'!D:D, 'PretestData (ViewVPL)'!C:C=A15, 'PretestData (ViewVPL)'!B:B=401,'PretestData (ViewVPL)'!D:D&gt;F15,'PretestData (ViewVPL)'!D:D&lt;G15)),0)"),"1478906063")</f>
        <v>1478906063</v>
      </c>
      <c r="I15" s="2">
        <f>IFERROR(__xludf.DUMMYFUNCTION("IFERROR(MAX(FILTER({'PretestData (Submission)'!E:E}, 'PretestData (Submission)'!D:D=A15, 'PretestData (Submission)'!A:A=401))-H15, 0)"),"483")</f>
        <v>483</v>
      </c>
      <c r="J15" s="2">
        <f>COUNTIFS('PretestData (Submission)'!D:D,"="&amp;A15,'PretestData (Submission)'!A:A,"=401",'PretestData (Submission)'!E:E,"&gt;0")</f>
        <v>3</v>
      </c>
      <c r="K15" s="2">
        <f>COUNTIFS('PretestData (Submission)'!D:D,"="&amp;A15,'PretestData (Submission)'!A:A,"=401",'PretestData (Submission)'!H:H,"&gt;0")</f>
        <v>2</v>
      </c>
      <c r="L15" s="2">
        <f>IFERROR(__xludf.DUMMYFUNCTION("IFERROR(MAX(FILTER('PretestData (Submission)'!I:I,'PretestData (Submission)'!D:D=A15,'PretestData (Submission)'!A:A=401,'PretestData (Submission)'!H:H&gt;0)),0)"),"10")</f>
        <v>10</v>
      </c>
      <c r="M15" s="8">
        <f>COUNTIFS('PretestData (ViewVPL)'!C:C,"="&amp;A15,'PretestData (ViewVPL)'!B:B,"=401")</f>
        <v>2</v>
      </c>
      <c r="N15" s="13">
        <f>IFERROR(__xludf.DUMMYFUNCTION("IFERROR(MAX(FILTER('PretestData (Loggedin)'!C:C,'PretestData (Loggedin)'!B:B=A15,'PretestData (Loggedin)'!C:C&lt;O15)),0)"),"1478905719")</f>
        <v>1478905719</v>
      </c>
      <c r="O15" s="13">
        <f>IFERROR(__xludf.DUMMYFUNCTION("IFERROR(MIN(FILTER({'PretestData (Submission)'!E:E}, 'PretestData (Submission)'!D:D=A15, 'PretestData (Submission)'!A:A=403, 'PretestData (Submission)'!E:E&gt;0)),0)"),"1478906982")</f>
        <v>1478906982</v>
      </c>
      <c r="P15" s="13">
        <f>IFERROR(__xludf.DUMMYFUNCTION("IFERROR(MIN(FILTER('PretestData (ViewVPL)'!D:D, 'PretestData (ViewVPL)'!C:C=A15, 'PretestData (ViewVPL)'!B:B=403,'PretestData (ViewVPL)'!D:D&gt;N15,'PretestData (ViewVPL)'!D:D&lt;O15)),0)"),"1478906721")</f>
        <v>1478906721</v>
      </c>
      <c r="Q15" s="13">
        <f>IFERROR(__xludf.DUMMYFUNCTION("IFERROR(MAX(FILTER({'PretestData (Submission)'!E:E}, 'PretestData (Submission)'!D:D=A15, 'PretestData (Submission)'!A:A=403))-P15,0)"),"2990")</f>
        <v>2990</v>
      </c>
      <c r="R15" s="13">
        <f>COUNTIFS('PretestData (Submission)'!D:D,"="&amp;A15,'PretestData (Submission)'!A:A,"=403",'PretestData (Submission)'!E:E,"&gt;0")</f>
        <v>5</v>
      </c>
      <c r="S15" s="13">
        <f>COUNTIFS('PretestData (Submission)'!D:D,"="&amp;A15,'PretestData (Submission)'!A:A,"=403",'PretestData (Submission)'!H:H,"&gt;0")</f>
        <v>5</v>
      </c>
      <c r="T15" s="13">
        <f>IFERROR(__xludf.DUMMYFUNCTION("IFERROR(MAX(FILTER('PretestData (Submission)'!I:I,'PretestData (Submission)'!D:D=A15,'PretestData (Submission)'!A:A=403,'PretestData (Submission)'!H:H&gt;0)),0)"),"10")</f>
        <v>10</v>
      </c>
      <c r="U15" s="8">
        <f>COUNTIFS('PretestData (ViewVPL)'!C:C,"="&amp;A15,'PretestData (ViewVPL)'!B:B,"=403")</f>
        <v>4</v>
      </c>
      <c r="V15" s="13">
        <f>IFERROR(__xludf.DUMMYFUNCTION("IFERROR(MAX(FILTER('PretestData (Loggedin)'!C:C,'PretestData (Loggedin)'!B:B=A15,'PretestData (Loggedin)'!C:C&lt;W15)),0)"),"1478905719")</f>
        <v>1478905719</v>
      </c>
      <c r="W15" s="13">
        <f>IFERROR(__xludf.DUMMYFUNCTION("IFERROR(MIN(FILTER({'PretestData (Submission)'!E:E}, 'PretestData (Submission)'!D:D=A15, 'PretestData (Submission)'!A:A=404, 'PretestData (Submission)'!E:E&gt;0)),0)"),"1478908262")</f>
        <v>1478908262</v>
      </c>
      <c r="X15" s="13">
        <f>IFERROR(__xludf.DUMMYFUNCTION("IFERROR(MIN(FILTER('PretestData (ViewVPL)'!D:D, 'PretestData (ViewVPL)'!C:C=A15, 'PretestData (ViewVPL)'!B:B=404,'PretestData (ViewVPL)'!D:D&gt;V15,'PretestData (ViewVPL)'!D:D&lt;W15)),0)"),"1478907518")</f>
        <v>1478907518</v>
      </c>
      <c r="Y15" s="13">
        <f>IFERROR(__xludf.DUMMYFUNCTION("IFERROR(MAX(FILTER({'PretestData (Submission)'!E:E}, 'PretestData (Submission)'!D:D=A15, 'PretestData (Submission)'!A:A=404))-X15,0)"),"744")</f>
        <v>744</v>
      </c>
      <c r="Z15" s="13">
        <f>COUNTIFS('PretestData (Submission)'!D:D,"="&amp;A15,'PretestData (Submission)'!A:A,"=404",'PretestData (Submission)'!E:E,"&gt;0")</f>
        <v>1</v>
      </c>
      <c r="AA15" s="13">
        <f>COUNTIFS('PretestData (Submission)'!D:D,"="&amp;A15,'PretestData (Submission)'!A:A,"=404",'PretestData (Submission)'!H:H,"&gt;0")</f>
        <v>1</v>
      </c>
      <c r="AB15" s="13">
        <f>IFERROR(__xludf.DUMMYFUNCTION("IFERROR(MAX(FILTER('PretestData (Submission)'!I:I,'PretestData (Submission)'!D:D=A15,'PretestData (Submission)'!A:A=404,'PretestData (Submission)'!H:H&gt;0)),0)"),"0")</f>
        <v>0</v>
      </c>
      <c r="AC15" s="13">
        <f>COUNTIFS('PretestData (ViewVPL)'!C:C,"="&amp;A15,'PretestData (ViewVPL)'!B:B,"=404")</f>
        <v>3</v>
      </c>
      <c r="AD15" s="13">
        <f>IFERROR(__xludf.DUMMYFUNCTION("IFERROR(MAX(FILTER('PretestData (Loggedin)'!C:C,'PretestData (Loggedin)'!B:B=A15,'PretestData (Loggedin)'!C:C&lt;AE15)),0)"),"1478905719")</f>
        <v>1478905719</v>
      </c>
      <c r="AE15" s="13">
        <f>IFERROR(__xludf.DUMMYFUNCTION("IFERROR(MIN(FILTER({'PretestData (Submission)'!E:E}, 'PretestData (Submission)'!D:D=A15, 'PretestData (Submission)'!A:A=405, 'PretestData (Submission)'!E:E&gt;0)),0)"),"1478911034")</f>
        <v>1478911034</v>
      </c>
      <c r="AF15" s="13">
        <f>IFERROR(__xludf.DUMMYFUNCTION("IFERROR(MIN(FILTER('PretestData (ViewVPL)'!D:D, 'PretestData (ViewVPL)'!C:C=A15, 'PretestData (ViewVPL)'!B:B=405,'PretestData (ViewVPL)'!D:D&gt;AD15,'PretestData (ViewVPL)'!D:D&lt;AE15)),0)"),"1478909728")</f>
        <v>1478909728</v>
      </c>
      <c r="AG15" s="8">
        <f>IFERROR(__xludf.DUMMYFUNCTION("IFERROR(MAX(FILTER({'PretestData (Submission)'!E:E}, 'PretestData (Submission)'!D:D=A15, 'PretestData (Submission)'!A:A=405))-AF15,0)"),"1354")</f>
        <v>1354</v>
      </c>
      <c r="AH15" s="8">
        <f>COUNTIFS('PretestData (Submission)'!D:D,"="&amp;A15,'PretestData (Submission)'!A:A,"=405",'PretestData (Submission)'!E:E,"&gt;0")</f>
        <v>2</v>
      </c>
      <c r="AI15" s="8">
        <f>COUNTIFS('PretestData (Submission)'!D:D,"="&amp;A15,'PretestData (Submission)'!A:A,"=405",'PretestData (Submission)'!H:H,"&gt;0")</f>
        <v>1</v>
      </c>
      <c r="AJ15" s="8">
        <f>IFERROR(__xludf.DUMMYFUNCTION("IFERROR(MAX(FILTER('PretestData (Submission)'!I:I,'PretestData (Submission)'!D:D=A15,'PretestData (Submission)'!A:A=405,'PretestData (Submission)'!H:H&gt;0)),0)"),"0")</f>
        <v>0</v>
      </c>
      <c r="AK15" s="8">
        <f>COUNTIFS('PretestData (ViewVPL)'!C:C,"="&amp;A15,'PretestData (ViewVPL)'!B:B,"=405")</f>
        <v>4</v>
      </c>
      <c r="AL15" s="8"/>
      <c r="AM15" s="11"/>
      <c r="AN15" s="11"/>
      <c r="AO15" s="8"/>
      <c r="AP15" s="8"/>
      <c r="AQ15" s="8"/>
      <c r="AR15" s="8"/>
      <c r="AS15" s="11"/>
      <c r="AT15" s="11"/>
      <c r="AU15" s="11"/>
    </row>
    <row r="16">
      <c r="A16" s="7">
        <v>10152.0</v>
      </c>
      <c r="B16" s="3" t="s">
        <v>45</v>
      </c>
      <c r="C16" s="3" t="s">
        <v>102</v>
      </c>
      <c r="D16" s="3" t="s">
        <v>47</v>
      </c>
      <c r="E16" s="3" t="s">
        <v>48</v>
      </c>
      <c r="F16" s="2">
        <f>IFERROR(__xludf.DUMMYFUNCTION("IFERROR(MAX(FILTER('PretestData (Loggedin)'!C:C,'PretestData (Loggedin)'!B:B=A16,'PretestData (Loggedin)'!C:C&lt;G16)),0)"),"1478907128")</f>
        <v>1478907128</v>
      </c>
      <c r="G16" s="2">
        <f>IFERROR(__xludf.DUMMYFUNCTION("IFERROR(MIN(FILTER({'PretestData (Submission)'!E:E}, 'PretestData (Submission)'!D:D=A16, 'PretestData (Submission)'!A:A=401, 'PretestData (Submission)'!E:E&gt;0)),0)"),"1478907822")</f>
        <v>1478907822</v>
      </c>
      <c r="H16" s="2">
        <f>IFERROR(__xludf.DUMMYFUNCTION("IFERROR(MIN(FILTER('PretestData (ViewVPL)'!D:D, 'PretestData (ViewVPL)'!C:C=A16, 'PretestData (ViewVPL)'!B:B=401,'PretestData (ViewVPL)'!D:D&gt;F16,'PretestData (ViewVPL)'!D:D&lt;G16)),0)"),"1478907512")</f>
        <v>1478907512</v>
      </c>
      <c r="I16" s="2">
        <f>IFERROR(__xludf.DUMMYFUNCTION("IFERROR(MAX(FILTER({'PretestData (Submission)'!E:E}, 'PretestData (Submission)'!D:D=A16, 'PretestData (Submission)'!A:A=401))-H16, 0)"),"346")</f>
        <v>346</v>
      </c>
      <c r="J16" s="2">
        <f>COUNTIFS('PretestData (Submission)'!D:D,"="&amp;A16,'PretestData (Submission)'!A:A,"=401",'PretestData (Submission)'!E:E,"&gt;0")</f>
        <v>2</v>
      </c>
      <c r="K16" s="2">
        <f>COUNTIFS('PretestData (Submission)'!D:D,"="&amp;A16,'PretestData (Submission)'!A:A,"=401",'PretestData (Submission)'!H:H,"&gt;0")</f>
        <v>1</v>
      </c>
      <c r="L16" s="2">
        <f>IFERROR(__xludf.DUMMYFUNCTION("IFERROR(MAX(FILTER('PretestData (Submission)'!I:I,'PretestData (Submission)'!D:D=A16,'PretestData (Submission)'!A:A=401,'PretestData (Submission)'!H:H&gt;0)),0)"),"10")</f>
        <v>10</v>
      </c>
      <c r="M16" s="8">
        <f>COUNTIFS('PretestData (ViewVPL)'!C:C,"="&amp;A16,'PretestData (ViewVPL)'!B:B,"=401")</f>
        <v>2</v>
      </c>
      <c r="N16" s="13">
        <f>IFERROR(__xludf.DUMMYFUNCTION("IFERROR(MAX(FILTER('PretestData (Loggedin)'!C:C,'PretestData (Loggedin)'!B:B=A16,'PretestData (Loggedin)'!C:C&lt;O16)),0)"),"1478907128")</f>
        <v>1478907128</v>
      </c>
      <c r="O16" s="13">
        <f>IFERROR(__xludf.DUMMYFUNCTION("IFERROR(MIN(FILTER({'PretestData (Submission)'!E:E}, 'PretestData (Submission)'!D:D=A16, 'PretestData (Submission)'!A:A=403, 'PretestData (Submission)'!E:E&gt;0)),0)"),"1478908451")</f>
        <v>1478908451</v>
      </c>
      <c r="P16" s="13">
        <f>IFERROR(__xludf.DUMMYFUNCTION("IFERROR(MIN(FILTER('PretestData (ViewVPL)'!D:D, 'PretestData (ViewVPL)'!C:C=A16, 'PretestData (ViewVPL)'!B:B=403,'PretestData (ViewVPL)'!D:D&gt;N16,'PretestData (ViewVPL)'!D:D&lt;O16)),0)"),"1478907885")</f>
        <v>1478907885</v>
      </c>
      <c r="Q16" s="13">
        <f>IFERROR(__xludf.DUMMYFUNCTION("IFERROR(MAX(FILTER({'PretestData (Submission)'!E:E}, 'PretestData (Submission)'!D:D=A16, 'PretestData (Submission)'!A:A=403))-P16,0)"),"654")</f>
        <v>654</v>
      </c>
      <c r="R16" s="13">
        <f>COUNTIFS('PretestData (Submission)'!D:D,"="&amp;A16,'PretestData (Submission)'!A:A,"=403",'PretestData (Submission)'!E:E,"&gt;0")</f>
        <v>3</v>
      </c>
      <c r="S16" s="13">
        <f>COUNTIFS('PretestData (Submission)'!D:D,"="&amp;A16,'PretestData (Submission)'!A:A,"=403",'PretestData (Submission)'!H:H,"&gt;0")</f>
        <v>1</v>
      </c>
      <c r="T16" s="13">
        <f>IFERROR(__xludf.DUMMYFUNCTION("IFERROR(MAX(FILTER('PretestData (Submission)'!I:I,'PretestData (Submission)'!D:D=A16,'PretestData (Submission)'!A:A=403,'PretestData (Submission)'!H:H&gt;0)),0)"),"10")</f>
        <v>10</v>
      </c>
      <c r="U16" s="8">
        <f>COUNTIFS('PretestData (ViewVPL)'!C:C,"="&amp;A16,'PretestData (ViewVPL)'!B:B,"=403")</f>
        <v>2</v>
      </c>
      <c r="V16" s="13">
        <f>IFERROR(__xludf.DUMMYFUNCTION("IFERROR(MAX(FILTER('PretestData (Loggedin)'!C:C,'PretestData (Loggedin)'!B:B=A16,'PretestData (Loggedin)'!C:C&lt;W16)),0)"),"1478907128")</f>
        <v>1478907128</v>
      </c>
      <c r="W16" s="13">
        <f>IFERROR(__xludf.DUMMYFUNCTION("IFERROR(MIN(FILTER({'PretestData (Submission)'!E:E}, 'PretestData (Submission)'!D:D=A16, 'PretestData (Submission)'!A:A=404, 'PretestData (Submission)'!E:E&gt;0)),0)"),"1478910093")</f>
        <v>1478910093</v>
      </c>
      <c r="X16" s="13">
        <f>IFERROR(__xludf.DUMMYFUNCTION("IFERROR(MIN(FILTER('PretestData (ViewVPL)'!D:D, 'PretestData (ViewVPL)'!C:C=A16, 'PretestData (ViewVPL)'!B:B=404,'PretestData (ViewVPL)'!D:D&gt;V16,'PretestData (ViewVPL)'!D:D&lt;W16)),0)"),"1478908565")</f>
        <v>1478908565</v>
      </c>
      <c r="Y16" s="13">
        <f>IFERROR(__xludf.DUMMYFUNCTION("IFERROR(MAX(FILTER({'PretestData (Submission)'!E:E}, 'PretestData (Submission)'!D:D=A16, 'PretestData (Submission)'!A:A=404))-X16,0)"),"2218")</f>
        <v>2218</v>
      </c>
      <c r="Z16" s="13">
        <f>COUNTIFS('PretestData (Submission)'!D:D,"="&amp;A16,'PretestData (Submission)'!A:A,"=404",'PretestData (Submission)'!E:E,"&gt;0")</f>
        <v>7</v>
      </c>
      <c r="AA16" s="13">
        <f>COUNTIFS('PretestData (Submission)'!D:D,"="&amp;A16,'PretestData (Submission)'!A:A,"=404",'PretestData (Submission)'!H:H,"&gt;0")</f>
        <v>3</v>
      </c>
      <c r="AB16" s="13">
        <f>IFERROR(__xludf.DUMMYFUNCTION("IFERROR(MAX(FILTER('PretestData (Submission)'!I:I,'PretestData (Submission)'!D:D=A16,'PretestData (Submission)'!A:A=404,'PretestData (Submission)'!H:H&gt;0)),0)"),"10")</f>
        <v>10</v>
      </c>
      <c r="AC16" s="13">
        <f>COUNTIFS('PretestData (ViewVPL)'!C:C,"="&amp;A16,'PretestData (ViewVPL)'!B:B,"=404")</f>
        <v>5</v>
      </c>
      <c r="AD16" s="13">
        <f>IFERROR(__xludf.DUMMYFUNCTION("IFERROR(MAX(FILTER('PretestData (Loggedin)'!C:C,'PretestData (Loggedin)'!B:B=A16,'PretestData (Loggedin)'!C:C&lt;AE16)),0)"),"0")</f>
        <v>0</v>
      </c>
      <c r="AE16" s="13">
        <f>IFERROR(__xludf.DUMMYFUNCTION("IFERROR(MIN(FILTER({'PretestData (Submission)'!E:E}, 'PretestData (Submission)'!D:D=A16, 'PretestData (Submission)'!A:A=405, 'PretestData (Submission)'!E:E&gt;0)),0)"),"0")</f>
        <v>0</v>
      </c>
      <c r="AF16" s="13">
        <f>IFERROR(__xludf.DUMMYFUNCTION("IFERROR(MIN(FILTER('PretestData (ViewVPL)'!D:D, 'PretestData (ViewVPL)'!C:C=A16, 'PretestData (ViewVPL)'!B:B=405,'PretestData (ViewVPL)'!D:D&gt;AD16,'PretestData (ViewVPL)'!D:D&lt;AE16)),0)"),"0")</f>
        <v>0</v>
      </c>
      <c r="AG16" s="8">
        <f>IFERROR(__xludf.DUMMYFUNCTION("IFERROR(MAX(FILTER({'PretestData (Submission)'!E:E}, 'PretestData (Submission)'!D:D=A16, 'PretestData (Submission)'!A:A=405))-AF16,0)"),"0")</f>
        <v>0</v>
      </c>
      <c r="AH16" s="8">
        <f>COUNTIFS('PretestData (Submission)'!D:D,"="&amp;A16,'PretestData (Submission)'!A:A,"=405",'PretestData (Submission)'!E:E,"&gt;0")</f>
        <v>0</v>
      </c>
      <c r="AI16" s="8">
        <f>COUNTIFS('PretestData (Submission)'!D:D,"="&amp;A16,'PretestData (Submission)'!A:A,"=405",'PretestData (Submission)'!H:H,"&gt;0")</f>
        <v>0</v>
      </c>
      <c r="AJ16" s="8">
        <f>IFERROR(__xludf.DUMMYFUNCTION("IFERROR(MAX(FILTER('PretestData (Submission)'!I:I,'PretestData (Submission)'!D:D=A16,'PretestData (Submission)'!A:A=405,'PretestData (Submission)'!H:H&gt;0)),0)"),"0")</f>
        <v>0</v>
      </c>
      <c r="AK16" s="8">
        <f>COUNTIFS('PretestData (ViewVPL)'!C:C,"="&amp;A16,'PretestData (ViewVPL)'!B:B,"=405")</f>
        <v>1</v>
      </c>
      <c r="AL16" s="8"/>
      <c r="AM16" s="11"/>
      <c r="AN16" s="11"/>
      <c r="AO16" s="8"/>
      <c r="AP16" s="8"/>
      <c r="AQ16" s="8"/>
      <c r="AR16" s="8"/>
      <c r="AS16" s="11"/>
      <c r="AT16" s="11"/>
      <c r="AU16" s="11"/>
    </row>
    <row r="17">
      <c r="A17" s="7">
        <v>10123.0</v>
      </c>
      <c r="B17" s="3" t="s">
        <v>45</v>
      </c>
      <c r="C17" s="3" t="s">
        <v>102</v>
      </c>
      <c r="D17" s="3" t="s">
        <v>63</v>
      </c>
      <c r="E17" s="3" t="s">
        <v>48</v>
      </c>
      <c r="F17" s="2">
        <f>IFERROR(__xludf.DUMMYFUNCTION("IFERROR(MAX(FILTER('PretestData (Loggedin)'!C:C,'PretestData (Loggedin)'!B:B=A17,'PretestData (Loggedin)'!C:C&lt;G17)),0)"),"1478905692")</f>
        <v>1478905692</v>
      </c>
      <c r="G17" s="2">
        <f>IFERROR(__xludf.DUMMYFUNCTION("IFERROR(MIN(FILTER({'PretestData (Submission)'!E:E}, 'PretestData (Submission)'!D:D=A17, 'PretestData (Submission)'!A:A=401, 'PretestData (Submission)'!E:E&gt;0)),0)"),"1478906472")</f>
        <v>1478906472</v>
      </c>
      <c r="H17" s="2">
        <f>IFERROR(__xludf.DUMMYFUNCTION("IFERROR(MIN(FILTER('PretestData (ViewVPL)'!D:D, 'PretestData (ViewVPL)'!C:C=A17, 'PretestData (ViewVPL)'!B:B=401,'PretestData (ViewVPL)'!D:D&gt;F17,'PretestData (ViewVPL)'!D:D&lt;G17)),0)"),"1478906121")</f>
        <v>1478906121</v>
      </c>
      <c r="I17" s="2">
        <f>IFERROR(__xludf.DUMMYFUNCTION("IFERROR(MAX(FILTER({'PretestData (Submission)'!E:E}, 'PretestData (Submission)'!D:D=A17, 'PretestData (Submission)'!A:A=401))-H17, 0)"),"662")</f>
        <v>662</v>
      </c>
      <c r="J17" s="2">
        <f>COUNTIFS('PretestData (Submission)'!D:D,"="&amp;A17,'PretestData (Submission)'!A:A,"=401",'PretestData (Submission)'!E:E,"&gt;0")</f>
        <v>7</v>
      </c>
      <c r="K17" s="2">
        <f>COUNTIFS('PretestData (Submission)'!D:D,"="&amp;A17,'PretestData (Submission)'!A:A,"=401",'PretestData (Submission)'!H:H,"&gt;0")</f>
        <v>7</v>
      </c>
      <c r="L17" s="2">
        <f>IFERROR(__xludf.DUMMYFUNCTION("IFERROR(MAX(FILTER('PretestData (Submission)'!I:I,'PretestData (Submission)'!D:D=A17,'PretestData (Submission)'!A:A=401,'PretestData (Submission)'!H:H&gt;0)),0)"),"10")</f>
        <v>10</v>
      </c>
      <c r="M17" s="8">
        <f>COUNTIFS('PretestData (ViewVPL)'!C:C,"="&amp;A17,'PretestData (ViewVPL)'!B:B,"=401")</f>
        <v>8</v>
      </c>
      <c r="N17" s="13">
        <f>IFERROR(__xludf.DUMMYFUNCTION("IFERROR(MAX(FILTER('PretestData (Loggedin)'!C:C,'PretestData (Loggedin)'!B:B=A17,'PretestData (Loggedin)'!C:C&lt;O17)),0)"),"1478905692")</f>
        <v>1478905692</v>
      </c>
      <c r="O17" s="13">
        <f>IFERROR(__xludf.DUMMYFUNCTION("IFERROR(MIN(FILTER({'PretestData (Submission)'!E:E}, 'PretestData (Submission)'!D:D=A17, 'PretestData (Submission)'!A:A=403, 'PretestData (Submission)'!E:E&gt;0)),0)"),"1478907025")</f>
        <v>1478907025</v>
      </c>
      <c r="P17" s="13">
        <f>IFERROR(__xludf.DUMMYFUNCTION("IFERROR(MIN(FILTER('PretestData (ViewVPL)'!D:D, 'PretestData (ViewVPL)'!C:C=A17, 'PretestData (ViewVPL)'!B:B=403,'PretestData (ViewVPL)'!D:D&gt;N17,'PretestData (ViewVPL)'!D:D&lt;O17)),0)"),"1478906808")</f>
        <v>1478906808</v>
      </c>
      <c r="Q17" s="13">
        <f>IFERROR(__xludf.DUMMYFUNCTION("IFERROR(MAX(FILTER({'PretestData (Submission)'!E:E}, 'PretestData (Submission)'!D:D=A17, 'PretestData (Submission)'!A:A=403))-P17,0)"),"570")</f>
        <v>570</v>
      </c>
      <c r="R17" s="13">
        <f>COUNTIFS('PretestData (Submission)'!D:D,"="&amp;A17,'PretestData (Submission)'!A:A,"=403",'PretestData (Submission)'!E:E,"&gt;0")</f>
        <v>7</v>
      </c>
      <c r="S17" s="13">
        <f>COUNTIFS('PretestData (Submission)'!D:D,"="&amp;A17,'PretestData (Submission)'!A:A,"=403",'PretestData (Submission)'!H:H,"&gt;0")</f>
        <v>3</v>
      </c>
      <c r="T17" s="13">
        <f>IFERROR(__xludf.DUMMYFUNCTION("IFERROR(MAX(FILTER('PretestData (Submission)'!I:I,'PretestData (Submission)'!D:D=A17,'PretestData (Submission)'!A:A=403,'PretestData (Submission)'!H:H&gt;0)),0)"),"0")</f>
        <v>0</v>
      </c>
      <c r="U17" s="8">
        <f>COUNTIFS('PretestData (ViewVPL)'!C:C,"="&amp;A17,'PretestData (ViewVPL)'!B:B,"=403")</f>
        <v>6</v>
      </c>
      <c r="V17" s="13">
        <f>IFERROR(__xludf.DUMMYFUNCTION("IFERROR(MAX(FILTER('PretestData (Loggedin)'!C:C,'PretestData (Loggedin)'!B:B=A17,'PretestData (Loggedin)'!C:C&lt;W17)),0)"),"1478905692")</f>
        <v>1478905692</v>
      </c>
      <c r="W17" s="13">
        <f>IFERROR(__xludf.DUMMYFUNCTION("IFERROR(MIN(FILTER({'PretestData (Submission)'!E:E}, 'PretestData (Submission)'!D:D=A17, 'PretestData (Submission)'!A:A=404, 'PretestData (Submission)'!E:E&gt;0)),0)"),"1478908509")</f>
        <v>1478908509</v>
      </c>
      <c r="X17" s="13">
        <f>IFERROR(__xludf.DUMMYFUNCTION("IFERROR(MIN(FILTER('PretestData (ViewVPL)'!D:D, 'PretestData (ViewVPL)'!C:C=A17, 'PretestData (ViewVPL)'!B:B=404,'PretestData (ViewVPL)'!D:D&gt;V17,'PretestData (ViewVPL)'!D:D&lt;W17)),0)"),"1478907509")</f>
        <v>1478907509</v>
      </c>
      <c r="Y17" s="13">
        <f>IFERROR(__xludf.DUMMYFUNCTION("IFERROR(MAX(FILTER({'PretestData (Submission)'!E:E}, 'PretestData (Submission)'!D:D=A17, 'PretestData (Submission)'!A:A=404))-X17,0)"),"440037")</f>
        <v>440037</v>
      </c>
      <c r="Z17" s="13">
        <f>COUNTIFS('PretestData (Submission)'!D:D,"="&amp;A17,'PretestData (Submission)'!A:A,"=404",'PretestData (Submission)'!E:E,"&gt;0")</f>
        <v>13</v>
      </c>
      <c r="AA17" s="13">
        <f>COUNTIFS('PretestData (Submission)'!D:D,"="&amp;A17,'PretestData (Submission)'!A:A,"=404",'PretestData (Submission)'!H:H,"&gt;0")</f>
        <v>7</v>
      </c>
      <c r="AB17" s="13">
        <f>IFERROR(__xludf.DUMMYFUNCTION("IFERROR(MAX(FILTER('PretestData (Submission)'!I:I,'PretestData (Submission)'!D:D=A17,'PretestData (Submission)'!A:A=404,'PretestData (Submission)'!H:H&gt;0)),0)"),"0")</f>
        <v>0</v>
      </c>
      <c r="AC17" s="13">
        <f>COUNTIFS('PretestData (ViewVPL)'!C:C,"="&amp;A17,'PretestData (ViewVPL)'!B:B,"=404")</f>
        <v>12</v>
      </c>
      <c r="AD17" s="13">
        <f>IFERROR(__xludf.DUMMYFUNCTION("IFERROR(MAX(FILTER('PretestData (Loggedin)'!C:C,'PretestData (Loggedin)'!B:B=A17,'PretestData (Loggedin)'!C:C&lt;AE17)),0)"),"1478905692")</f>
        <v>1478905692</v>
      </c>
      <c r="AE17" s="13">
        <f>IFERROR(__xludf.DUMMYFUNCTION("IFERROR(MIN(FILTER({'PretestData (Submission)'!E:E}, 'PretestData (Submission)'!D:D=A17, 'PretestData (Submission)'!A:A=405, 'PretestData (Submission)'!E:E&gt;0)),0)"),"1478910653")</f>
        <v>1478910653</v>
      </c>
      <c r="AF17" s="13">
        <f>IFERROR(__xludf.DUMMYFUNCTION("IFERROR(MIN(FILTER('PretestData (ViewVPL)'!D:D, 'PretestData (ViewVPL)'!C:C=A17, 'PretestData (ViewVPL)'!B:B=405,'PretestData (ViewVPL)'!D:D&gt;AD17,'PretestData (ViewVPL)'!D:D&lt;AE17)),0)"),"1478910151")</f>
        <v>1478910151</v>
      </c>
      <c r="AG17" s="8">
        <f>IFERROR(__xludf.DUMMYFUNCTION("IFERROR(MAX(FILTER({'PretestData (Submission)'!E:E}, 'PretestData (Submission)'!D:D=A17, 'PretestData (Submission)'!A:A=405))-AF17,0)"),"502")</f>
        <v>502</v>
      </c>
      <c r="AH17" s="8">
        <f>COUNTIFS('PretestData (Submission)'!D:D,"="&amp;A17,'PretestData (Submission)'!A:A,"=405",'PretestData (Submission)'!E:E,"&gt;0")</f>
        <v>1</v>
      </c>
      <c r="AI17" s="8">
        <f>COUNTIFS('PretestData (Submission)'!D:D,"="&amp;A17,'PretestData (Submission)'!A:A,"=405",'PretestData (Submission)'!H:H,"&gt;0")</f>
        <v>1</v>
      </c>
      <c r="AJ17" s="8">
        <f>IFERROR(__xludf.DUMMYFUNCTION("IFERROR(MAX(FILTER('PretestData (Submission)'!I:I,'PretestData (Submission)'!D:D=A17,'PretestData (Submission)'!A:A=405,'PretestData (Submission)'!H:H&gt;0)),0)"),"0")</f>
        <v>0</v>
      </c>
      <c r="AK17" s="8">
        <f>COUNTIFS('PretestData (ViewVPL)'!C:C,"="&amp;A17,'PretestData (ViewVPL)'!B:B,"=405")</f>
        <v>3</v>
      </c>
      <c r="AL17" s="8"/>
      <c r="AM17" s="11"/>
      <c r="AN17" s="11"/>
      <c r="AO17" s="8"/>
      <c r="AP17" s="8"/>
      <c r="AQ17" s="8"/>
      <c r="AR17" s="8"/>
      <c r="AS17" s="11"/>
      <c r="AT17" s="11"/>
      <c r="AU17" s="11"/>
    </row>
    <row r="18">
      <c r="A18" s="7">
        <v>10137.0</v>
      </c>
      <c r="B18" s="3" t="s">
        <v>45</v>
      </c>
      <c r="C18" s="3" t="s">
        <v>102</v>
      </c>
      <c r="D18" s="3" t="s">
        <v>63</v>
      </c>
      <c r="E18" s="3" t="s">
        <v>48</v>
      </c>
      <c r="F18" s="2">
        <f>IFERROR(__xludf.DUMMYFUNCTION("IFERROR(MAX(FILTER('PretestData (Loggedin)'!C:C,'PretestData (Loggedin)'!B:B=A18,'PretestData (Loggedin)'!C:C&lt;G18)),0)"),"1478905888")</f>
        <v>1478905888</v>
      </c>
      <c r="G18" s="2">
        <f>IFERROR(__xludf.DUMMYFUNCTION("IFERROR(MIN(FILTER({'PretestData (Submission)'!E:E}, 'PretestData (Submission)'!D:D=A18, 'PretestData (Submission)'!A:A=401, 'PretestData (Submission)'!E:E&gt;0)),0)"),"1478907067")</f>
        <v>1478907067</v>
      </c>
      <c r="H18" s="2">
        <f>IFERROR(__xludf.DUMMYFUNCTION("IFERROR(MIN(FILTER('PretestData (ViewVPL)'!D:D, 'PretestData (ViewVPL)'!C:C=A18, 'PretestData (ViewVPL)'!B:B=401,'PretestData (ViewVPL)'!D:D&gt;F18,'PretestData (ViewVPL)'!D:D&lt;G18)),0)"),"1478906334")</f>
        <v>1478906334</v>
      </c>
      <c r="I18" s="2">
        <f>IFERROR(__xludf.DUMMYFUNCTION("IFERROR(MAX(FILTER({'PretestData (Submission)'!E:E}, 'PretestData (Submission)'!D:D=A18, 'PretestData (Submission)'!A:A=401))-H18, 0)"),"1902")</f>
        <v>1902</v>
      </c>
      <c r="J18" s="2">
        <f>COUNTIFS('PretestData (Submission)'!D:D,"="&amp;A18,'PretestData (Submission)'!A:A,"=401",'PretestData (Submission)'!E:E,"&gt;0")</f>
        <v>17</v>
      </c>
      <c r="K18" s="2">
        <f>COUNTIFS('PretestData (Submission)'!D:D,"="&amp;A18,'PretestData (Submission)'!A:A,"=401",'PretestData (Submission)'!H:H,"&gt;0")</f>
        <v>4</v>
      </c>
      <c r="L18" s="2">
        <f>IFERROR(__xludf.DUMMYFUNCTION("IFERROR(MAX(FILTER('PretestData (Submission)'!I:I,'PretestData (Submission)'!D:D=A18,'PretestData (Submission)'!A:A=401,'PretestData (Submission)'!H:H&gt;0)),0)"),"0")</f>
        <v>0</v>
      </c>
      <c r="M18" s="8">
        <f>COUNTIFS('PretestData (ViewVPL)'!C:C,"="&amp;A18,'PretestData (ViewVPL)'!B:B,"=401")</f>
        <v>2</v>
      </c>
      <c r="N18" s="13">
        <f>IFERROR(__xludf.DUMMYFUNCTION("IFERROR(MAX(FILTER('PretestData (Loggedin)'!C:C,'PretestData (Loggedin)'!B:B=A18,'PretestData (Loggedin)'!C:C&lt;O18)),0)"),"1478905888")</f>
        <v>1478905888</v>
      </c>
      <c r="O18" s="13">
        <f>IFERROR(__xludf.DUMMYFUNCTION("IFERROR(MIN(FILTER({'PretestData (Submission)'!E:E}, 'PretestData (Submission)'!D:D=A18, 'PretestData (Submission)'!A:A=403, 'PretestData (Submission)'!E:E&gt;0)),0)"),"1478908828")</f>
        <v>1478908828</v>
      </c>
      <c r="P18" s="13">
        <f>IFERROR(__xludf.DUMMYFUNCTION("IFERROR(MIN(FILTER('PretestData (ViewVPL)'!D:D, 'PretestData (ViewVPL)'!C:C=A18, 'PretestData (ViewVPL)'!B:B=403,'PretestData (ViewVPL)'!D:D&gt;N18,'PretestData (ViewVPL)'!D:D&lt;O18)),0)"),"1478908500")</f>
        <v>1478908500</v>
      </c>
      <c r="Q18" s="13">
        <f>IFERROR(__xludf.DUMMYFUNCTION("IFERROR(MAX(FILTER({'PretestData (Submission)'!E:E}, 'PretestData (Submission)'!D:D=A18, 'PretestData (Submission)'!A:A=403))-P18,0)"),"820")</f>
        <v>820</v>
      </c>
      <c r="R18" s="13">
        <f>COUNTIFS('PretestData (Submission)'!D:D,"="&amp;A18,'PretestData (Submission)'!A:A,"=403",'PretestData (Submission)'!E:E,"&gt;0")</f>
        <v>5</v>
      </c>
      <c r="S18" s="13">
        <f>COUNTIFS('PretestData (Submission)'!D:D,"="&amp;A18,'PretestData (Submission)'!A:A,"=403",'PretestData (Submission)'!H:H,"&gt;0")</f>
        <v>3</v>
      </c>
      <c r="T18" s="13">
        <f>IFERROR(__xludf.DUMMYFUNCTION("IFERROR(MAX(FILTER('PretestData (Submission)'!I:I,'PretestData (Submission)'!D:D=A18,'PretestData (Submission)'!A:A=403,'PretestData (Submission)'!H:H&gt;0)),0)"),"0")</f>
        <v>0</v>
      </c>
      <c r="U18" s="8">
        <f>COUNTIFS('PretestData (ViewVPL)'!C:C,"="&amp;A18,'PretestData (ViewVPL)'!B:B,"=403")</f>
        <v>3</v>
      </c>
      <c r="V18" s="13">
        <f>IFERROR(__xludf.DUMMYFUNCTION("IFERROR(MAX(FILTER('PretestData (Loggedin)'!C:C,'PretestData (Loggedin)'!B:B=A18,'PretestData (Loggedin)'!C:C&lt;W18)),0)"),"1478905888")</f>
        <v>1478905888</v>
      </c>
      <c r="W18" s="13">
        <f>IFERROR(__xludf.DUMMYFUNCTION("IFERROR(MIN(FILTER({'PretestData (Submission)'!E:E}, 'PretestData (Submission)'!D:D=A18, 'PretestData (Submission)'!A:A=404, 'PretestData (Submission)'!E:E&gt;0)),0)"),"1478910908")</f>
        <v>1478910908</v>
      </c>
      <c r="X18" s="13">
        <f>IFERROR(__xludf.DUMMYFUNCTION("IFERROR(MIN(FILTER('PretestData (ViewVPL)'!D:D, 'PretestData (ViewVPL)'!C:C=A18, 'PretestData (ViewVPL)'!B:B=404,'PretestData (ViewVPL)'!D:D&gt;V18,'PretestData (ViewVPL)'!D:D&lt;W18)),0)"),"1478909354")</f>
        <v>1478909354</v>
      </c>
      <c r="Y18" s="13">
        <f>IFERROR(__xludf.DUMMYFUNCTION("IFERROR(MAX(FILTER({'PretestData (Submission)'!E:E}, 'PretestData (Submission)'!D:D=A18, 'PretestData (Submission)'!A:A=404))-X18,0)"),"1554")</f>
        <v>1554</v>
      </c>
      <c r="Z18" s="13">
        <f>COUNTIFS('PretestData (Submission)'!D:D,"="&amp;A18,'PretestData (Submission)'!A:A,"=404",'PretestData (Submission)'!E:E,"&gt;0")</f>
        <v>1</v>
      </c>
      <c r="AA18" s="13">
        <f>COUNTIFS('PretestData (Submission)'!D:D,"="&amp;A18,'PretestData (Submission)'!A:A,"=404",'PretestData (Submission)'!H:H,"&gt;0")</f>
        <v>1</v>
      </c>
      <c r="AB18" s="13">
        <f>IFERROR(__xludf.DUMMYFUNCTION("IFERROR(MAX(FILTER('PretestData (Submission)'!I:I,'PretestData (Submission)'!D:D=A18,'PretestData (Submission)'!A:A=404,'PretestData (Submission)'!H:H&gt;0)),0)"),"0")</f>
        <v>0</v>
      </c>
      <c r="AC18" s="13">
        <f>COUNTIFS('PretestData (ViewVPL)'!C:C,"="&amp;A18,'PretestData (ViewVPL)'!B:B,"=404")</f>
        <v>3</v>
      </c>
      <c r="AD18" s="13">
        <f>IFERROR(__xludf.DUMMYFUNCTION("IFERROR(MAX(FILTER('PretestData (Loggedin)'!C:C,'PretestData (Loggedin)'!B:B=A18,'PretestData (Loggedin)'!C:C&lt;AE18)),0)"),"0")</f>
        <v>0</v>
      </c>
      <c r="AE18" s="13">
        <f>IFERROR(__xludf.DUMMYFUNCTION("IFERROR(MIN(FILTER({'PretestData (Submission)'!E:E}, 'PretestData (Submission)'!D:D=A18, 'PretestData (Submission)'!A:A=405, 'PretestData (Submission)'!E:E&gt;0)),0)"),"0")</f>
        <v>0</v>
      </c>
      <c r="AF18" s="13">
        <f>IFERROR(__xludf.DUMMYFUNCTION("IFERROR(MIN(FILTER('PretestData (ViewVPL)'!D:D, 'PretestData (ViewVPL)'!C:C=A18, 'PretestData (ViewVPL)'!B:B=405,'PretestData (ViewVPL)'!D:D&gt;AD18,'PretestData (ViewVPL)'!D:D&lt;AE18)),0)"),"0")</f>
        <v>0</v>
      </c>
      <c r="AG18" s="8">
        <f>IFERROR(__xludf.DUMMYFUNCTION("IFERROR(MAX(FILTER({'PretestData (Submission)'!E:E}, 'PretestData (Submission)'!D:D=A18, 'PretestData (Submission)'!A:A=405))-AF18,0)"),"0")</f>
        <v>0</v>
      </c>
      <c r="AH18" s="8">
        <f>COUNTIFS('PretestData (Submission)'!D:D,"="&amp;A18,'PretestData (Submission)'!A:A,"=405",'PretestData (Submission)'!E:E,"&gt;0")</f>
        <v>0</v>
      </c>
      <c r="AI18" s="8">
        <f>COUNTIFS('PretestData (Submission)'!D:D,"="&amp;A18,'PretestData (Submission)'!A:A,"=405",'PretestData (Submission)'!H:H,"&gt;0")</f>
        <v>0</v>
      </c>
      <c r="AJ18" s="8">
        <f>IFERROR(__xludf.DUMMYFUNCTION("IFERROR(MAX(FILTER('PretestData (Submission)'!I:I,'PretestData (Submission)'!D:D=A18,'PretestData (Submission)'!A:A=405,'PretestData (Submission)'!H:H&gt;0)),0)"),"0")</f>
        <v>0</v>
      </c>
      <c r="AK18" s="8">
        <f>COUNTIFS('PretestData (ViewVPL)'!C:C,"="&amp;A18,'PretestData (ViewVPL)'!B:B,"=405")</f>
        <v>0</v>
      </c>
      <c r="AL18" s="8"/>
      <c r="AM18" s="11"/>
      <c r="AN18" s="11"/>
      <c r="AO18" s="8"/>
      <c r="AP18" s="8"/>
      <c r="AQ18" s="8"/>
      <c r="AR18" s="8"/>
      <c r="AS18" s="11"/>
      <c r="AT18" s="11"/>
      <c r="AU18" s="11"/>
    </row>
    <row r="19">
      <c r="A19" s="7">
        <v>10126.0</v>
      </c>
      <c r="B19" s="3" t="s">
        <v>45</v>
      </c>
      <c r="C19" s="3" t="s">
        <v>103</v>
      </c>
      <c r="D19" s="3" t="s">
        <v>63</v>
      </c>
      <c r="E19" s="3" t="s">
        <v>100</v>
      </c>
      <c r="F19" s="2">
        <f>IFERROR(__xludf.DUMMYFUNCTION("IFERROR(MAX(FILTER('PretestData (Loggedin)'!C:C,'PretestData (Loggedin)'!B:B=A19,'PretestData (Loggedin)'!C:C&lt;G19)),0)"),"1478905714")</f>
        <v>1478905714</v>
      </c>
      <c r="G19" s="2">
        <f>IFERROR(__xludf.DUMMYFUNCTION("IFERROR(MIN(FILTER({'PretestData (Submission)'!E:E}, 'PretestData (Submission)'!D:D=A19, 'PretestData (Submission)'!A:A=401, 'PretestData (Submission)'!E:E&gt;0)),0)"),"1478907053")</f>
        <v>1478907053</v>
      </c>
      <c r="H19" s="2">
        <f>IFERROR(__xludf.DUMMYFUNCTION("IFERROR(MIN(FILTER('PretestData (ViewVPL)'!D:D, 'PretestData (ViewVPL)'!C:C=A19, 'PretestData (ViewVPL)'!B:B=401,'PretestData (ViewVPL)'!D:D&gt;F19,'PretestData (ViewVPL)'!D:D&lt;G19)),0)"),"1478906457")</f>
        <v>1478906457</v>
      </c>
      <c r="I19" s="2">
        <f>IFERROR(__xludf.DUMMYFUNCTION("IFERROR(MAX(FILTER({'PretestData (Submission)'!E:E}, 'PretestData (Submission)'!D:D=A19, 'PretestData (Submission)'!A:A=401))-H19, 0)"),"1171")</f>
        <v>1171</v>
      </c>
      <c r="J19" s="2">
        <f>COUNTIFS('PretestData (Submission)'!D:D,"="&amp;A19,'PretestData (Submission)'!A:A,"=401",'PretestData (Submission)'!E:E,"&gt;0")</f>
        <v>7</v>
      </c>
      <c r="K19" s="2">
        <f>COUNTIFS('PretestData (Submission)'!D:D,"="&amp;A19,'PretestData (Submission)'!A:A,"=401",'PretestData (Submission)'!H:H,"&gt;0")</f>
        <v>1</v>
      </c>
      <c r="L19" s="2">
        <f>IFERROR(__xludf.DUMMYFUNCTION("IFERROR(MAX(FILTER('PretestData (Submission)'!I:I,'PretestData (Submission)'!D:D=A19,'PretestData (Submission)'!A:A=401,'PretestData (Submission)'!H:H&gt;0)),0)"),"10")</f>
        <v>10</v>
      </c>
      <c r="M19" s="8">
        <f>COUNTIFS('PretestData (ViewVPL)'!C:C,"="&amp;A19,'PretestData (ViewVPL)'!B:B,"=401")</f>
        <v>4</v>
      </c>
      <c r="N19" s="13">
        <f>IFERROR(__xludf.DUMMYFUNCTION("IFERROR(MAX(FILTER('PretestData (Loggedin)'!C:C,'PretestData (Loggedin)'!B:B=A19,'PretestData (Loggedin)'!C:C&lt;O19)),0)"),"1478905714")</f>
        <v>1478905714</v>
      </c>
      <c r="O19" s="13">
        <f>IFERROR(__xludf.DUMMYFUNCTION("IFERROR(MIN(FILTER({'PretestData (Submission)'!E:E}, 'PretestData (Submission)'!D:D=A19, 'PretestData (Submission)'!A:A=403, 'PretestData (Submission)'!E:E&gt;0)),0)"),"1478907805")</f>
        <v>1478907805</v>
      </c>
      <c r="P19" s="13">
        <f>IFERROR(__xludf.DUMMYFUNCTION("IFERROR(MIN(FILTER('PretestData (ViewVPL)'!D:D, 'PretestData (ViewVPL)'!C:C=A19, 'PretestData (ViewVPL)'!B:B=403,'PretestData (ViewVPL)'!D:D&gt;N19,'PretestData (ViewVPL)'!D:D&lt;O19)),0)"),"1478907684")</f>
        <v>1478907684</v>
      </c>
      <c r="Q19" s="13">
        <f>IFERROR(__xludf.DUMMYFUNCTION("IFERROR(MAX(FILTER({'PretestData (Submission)'!E:E}, 'PretestData (Submission)'!D:D=A19, 'PretestData (Submission)'!A:A=403))-P19,0)"),"775")</f>
        <v>775</v>
      </c>
      <c r="R19" s="13">
        <f>COUNTIFS('PretestData (Submission)'!D:D,"="&amp;A19,'PretestData (Submission)'!A:A,"=403",'PretestData (Submission)'!E:E,"&gt;0")</f>
        <v>3</v>
      </c>
      <c r="S19" s="13">
        <f>COUNTIFS('PretestData (Submission)'!D:D,"="&amp;A19,'PretestData (Submission)'!A:A,"=403",'PretestData (Submission)'!H:H,"&gt;0")</f>
        <v>2</v>
      </c>
      <c r="T19" s="13">
        <f>IFERROR(__xludf.DUMMYFUNCTION("IFERROR(MAX(FILTER('PretestData (Submission)'!I:I,'PretestData (Submission)'!D:D=A19,'PretestData (Submission)'!A:A=403,'PretestData (Submission)'!H:H&gt;0)),0)"),"10")</f>
        <v>10</v>
      </c>
      <c r="U19" s="8">
        <f>COUNTIFS('PretestData (ViewVPL)'!C:C,"="&amp;A19,'PretestData (ViewVPL)'!B:B,"=403")</f>
        <v>7</v>
      </c>
      <c r="V19" s="13">
        <f>IFERROR(__xludf.DUMMYFUNCTION("IFERROR(MAX(FILTER('PretestData (Loggedin)'!C:C,'PretestData (Loggedin)'!B:B=A19,'PretestData (Loggedin)'!C:C&lt;W19)),0)"),"1478905714")</f>
        <v>1478905714</v>
      </c>
      <c r="W19" s="13">
        <f>IFERROR(__xludf.DUMMYFUNCTION("IFERROR(MIN(FILTER({'PretestData (Submission)'!E:E}, 'PretestData (Submission)'!D:D=A19, 'PretestData (Submission)'!A:A=404, 'PretestData (Submission)'!E:E&gt;0)),0)"),"1478908741")</f>
        <v>1478908741</v>
      </c>
      <c r="X19" s="13">
        <f>IFERROR(__xludf.DUMMYFUNCTION("IFERROR(MIN(FILTER('PretestData (ViewVPL)'!D:D, 'PretestData (ViewVPL)'!C:C=A19, 'PretestData (ViewVPL)'!B:B=404,'PretestData (ViewVPL)'!D:D&gt;V19,'PretestData (ViewVPL)'!D:D&lt;W19)),0)"),"1478908052")</f>
        <v>1478908052</v>
      </c>
      <c r="Y19" s="13">
        <f>IFERROR(__xludf.DUMMYFUNCTION("IFERROR(MAX(FILTER({'PretestData (Submission)'!E:E}, 'PretestData (Submission)'!D:D=A19, 'PretestData (Submission)'!A:A=404))-X19,0)"),"237444")</f>
        <v>237444</v>
      </c>
      <c r="Z19" s="13">
        <f>COUNTIFS('PretestData (Submission)'!D:D,"="&amp;A19,'PretestData (Submission)'!A:A,"=404",'PretestData (Submission)'!E:E,"&gt;0")</f>
        <v>6</v>
      </c>
      <c r="AA19" s="13">
        <f>COUNTIFS('PretestData (Submission)'!D:D,"="&amp;A19,'PretestData (Submission)'!A:A,"=404",'PretestData (Submission)'!H:H,"&gt;0")</f>
        <v>2</v>
      </c>
      <c r="AB19" s="13">
        <f>IFERROR(__xludf.DUMMYFUNCTION("IFERROR(MAX(FILTER('PretestData (Submission)'!I:I,'PretestData (Submission)'!D:D=A19,'PretestData (Submission)'!A:A=404,'PretestData (Submission)'!H:H&gt;0)),0)"),"0")</f>
        <v>0</v>
      </c>
      <c r="AC19" s="13">
        <f>COUNTIFS('PretestData (ViewVPL)'!C:C,"="&amp;A19,'PretestData (ViewVPL)'!B:B,"=404")</f>
        <v>24</v>
      </c>
      <c r="AD19" s="13">
        <f>IFERROR(__xludf.DUMMYFUNCTION("IFERROR(MAX(FILTER('PretestData (Loggedin)'!C:C,'PretestData (Loggedin)'!B:B=A19,'PretestData (Loggedin)'!C:C&lt;AE19)),0)"),"0")</f>
        <v>0</v>
      </c>
      <c r="AE19" s="13">
        <f>IFERROR(__xludf.DUMMYFUNCTION("IFERROR(MIN(FILTER({'PretestData (Submission)'!E:E}, 'PretestData (Submission)'!D:D=A19, 'PretestData (Submission)'!A:A=405, 'PretestData (Submission)'!E:E&gt;0)),0)"),"0")</f>
        <v>0</v>
      </c>
      <c r="AF19" s="13">
        <f>IFERROR(__xludf.DUMMYFUNCTION("IFERROR(MIN(FILTER('PretestData (ViewVPL)'!D:D, 'PretestData (ViewVPL)'!C:C=A19, 'PretestData (ViewVPL)'!B:B=405,'PretestData (ViewVPL)'!D:D&gt;AD19,'PretestData (ViewVPL)'!D:D&lt;AE19)),0)"),"0")</f>
        <v>0</v>
      </c>
      <c r="AG19" s="8">
        <f>IFERROR(__xludf.DUMMYFUNCTION("IFERROR(MAX(FILTER({'PretestData (Submission)'!E:E}, 'PretestData (Submission)'!D:D=A19, 'PretestData (Submission)'!A:A=405))-AF19,0)"),"0")</f>
        <v>0</v>
      </c>
      <c r="AH19" s="8">
        <f>COUNTIFS('PretestData (Submission)'!D:D,"="&amp;A19,'PretestData (Submission)'!A:A,"=405",'PretestData (Submission)'!E:E,"&gt;0")</f>
        <v>0</v>
      </c>
      <c r="AI19" s="8">
        <f>COUNTIFS('PretestData (Submission)'!D:D,"="&amp;A19,'PretestData (Submission)'!A:A,"=405",'PretestData (Submission)'!H:H,"&gt;0")</f>
        <v>0</v>
      </c>
      <c r="AJ19" s="8">
        <f>IFERROR(__xludf.DUMMYFUNCTION("IFERROR(MAX(FILTER('PretestData (Submission)'!I:I,'PretestData (Submission)'!D:D=A19,'PretestData (Submission)'!A:A=405,'PretestData (Submission)'!H:H&gt;0)),0)"),"0")</f>
        <v>0</v>
      </c>
      <c r="AK19" s="8">
        <f>COUNTIFS('PretestData (ViewVPL)'!C:C,"="&amp;A19,'PretestData (ViewVPL)'!B:B,"=405")</f>
        <v>6</v>
      </c>
      <c r="AL19" s="8"/>
      <c r="AM19" s="11"/>
      <c r="AN19" s="11"/>
      <c r="AO19" s="8"/>
      <c r="AP19" s="8"/>
      <c r="AQ19" s="8"/>
      <c r="AR19" s="8"/>
      <c r="AS19" s="11"/>
      <c r="AT19" s="11"/>
      <c r="AU19" s="11"/>
    </row>
    <row r="20">
      <c r="A20" s="7">
        <v>10138.0</v>
      </c>
      <c r="B20" s="3" t="s">
        <v>45</v>
      </c>
      <c r="C20" s="3" t="s">
        <v>103</v>
      </c>
      <c r="D20" s="3" t="s">
        <v>63</v>
      </c>
      <c r="E20" s="3" t="s">
        <v>100</v>
      </c>
      <c r="F20" s="2">
        <f>IFERROR(__xludf.DUMMYFUNCTION("IFERROR(MAX(FILTER('PretestData (Loggedin)'!C:C,'PretestData (Loggedin)'!B:B=A20,'PretestData (Loggedin)'!C:C&lt;G20)),0)"),"1478905932")</f>
        <v>1478905932</v>
      </c>
      <c r="G20" s="2">
        <f>IFERROR(__xludf.DUMMYFUNCTION("IFERROR(MIN(FILTER({'PretestData (Submission)'!E:E}, 'PretestData (Submission)'!D:D=A20, 'PretestData (Submission)'!A:A=401, 'PretestData (Submission)'!E:E&gt;0)),0)"),"1478908036")</f>
        <v>1478908036</v>
      </c>
      <c r="H20" s="2">
        <f>IFERROR(__xludf.DUMMYFUNCTION("IFERROR(MIN(FILTER('PretestData (ViewVPL)'!D:D, 'PretestData (ViewVPL)'!C:C=A20, 'PretestData (ViewVPL)'!B:B=401,'PretestData (ViewVPL)'!D:D&gt;F20,'PretestData (ViewVPL)'!D:D&lt;G20)),0)"),"1478906896")</f>
        <v>1478906896</v>
      </c>
      <c r="I20" s="2">
        <f>IFERROR(__xludf.DUMMYFUNCTION("IFERROR(MAX(FILTER({'PretestData (Submission)'!E:E}, 'PretestData (Submission)'!D:D=A20, 'PretestData (Submission)'!A:A=401))-H20, 0)"),"1140")</f>
        <v>1140</v>
      </c>
      <c r="J20" s="2">
        <f>COUNTIFS('PretestData (Submission)'!D:D,"="&amp;A20,'PretestData (Submission)'!A:A,"=401",'PretestData (Submission)'!E:E,"&gt;0")</f>
        <v>1</v>
      </c>
      <c r="K20" s="2">
        <f>COUNTIFS('PretestData (Submission)'!D:D,"="&amp;A20,'PretestData (Submission)'!A:A,"=401",'PretestData (Submission)'!H:H,"&gt;0")</f>
        <v>1</v>
      </c>
      <c r="L20" s="2">
        <f>IFERROR(__xludf.DUMMYFUNCTION("IFERROR(MAX(FILTER('PretestData (Submission)'!I:I,'PretestData (Submission)'!D:D=A20,'PretestData (Submission)'!A:A=401,'PretestData (Submission)'!H:H&gt;0)),0)"),"0")</f>
        <v>0</v>
      </c>
      <c r="M20" s="8">
        <f>COUNTIFS('PretestData (ViewVPL)'!C:C,"="&amp;A20,'PretestData (ViewVPL)'!B:B,"=401")</f>
        <v>2</v>
      </c>
      <c r="N20" s="13">
        <f>IFERROR(__xludf.DUMMYFUNCTION("IFERROR(MAX(FILTER('PretestData (Loggedin)'!C:C,'PretestData (Loggedin)'!B:B=A20,'PretestData (Loggedin)'!C:C&lt;O20)),0)"),"1478905932")</f>
        <v>1478905932</v>
      </c>
      <c r="O20" s="13">
        <f>IFERROR(__xludf.DUMMYFUNCTION("IFERROR(MIN(FILTER({'PretestData (Submission)'!E:E}, 'PretestData (Submission)'!D:D=A20, 'PretestData (Submission)'!A:A=403, 'PretestData (Submission)'!E:E&gt;0)),0)"),"1478908380")</f>
        <v>1478908380</v>
      </c>
      <c r="P20" s="13">
        <f>IFERROR(__xludf.DUMMYFUNCTION("IFERROR(MIN(FILTER('PretestData (ViewVPL)'!D:D, 'PretestData (ViewVPL)'!C:C=A20, 'PretestData (ViewVPL)'!B:B=403,'PretestData (ViewVPL)'!D:D&gt;N20,'PretestData (ViewVPL)'!D:D&lt;O20)),0)"),"1478908137")</f>
        <v>1478908137</v>
      </c>
      <c r="Q20" s="13">
        <f>IFERROR(__xludf.DUMMYFUNCTION("IFERROR(MAX(FILTER({'PretestData (Submission)'!E:E}, 'PretestData (Submission)'!D:D=A20, 'PretestData (Submission)'!A:A=403))-P20,0)"),"1555")</f>
        <v>1555</v>
      </c>
      <c r="R20" s="13">
        <f>COUNTIFS('PretestData (Submission)'!D:D,"="&amp;A20,'PretestData (Submission)'!A:A,"=403",'PretestData (Submission)'!E:E,"&gt;0")</f>
        <v>7</v>
      </c>
      <c r="S20" s="13">
        <f>COUNTIFS('PretestData (Submission)'!D:D,"="&amp;A20,'PretestData (Submission)'!A:A,"=403",'PretestData (Submission)'!H:H,"&gt;0")</f>
        <v>2</v>
      </c>
      <c r="T20" s="13">
        <f>IFERROR(__xludf.DUMMYFUNCTION("IFERROR(MAX(FILTER('PretestData (Submission)'!I:I,'PretestData (Submission)'!D:D=A20,'PretestData (Submission)'!A:A=403,'PretestData (Submission)'!H:H&gt;0)),0)"),"0")</f>
        <v>0</v>
      </c>
      <c r="U20" s="8">
        <f>COUNTIFS('PretestData (ViewVPL)'!C:C,"="&amp;A20,'PretestData (ViewVPL)'!B:B,"=403")</f>
        <v>27</v>
      </c>
      <c r="V20" s="13">
        <f>IFERROR(__xludf.DUMMYFUNCTION("IFERROR(MAX(FILTER('PretestData (Loggedin)'!C:C,'PretestData (Loggedin)'!B:B=A20,'PretestData (Loggedin)'!C:C&lt;W20)),0)"),"1478905932")</f>
        <v>1478905932</v>
      </c>
      <c r="W20" s="13">
        <f>IFERROR(__xludf.DUMMYFUNCTION("IFERROR(MIN(FILTER({'PretestData (Submission)'!E:E}, 'PretestData (Submission)'!D:D=A20, 'PretestData (Submission)'!A:A=404, 'PretestData (Submission)'!E:E&gt;0)),0)"),"1478910690")</f>
        <v>1478910690</v>
      </c>
      <c r="X20" s="13">
        <f>IFERROR(__xludf.DUMMYFUNCTION("IFERROR(MIN(FILTER('PretestData (ViewVPL)'!D:D, 'PretestData (ViewVPL)'!C:C=A20, 'PretestData (ViewVPL)'!B:B=404,'PretestData (ViewVPL)'!D:D&gt;V20,'PretestData (ViewVPL)'!D:D&lt;W20)),0)"),"1478909872")</f>
        <v>1478909872</v>
      </c>
      <c r="Y20" s="13">
        <f>IFERROR(__xludf.DUMMYFUNCTION("IFERROR(MAX(FILTER({'PretestData (Submission)'!E:E}, 'PretestData (Submission)'!D:D=A20, 'PretestData (Submission)'!A:A=404))-X20,0)"),"436839")</f>
        <v>436839</v>
      </c>
      <c r="Z20" s="13">
        <f>COUNTIFS('PretestData (Submission)'!D:D,"="&amp;A20,'PretestData (Submission)'!A:A,"=404",'PretestData (Submission)'!E:E,"&gt;0")</f>
        <v>2</v>
      </c>
      <c r="AA20" s="13">
        <f>COUNTIFS('PretestData (Submission)'!D:D,"="&amp;A20,'PretestData (Submission)'!A:A,"=404",'PretestData (Submission)'!H:H,"&gt;0")</f>
        <v>2</v>
      </c>
      <c r="AB20" s="13">
        <f>IFERROR(__xludf.DUMMYFUNCTION("IFERROR(MAX(FILTER('PretestData (Submission)'!I:I,'PretestData (Submission)'!D:D=A20,'PretestData (Submission)'!A:A=404,'PretestData (Submission)'!H:H&gt;0)),0)"),"0")</f>
        <v>0</v>
      </c>
      <c r="AC20" s="13">
        <f>COUNTIFS('PretestData (ViewVPL)'!C:C,"="&amp;A20,'PretestData (ViewVPL)'!B:B,"=404")</f>
        <v>10</v>
      </c>
      <c r="AD20" s="13">
        <f>IFERROR(__xludf.DUMMYFUNCTION("IFERROR(MAX(FILTER('PretestData (Loggedin)'!C:C,'PretestData (Loggedin)'!B:B=A20,'PretestData (Loggedin)'!C:C&lt;AE20)),0)"),"0")</f>
        <v>0</v>
      </c>
      <c r="AE20" s="13">
        <f>IFERROR(__xludf.DUMMYFUNCTION("IFERROR(MIN(FILTER({'PretestData (Submission)'!E:E}, 'PretestData (Submission)'!D:D=A20, 'PretestData (Submission)'!A:A=405, 'PretestData (Submission)'!E:E&gt;0)),0)"),"0")</f>
        <v>0</v>
      </c>
      <c r="AF20" s="13">
        <f>IFERROR(__xludf.DUMMYFUNCTION("IFERROR(MIN(FILTER('PretestData (ViewVPL)'!D:D, 'PretestData (ViewVPL)'!C:C=A20, 'PretestData (ViewVPL)'!B:B=405,'PretestData (ViewVPL)'!D:D&gt;AD20,'PretestData (ViewVPL)'!D:D&lt;AE20)),0)"),"0")</f>
        <v>0</v>
      </c>
      <c r="AG20" s="8">
        <f>IFERROR(__xludf.DUMMYFUNCTION("IFERROR(MAX(FILTER({'PretestData (Submission)'!E:E}, 'PretestData (Submission)'!D:D=A20, 'PretestData (Submission)'!A:A=405))-AF20,0)"),"0")</f>
        <v>0</v>
      </c>
      <c r="AH20" s="8">
        <f>COUNTIFS('PretestData (Submission)'!D:D,"="&amp;A20,'PretestData (Submission)'!A:A,"=405",'PretestData (Submission)'!E:E,"&gt;0")</f>
        <v>0</v>
      </c>
      <c r="AI20" s="8">
        <f>COUNTIFS('PretestData (Submission)'!D:D,"="&amp;A20,'PretestData (Submission)'!A:A,"=405",'PretestData (Submission)'!H:H,"&gt;0")</f>
        <v>0</v>
      </c>
      <c r="AJ20" s="8">
        <f>IFERROR(__xludf.DUMMYFUNCTION("IFERROR(MAX(FILTER('PretestData (Submission)'!I:I,'PretestData (Submission)'!D:D=A20,'PretestData (Submission)'!A:A=405,'PretestData (Submission)'!H:H&gt;0)),0)"),"0")</f>
        <v>0</v>
      </c>
      <c r="AK20" s="8">
        <f>COUNTIFS('PretestData (ViewVPL)'!C:C,"="&amp;A20,'PretestData (ViewVPL)'!B:B,"=405")</f>
        <v>2</v>
      </c>
      <c r="AL20" s="8"/>
      <c r="AM20" s="11"/>
      <c r="AN20" s="11"/>
      <c r="AO20" s="8"/>
      <c r="AP20" s="8"/>
      <c r="AQ20" s="8"/>
      <c r="AR20" s="8"/>
      <c r="AS20" s="11"/>
      <c r="AT20" s="11"/>
      <c r="AU20" s="11"/>
    </row>
    <row r="21">
      <c r="A21" s="7">
        <v>10151.0</v>
      </c>
      <c r="B21" s="3" t="s">
        <v>45</v>
      </c>
      <c r="C21" s="3" t="s">
        <v>103</v>
      </c>
      <c r="D21" s="3" t="s">
        <v>63</v>
      </c>
      <c r="E21" s="3" t="s">
        <v>100</v>
      </c>
      <c r="F21" s="2">
        <f>IFERROR(__xludf.DUMMYFUNCTION("IFERROR(MAX(FILTER('PretestData (Loggedin)'!C:C,'PretestData (Loggedin)'!B:B=A21,'PretestData (Loggedin)'!C:C&lt;G21)),0)"),"1478906802")</f>
        <v>1478906802</v>
      </c>
      <c r="G21" s="2">
        <f>IFERROR(__xludf.DUMMYFUNCTION("IFERROR(MIN(FILTER({'PretestData (Submission)'!E:E}, 'PretestData (Submission)'!D:D=A21, 'PretestData (Submission)'!A:A=401, 'PretestData (Submission)'!E:E&gt;0)),0)"),"1478907651")</f>
        <v>1478907651</v>
      </c>
      <c r="H21" s="2">
        <f>IFERROR(__xludf.DUMMYFUNCTION("IFERROR(MIN(FILTER('PretestData (ViewVPL)'!D:D, 'PretestData (ViewVPL)'!C:C=A21, 'PretestData (ViewVPL)'!B:B=401,'PretestData (ViewVPL)'!D:D&gt;F21,'PretestData (ViewVPL)'!D:D&lt;G21)),0)"),"1478907279")</f>
        <v>1478907279</v>
      </c>
      <c r="I21" s="2">
        <f>IFERROR(__xludf.DUMMYFUNCTION("IFERROR(MAX(FILTER({'PretestData (Submission)'!E:E}, 'PretestData (Submission)'!D:D=A21, 'PretestData (Submission)'!A:A=401))-H21, 0)"),"1708")</f>
        <v>1708</v>
      </c>
      <c r="J21" s="2">
        <f>COUNTIFS('PretestData (Submission)'!D:D,"="&amp;A21,'PretestData (Submission)'!A:A,"=401",'PretestData (Submission)'!E:E,"&gt;0")</f>
        <v>14</v>
      </c>
      <c r="K21" s="2">
        <f>COUNTIFS('PretestData (Submission)'!D:D,"="&amp;A21,'PretestData (Submission)'!A:A,"=401",'PretestData (Submission)'!H:H,"&gt;0")</f>
        <v>2</v>
      </c>
      <c r="L21" s="2">
        <f>IFERROR(__xludf.DUMMYFUNCTION("IFERROR(MAX(FILTER('PretestData (Submission)'!I:I,'PretestData (Submission)'!D:D=A21,'PretestData (Submission)'!A:A=401,'PretestData (Submission)'!H:H&gt;0)),0)"),"10")</f>
        <v>10</v>
      </c>
      <c r="M21" s="8">
        <f>COUNTIFS('PretestData (ViewVPL)'!C:C,"="&amp;A21,'PretestData (ViewVPL)'!B:B,"=401")</f>
        <v>9</v>
      </c>
      <c r="N21" s="13">
        <f>IFERROR(__xludf.DUMMYFUNCTION("IFERROR(MAX(FILTER('PretestData (Loggedin)'!C:C,'PretestData (Loggedin)'!B:B=A21,'PretestData (Loggedin)'!C:C&lt;O21)),0)"),"1478906802")</f>
        <v>1478906802</v>
      </c>
      <c r="O21" s="13">
        <f>IFERROR(__xludf.DUMMYFUNCTION("IFERROR(MIN(FILTER({'PretestData (Submission)'!E:E}, 'PretestData (Submission)'!D:D=A21, 'PretestData (Submission)'!A:A=403, 'PretestData (Submission)'!E:E&gt;0)),0)"),"1478908745")</f>
        <v>1478908745</v>
      </c>
      <c r="P21" s="13">
        <f>IFERROR(__xludf.DUMMYFUNCTION("IFERROR(MIN(FILTER('PretestData (ViewVPL)'!D:D, 'PretestData (ViewVPL)'!C:C=A21, 'PretestData (ViewVPL)'!B:B=403,'PretestData (ViewVPL)'!D:D&gt;N21,'PretestData (ViewVPL)'!D:D&lt;O21)),0)"),"1478908536")</f>
        <v>1478908536</v>
      </c>
      <c r="Q21" s="13">
        <f>IFERROR(__xludf.DUMMYFUNCTION("IFERROR(MAX(FILTER({'PretestData (Submission)'!E:E}, 'PretestData (Submission)'!D:D=A21, 'PretestData (Submission)'!A:A=403))-P21,0)"),"407")</f>
        <v>407</v>
      </c>
      <c r="R21" s="13">
        <f>COUNTIFS('PretestData (Submission)'!D:D,"="&amp;A21,'PretestData (Submission)'!A:A,"=403",'PretestData (Submission)'!E:E,"&gt;0")</f>
        <v>5</v>
      </c>
      <c r="S21" s="13">
        <f>COUNTIFS('PretestData (Submission)'!D:D,"="&amp;A21,'PretestData (Submission)'!A:A,"=403",'PretestData (Submission)'!H:H,"&gt;0")</f>
        <v>2</v>
      </c>
      <c r="T21" s="13">
        <f>IFERROR(__xludf.DUMMYFUNCTION("IFERROR(MAX(FILTER('PretestData (Submission)'!I:I,'PretestData (Submission)'!D:D=A21,'PretestData (Submission)'!A:A=403,'PretestData (Submission)'!H:H&gt;0)),0)"),"10")</f>
        <v>10</v>
      </c>
      <c r="U21" s="8">
        <f>COUNTIFS('PretestData (ViewVPL)'!C:C,"="&amp;A21,'PretestData (ViewVPL)'!B:B,"=403")</f>
        <v>5</v>
      </c>
      <c r="V21" s="13">
        <f>IFERROR(__xludf.DUMMYFUNCTION("IFERROR(MAX(FILTER('PretestData (Loggedin)'!C:C,'PretestData (Loggedin)'!B:B=A21,'PretestData (Loggedin)'!C:C&lt;W21)),0)"),"0")</f>
        <v>0</v>
      </c>
      <c r="W21" s="13">
        <f>IFERROR(__xludf.DUMMYFUNCTION("IFERROR(MIN(FILTER({'PretestData (Submission)'!E:E}, 'PretestData (Submission)'!D:D=A21, 'PretestData (Submission)'!A:A=404, 'PretestData (Submission)'!E:E&gt;0)),0)"),"0")</f>
        <v>0</v>
      </c>
      <c r="X21" s="13">
        <f>IFERROR(__xludf.DUMMYFUNCTION("IFERROR(MIN(FILTER('PretestData (ViewVPL)'!D:D, 'PretestData (ViewVPL)'!C:C=A21, 'PretestData (ViewVPL)'!B:B=404,'PretestData (ViewVPL)'!D:D&gt;V21,'PretestData (ViewVPL)'!D:D&lt;W21)),0)"),"0")</f>
        <v>0</v>
      </c>
      <c r="Y21" s="13">
        <f>IFERROR(__xludf.DUMMYFUNCTION("IFERROR(MAX(FILTER({'PretestData (Submission)'!E:E}, 'PretestData (Submission)'!D:D=A21, 'PretestData (Submission)'!A:A=404))-X21,0)"),"0")</f>
        <v>0</v>
      </c>
      <c r="Z21" s="13">
        <f>COUNTIFS('PretestData (Submission)'!D:D,"="&amp;A21,'PretestData (Submission)'!A:A,"=404",'PretestData (Submission)'!E:E,"&gt;0")</f>
        <v>0</v>
      </c>
      <c r="AA21" s="13">
        <f>COUNTIFS('PretestData (Submission)'!D:D,"="&amp;A21,'PretestData (Submission)'!A:A,"=404",'PretestData (Submission)'!H:H,"&gt;0")</f>
        <v>0</v>
      </c>
      <c r="AB21" s="13">
        <f>IFERROR(__xludf.DUMMYFUNCTION("IFERROR(MAX(FILTER('PretestData (Submission)'!I:I,'PretestData (Submission)'!D:D=A21,'PretestData (Submission)'!A:A=404,'PretestData (Submission)'!H:H&gt;0)),0)"),"0")</f>
        <v>0</v>
      </c>
      <c r="AC21" s="13">
        <f>COUNTIFS('PretestData (ViewVPL)'!C:C,"="&amp;A21,'PretestData (ViewVPL)'!B:B,"=404")</f>
        <v>5</v>
      </c>
      <c r="AD21" s="13">
        <f>IFERROR(__xludf.DUMMYFUNCTION("IFERROR(MAX(FILTER('PretestData (Loggedin)'!C:C,'PretestData (Loggedin)'!B:B=A21,'PretestData (Loggedin)'!C:C&lt;AE21)),0)"),"0")</f>
        <v>0</v>
      </c>
      <c r="AE21" s="13">
        <f>IFERROR(__xludf.DUMMYFUNCTION("IFERROR(MIN(FILTER({'PretestData (Submission)'!E:E}, 'PretestData (Submission)'!D:D=A21, 'PretestData (Submission)'!A:A=405, 'PretestData (Submission)'!E:E&gt;0)),0)"),"0")</f>
        <v>0</v>
      </c>
      <c r="AF21" s="13">
        <f>IFERROR(__xludf.DUMMYFUNCTION("IFERROR(MIN(FILTER('PretestData (ViewVPL)'!D:D, 'PretestData (ViewVPL)'!C:C=A21, 'PretestData (ViewVPL)'!B:B=405,'PretestData (ViewVPL)'!D:D&gt;AD21,'PretestData (ViewVPL)'!D:D&lt;AE21)),0)"),"0")</f>
        <v>0</v>
      </c>
      <c r="AG21" s="8">
        <f>IFERROR(__xludf.DUMMYFUNCTION("IFERROR(MAX(FILTER({'PretestData (Submission)'!E:E}, 'PretestData (Submission)'!D:D=A21, 'PretestData (Submission)'!A:A=405))-AF21,0)"),"0")</f>
        <v>0</v>
      </c>
      <c r="AH21" s="8">
        <f>COUNTIFS('PretestData (Submission)'!D:D,"="&amp;A21,'PretestData (Submission)'!A:A,"=405",'PretestData (Submission)'!E:E,"&gt;0")</f>
        <v>0</v>
      </c>
      <c r="AI21" s="8">
        <f>COUNTIFS('PretestData (Submission)'!D:D,"="&amp;A21,'PretestData (Submission)'!A:A,"=405",'PretestData (Submission)'!H:H,"&gt;0")</f>
        <v>0</v>
      </c>
      <c r="AJ21" s="8">
        <f>IFERROR(__xludf.DUMMYFUNCTION("IFERROR(MAX(FILTER('PretestData (Submission)'!I:I,'PretestData (Submission)'!D:D=A21,'PretestData (Submission)'!A:A=405,'PretestData (Submission)'!H:H&gt;0)),0)"),"0")</f>
        <v>0</v>
      </c>
      <c r="AK21" s="8">
        <f>COUNTIFS('PretestData (ViewVPL)'!C:C,"="&amp;A21,'PretestData (ViewVPL)'!B:B,"=405")</f>
        <v>0</v>
      </c>
      <c r="AL21" s="8"/>
      <c r="AM21" s="11"/>
      <c r="AN21" s="11"/>
      <c r="AO21" s="8"/>
      <c r="AP21" s="8"/>
      <c r="AQ21" s="8"/>
      <c r="AR21" s="8"/>
      <c r="AS21" s="11"/>
      <c r="AT21" s="11"/>
      <c r="AU21" s="11"/>
    </row>
    <row r="22">
      <c r="A22" s="7">
        <v>10120.0</v>
      </c>
      <c r="B22" s="3" t="s">
        <v>45</v>
      </c>
      <c r="C22" s="3" t="s">
        <v>103</v>
      </c>
      <c r="D22" s="3" t="s">
        <v>47</v>
      </c>
      <c r="E22" s="3" t="s">
        <v>100</v>
      </c>
      <c r="F22" s="2">
        <f>IFERROR(__xludf.DUMMYFUNCTION("IFERROR(MAX(FILTER('PretestData (Loggedin)'!C:C,'PretestData (Loggedin)'!B:B=A22,'PretestData (Loggedin)'!C:C&lt;G22)),0)"),"1478905648")</f>
        <v>1478905648</v>
      </c>
      <c r="G22" s="2">
        <f>IFERROR(__xludf.DUMMYFUNCTION("IFERROR(MIN(FILTER({'PretestData (Submission)'!E:E}, 'PretestData (Submission)'!D:D=A22, 'PretestData (Submission)'!A:A=401, 'PretestData (Submission)'!E:E&gt;0)),0)"),"1478906487")</f>
        <v>1478906487</v>
      </c>
      <c r="H22" s="2">
        <f>IFERROR(__xludf.DUMMYFUNCTION("IFERROR(MIN(FILTER('PretestData (ViewVPL)'!D:D, 'PretestData (ViewVPL)'!C:C=A22, 'PretestData (ViewVPL)'!B:B=401,'PretestData (ViewVPL)'!D:D&gt;F22,'PretestData (ViewVPL)'!D:D&lt;G22)),0)"),"1478906144")</f>
        <v>1478906144</v>
      </c>
      <c r="I22" s="2">
        <f>IFERROR(__xludf.DUMMYFUNCTION("IFERROR(MAX(FILTER({'PretestData (Submission)'!E:E}, 'PretestData (Submission)'!D:D=A22, 'PretestData (Submission)'!A:A=401))-H22, 0)"),"1425")</f>
        <v>1425</v>
      </c>
      <c r="J22" s="2">
        <f>COUNTIFS('PretestData (Submission)'!D:D,"="&amp;A22,'PretestData (Submission)'!A:A,"=401",'PretestData (Submission)'!E:E,"&gt;0")</f>
        <v>16</v>
      </c>
      <c r="K22" s="2">
        <f>COUNTIFS('PretestData (Submission)'!D:D,"="&amp;A22,'PretestData (Submission)'!A:A,"=401",'PretestData (Submission)'!H:H,"&gt;0")</f>
        <v>1</v>
      </c>
      <c r="L22" s="2">
        <f>IFERROR(__xludf.DUMMYFUNCTION("IFERROR(MAX(FILTER('PretestData (Submission)'!I:I,'PretestData (Submission)'!D:D=A22,'PretestData (Submission)'!A:A=401,'PretestData (Submission)'!H:H&gt;0)),0)"),"10")</f>
        <v>10</v>
      </c>
      <c r="M22" s="8">
        <f>COUNTIFS('PretestData (ViewVPL)'!C:C,"="&amp;A22,'PretestData (ViewVPL)'!B:B,"=401")</f>
        <v>5</v>
      </c>
      <c r="N22" s="13">
        <f>IFERROR(__xludf.DUMMYFUNCTION("IFERROR(MAX(FILTER('PretestData (Loggedin)'!C:C,'PretestData (Loggedin)'!B:B=A22,'PretestData (Loggedin)'!C:C&lt;O22)),0)"),"1478905648")</f>
        <v>1478905648</v>
      </c>
      <c r="O22" s="13">
        <f>IFERROR(__xludf.DUMMYFUNCTION("IFERROR(MIN(FILTER({'PretestData (Submission)'!E:E}, 'PretestData (Submission)'!D:D=A22, 'PretestData (Submission)'!A:A=403, 'PretestData (Submission)'!E:E&gt;0)),0)"),"1478907739")</f>
        <v>1478907739</v>
      </c>
      <c r="P22" s="13">
        <f>IFERROR(__xludf.DUMMYFUNCTION("IFERROR(MIN(FILTER('PretestData (ViewVPL)'!D:D, 'PretestData (ViewVPL)'!C:C=A22, 'PretestData (ViewVPL)'!B:B=403,'PretestData (ViewVPL)'!D:D&gt;N22,'PretestData (ViewVPL)'!D:D&lt;O22)),0)"),"1478907608")</f>
        <v>1478907608</v>
      </c>
      <c r="Q22" s="13">
        <f>IFERROR(__xludf.DUMMYFUNCTION("IFERROR(MAX(FILTER({'PretestData (Submission)'!E:E}, 'PretestData (Submission)'!D:D=A22, 'PretestData (Submission)'!A:A=403))-P22,0)"),"4323")</f>
        <v>4323</v>
      </c>
      <c r="R22" s="13">
        <f>COUNTIFS('PretestData (Submission)'!D:D,"="&amp;A22,'PretestData (Submission)'!A:A,"=403",'PretestData (Submission)'!E:E,"&gt;0")</f>
        <v>6</v>
      </c>
      <c r="S22" s="13">
        <f>COUNTIFS('PretestData (Submission)'!D:D,"="&amp;A22,'PretestData (Submission)'!A:A,"=403",'PretestData (Submission)'!H:H,"&gt;0")</f>
        <v>4</v>
      </c>
      <c r="T22" s="13">
        <f>IFERROR(__xludf.DUMMYFUNCTION("IFERROR(MAX(FILTER('PretestData (Submission)'!I:I,'PretestData (Submission)'!D:D=A22,'PretestData (Submission)'!A:A=403,'PretestData (Submission)'!H:H&gt;0)),0)"),"10")</f>
        <v>10</v>
      </c>
      <c r="U22" s="8">
        <f>COUNTIFS('PretestData (ViewVPL)'!C:C,"="&amp;A22,'PretestData (ViewVPL)'!B:B,"=403")</f>
        <v>4</v>
      </c>
      <c r="V22" s="13">
        <f>IFERROR(__xludf.DUMMYFUNCTION("IFERROR(MAX(FILTER('PretestData (Loggedin)'!C:C,'PretestData (Loggedin)'!B:B=A22,'PretestData (Loggedin)'!C:C&lt;W22)),0)"),"1478905648")</f>
        <v>1478905648</v>
      </c>
      <c r="W22" s="13">
        <f>IFERROR(__xludf.DUMMYFUNCTION("IFERROR(MIN(FILTER({'PretestData (Submission)'!E:E}, 'PretestData (Submission)'!D:D=A22, 'PretestData (Submission)'!A:A=404, 'PretestData (Submission)'!E:E&gt;0)),0)"),"1478908379")</f>
        <v>1478908379</v>
      </c>
      <c r="X22" s="13">
        <f>IFERROR(__xludf.DUMMYFUNCTION("IFERROR(MIN(FILTER('PretestData (ViewVPL)'!D:D, 'PretestData (ViewVPL)'!C:C=A22, 'PretestData (ViewVPL)'!B:B=404,'PretestData (ViewVPL)'!D:D&gt;V22,'PretestData (ViewVPL)'!D:D&lt;W22)),0)"),"1478907868")</f>
        <v>1478907868</v>
      </c>
      <c r="Y22" s="13">
        <f>IFERROR(__xludf.DUMMYFUNCTION("IFERROR(MAX(FILTER({'PretestData (Submission)'!E:E}, 'PretestData (Submission)'!D:D=A22, 'PretestData (Submission)'!A:A=404))-X22,0)"),"6881")</f>
        <v>6881</v>
      </c>
      <c r="Z22" s="13">
        <f>COUNTIFS('PretestData (Submission)'!D:D,"="&amp;A22,'PretestData (Submission)'!A:A,"=404",'PretestData (Submission)'!E:E,"&gt;0")</f>
        <v>51</v>
      </c>
      <c r="AA22" s="13">
        <f>COUNTIFS('PretestData (Submission)'!D:D,"="&amp;A22,'PretestData (Submission)'!A:A,"=404",'PretestData (Submission)'!H:H,"&gt;0")</f>
        <v>1</v>
      </c>
      <c r="AB22" s="13">
        <f>IFERROR(__xludf.DUMMYFUNCTION("IFERROR(MAX(FILTER('PretestData (Submission)'!I:I,'PretestData (Submission)'!D:D=A22,'PretestData (Submission)'!A:A=404,'PretestData (Submission)'!H:H&gt;0)),0)"),"10")</f>
        <v>10</v>
      </c>
      <c r="AC22" s="13">
        <f>COUNTIFS('PretestData (ViewVPL)'!C:C,"="&amp;A22,'PretestData (ViewVPL)'!B:B,"=404")</f>
        <v>9</v>
      </c>
      <c r="AD22" s="13">
        <f>IFERROR(__xludf.DUMMYFUNCTION("IFERROR(MAX(FILTER('PretestData (Loggedin)'!C:C,'PretestData (Loggedin)'!B:B=A22,'PretestData (Loggedin)'!C:C&lt;AE22)),0)"),"1478914269")</f>
        <v>1478914269</v>
      </c>
      <c r="AE22" s="13">
        <f>IFERROR(__xludf.DUMMYFUNCTION("IFERROR(MIN(FILTER({'PretestData (Submission)'!E:E}, 'PretestData (Submission)'!D:D=A22, 'PretestData (Submission)'!A:A=405, 'PretestData (Submission)'!E:E&gt;0)),0)"),"1478915317")</f>
        <v>1478915317</v>
      </c>
      <c r="AF22" s="13">
        <f>IFERROR(__xludf.DUMMYFUNCTION("IFERROR(MIN(FILTER('PretestData (ViewVPL)'!D:D, 'PretestData (ViewVPL)'!C:C=A22, 'PretestData (ViewVPL)'!B:B=405,'PretestData (ViewVPL)'!D:D&gt;AD22,'PretestData (ViewVPL)'!D:D&lt;AE22)),0)"),"1478914782")</f>
        <v>1478914782</v>
      </c>
      <c r="AG22" s="8">
        <f>IFERROR(__xludf.DUMMYFUNCTION("IFERROR(MAX(FILTER({'PretestData (Submission)'!E:E}, 'PretestData (Submission)'!D:D=A22, 'PretestData (Submission)'!A:A=405))-AF22,0)"),"3738")</f>
        <v>3738</v>
      </c>
      <c r="AH22" s="8">
        <f>COUNTIFS('PretestData (Submission)'!D:D,"="&amp;A22,'PretestData (Submission)'!A:A,"=405",'PretestData (Submission)'!E:E,"&gt;0")</f>
        <v>9</v>
      </c>
      <c r="AI22" s="8">
        <f>COUNTIFS('PretestData (Submission)'!D:D,"="&amp;A22,'PretestData (Submission)'!A:A,"=405",'PretestData (Submission)'!H:H,"&gt;0")</f>
        <v>1</v>
      </c>
      <c r="AJ22" s="8">
        <f>IFERROR(__xludf.DUMMYFUNCTION("IFERROR(MAX(FILTER('PretestData (Submission)'!I:I,'PretestData (Submission)'!D:D=A22,'PretestData (Submission)'!A:A=405,'PretestData (Submission)'!H:H&gt;0)),0)"),"10")</f>
        <v>10</v>
      </c>
      <c r="AK22" s="8">
        <f>COUNTIFS('PretestData (ViewVPL)'!C:C,"="&amp;A22,'PretestData (ViewVPL)'!B:B,"=405")</f>
        <v>2</v>
      </c>
      <c r="AL22" s="8"/>
      <c r="AM22" s="11"/>
      <c r="AN22" s="11"/>
      <c r="AO22" s="8"/>
      <c r="AP22" s="8"/>
      <c r="AQ22" s="8"/>
      <c r="AR22" s="8"/>
      <c r="AS22" s="11"/>
      <c r="AT22" s="11"/>
      <c r="AU22" s="11"/>
    </row>
    <row r="23">
      <c r="A23" s="7">
        <v>10146.0</v>
      </c>
      <c r="B23" s="3" t="s">
        <v>104</v>
      </c>
      <c r="C23" s="3" t="s">
        <v>105</v>
      </c>
      <c r="D23" s="3" t="s">
        <v>63</v>
      </c>
      <c r="E23" s="3"/>
      <c r="F23" s="2">
        <f>IFERROR(__xludf.DUMMYFUNCTION("IFERROR(MAX(FILTER('PretestData (Loggedin)'!C:C,'PretestData (Loggedin)'!B:B=A23,'PretestData (Loggedin)'!C:C&lt;G23)),0)"),"1478906223")</f>
        <v>1478906223</v>
      </c>
      <c r="G23" s="2">
        <f>IFERROR(__xludf.DUMMYFUNCTION("IFERROR(MIN(FILTER({'PretestData (Submission)'!E:E}, 'PretestData (Submission)'!D:D=A23, 'PretestData (Submission)'!A:A=401, 'PretestData (Submission)'!E:E&gt;0)),0)"),"1478907315")</f>
        <v>1478907315</v>
      </c>
      <c r="H23" s="2">
        <f>IFERROR(__xludf.DUMMYFUNCTION("IFERROR(MIN(FILTER('PretestData (ViewVPL)'!D:D, 'PretestData (ViewVPL)'!C:C=A23, 'PretestData (ViewVPL)'!B:B=401,'PretestData (ViewVPL)'!D:D&gt;F23,'PretestData (ViewVPL)'!D:D&lt;G23)),0)"),"1478906938")</f>
        <v>1478906938</v>
      </c>
      <c r="I23" s="2">
        <f>IFERROR(__xludf.DUMMYFUNCTION("IFERROR(MAX(FILTER({'PretestData (Submission)'!E:E}, 'PretestData (Submission)'!D:D=A23, 'PretestData (Submission)'!A:A=401))-H23, 0)"),"393")</f>
        <v>393</v>
      </c>
      <c r="J23" s="2">
        <f>COUNTIFS('PretestData (Submission)'!D:D,"="&amp;A23,'PretestData (Submission)'!A:A,"=401",'PretestData (Submission)'!E:E,"&gt;0")</f>
        <v>2</v>
      </c>
      <c r="K23" s="2">
        <f>COUNTIFS('PretestData (Submission)'!D:D,"="&amp;A23,'PretestData (Submission)'!A:A,"=401",'PretestData (Submission)'!H:H,"&gt;0")</f>
        <v>1</v>
      </c>
      <c r="L23" s="2">
        <f>IFERROR(__xludf.DUMMYFUNCTION("IFERROR(MAX(FILTER('PretestData (Submission)'!I:I,'PretestData (Submission)'!D:D=A23,'PretestData (Submission)'!A:A=401,'PretestData (Submission)'!H:H&gt;0)),0)"),"10")</f>
        <v>10</v>
      </c>
      <c r="M23" s="8">
        <f>COUNTIFS('PretestData (ViewVPL)'!C:C,"="&amp;A23,'PretestData (ViewVPL)'!B:B,"=401")</f>
        <v>4</v>
      </c>
      <c r="N23" s="13">
        <f>IFERROR(__xludf.DUMMYFUNCTION("IFERROR(MAX(FILTER('PretestData (Loggedin)'!C:C,'PretestData (Loggedin)'!B:B=A23,'PretestData (Loggedin)'!C:C&lt;O23)),0)"),"1478906223")</f>
        <v>1478906223</v>
      </c>
      <c r="O23" s="13">
        <f>IFERROR(__xludf.DUMMYFUNCTION("IFERROR(MIN(FILTER({'PretestData (Submission)'!E:E}, 'PretestData (Submission)'!D:D=A23, 'PretestData (Submission)'!A:A=403, 'PretestData (Submission)'!E:E&gt;0)),0)"),"1478907726")</f>
        <v>1478907726</v>
      </c>
      <c r="P23" s="13">
        <f>IFERROR(__xludf.DUMMYFUNCTION("IFERROR(MIN(FILTER('PretestData (ViewVPL)'!D:D, 'PretestData (ViewVPL)'!C:C=A23, 'PretestData (ViewVPL)'!B:B=403,'PretestData (ViewVPL)'!D:D&gt;N23,'PretestData (ViewVPL)'!D:D&lt;O23)),0)"),"1478907461")</f>
        <v>1478907461</v>
      </c>
      <c r="Q23" s="13">
        <f>IFERROR(__xludf.DUMMYFUNCTION("IFERROR(MAX(FILTER({'PretestData (Submission)'!E:E}, 'PretestData (Submission)'!D:D=A23, 'PretestData (Submission)'!A:A=403))-P23,0)"),"342664")</f>
        <v>342664</v>
      </c>
      <c r="R23" s="13">
        <f>COUNTIFS('PretestData (Submission)'!D:D,"="&amp;A23,'PretestData (Submission)'!A:A,"=403",'PretestData (Submission)'!E:E,"&gt;0")</f>
        <v>3</v>
      </c>
      <c r="S23" s="13">
        <f>COUNTIFS('PretestData (Submission)'!D:D,"="&amp;A23,'PretestData (Submission)'!A:A,"=403",'PretestData (Submission)'!H:H,"&gt;0")</f>
        <v>2</v>
      </c>
      <c r="T23" s="13">
        <f>IFERROR(__xludf.DUMMYFUNCTION("IFERROR(MAX(FILTER('PretestData (Submission)'!I:I,'PretestData (Submission)'!D:D=A23,'PretestData (Submission)'!A:A=403,'PretestData (Submission)'!H:H&gt;0)),0)"),"0")</f>
        <v>0</v>
      </c>
      <c r="U23" s="8">
        <f>COUNTIFS('PretestData (ViewVPL)'!C:C,"="&amp;A23,'PretestData (ViewVPL)'!B:B,"=403")</f>
        <v>11</v>
      </c>
      <c r="V23" s="13">
        <f>IFERROR(__xludf.DUMMYFUNCTION("IFERROR(MAX(FILTER('PretestData (Loggedin)'!C:C,'PretestData (Loggedin)'!B:B=A23,'PretestData (Loggedin)'!C:C&lt;W23)),0)"),"1478906223")</f>
        <v>1478906223</v>
      </c>
      <c r="W23" s="13">
        <f>IFERROR(__xludf.DUMMYFUNCTION("IFERROR(MIN(FILTER({'PretestData (Submission)'!E:E}, 'PretestData (Submission)'!D:D=A23, 'PretestData (Submission)'!A:A=404, 'PretestData (Submission)'!E:E&gt;0)),0)"),"1478908420")</f>
        <v>1478908420</v>
      </c>
      <c r="X23" s="13">
        <f>IFERROR(__xludf.DUMMYFUNCTION("IFERROR(MIN(FILTER('PretestData (ViewVPL)'!D:D, 'PretestData (ViewVPL)'!C:C=A23, 'PretestData (ViewVPL)'!B:B=404,'PretestData (ViewVPL)'!D:D&gt;V23,'PretestData (ViewVPL)'!D:D&lt;W23)),0)"),"1478908038")</f>
        <v>1478908038</v>
      </c>
      <c r="Y23" s="13">
        <f>IFERROR(__xludf.DUMMYFUNCTION("IFERROR(MAX(FILTER({'PretestData (Submission)'!E:E}, 'PretestData (Submission)'!D:D=A23, 'PretestData (Submission)'!A:A=404))-X23,0)"),"340987")</f>
        <v>340987</v>
      </c>
      <c r="Z23" s="13">
        <f>COUNTIFS('PretestData (Submission)'!D:D,"="&amp;A23,'PretestData (Submission)'!A:A,"=404",'PretestData (Submission)'!E:E,"&gt;0")</f>
        <v>7</v>
      </c>
      <c r="AA23" s="13">
        <f>COUNTIFS('PretestData (Submission)'!D:D,"="&amp;A23,'PretestData (Submission)'!A:A,"=404",'PretestData (Submission)'!H:H,"&gt;0")</f>
        <v>1</v>
      </c>
      <c r="AB23" s="13">
        <f>IFERROR(__xludf.DUMMYFUNCTION("IFERROR(MAX(FILTER('PretestData (Submission)'!I:I,'PretestData (Submission)'!D:D=A23,'PretestData (Submission)'!A:A=404,'PretestData (Submission)'!H:H&gt;0)),0)"),"0")</f>
        <v>0</v>
      </c>
      <c r="AC23" s="13">
        <f>COUNTIFS('PretestData (ViewVPL)'!C:C,"="&amp;A23,'PretestData (ViewVPL)'!B:B,"=404")</f>
        <v>9</v>
      </c>
      <c r="AD23" s="13">
        <f>IFERROR(__xludf.DUMMYFUNCTION("IFERROR(MAX(FILTER('PretestData (Loggedin)'!C:C,'PretestData (Loggedin)'!B:B=A23,'PretestData (Loggedin)'!C:C&lt;AE23)),0)"),"1479248979")</f>
        <v>1479248979</v>
      </c>
      <c r="AE23" s="13">
        <f>IFERROR(__xludf.DUMMYFUNCTION("IFERROR(MIN(FILTER({'PretestData (Submission)'!E:E}, 'PretestData (Submission)'!D:D=A23, 'PretestData (Submission)'!A:A=405, 'PretestData (Submission)'!E:E&gt;0)),0)"),"1479257739")</f>
        <v>1479257739</v>
      </c>
      <c r="AF23" s="13">
        <f>IFERROR(__xludf.DUMMYFUNCTION("IFERROR(MIN(FILTER('PretestData (ViewVPL)'!D:D, 'PretestData (ViewVPL)'!C:C=A23, 'PretestData (ViewVPL)'!B:B=405,'PretestData (ViewVPL)'!D:D&gt;AD23,'PretestData (ViewVPL)'!D:D&lt;AE23)),0)"),"1479250175")</f>
        <v>1479250175</v>
      </c>
      <c r="AG23" s="8">
        <f>IFERROR(__xludf.DUMMYFUNCTION("IFERROR(MAX(FILTER({'PretestData (Submission)'!E:E}, 'PretestData (Submission)'!D:D=A23, 'PretestData (Submission)'!A:A=405))-AF23,0)"),"7564")</f>
        <v>7564</v>
      </c>
      <c r="AH23" s="8">
        <f>COUNTIFS('PretestData (Submission)'!D:D,"="&amp;A23,'PretestData (Submission)'!A:A,"=405",'PretestData (Submission)'!E:E,"&gt;0")</f>
        <v>1</v>
      </c>
      <c r="AI23" s="8">
        <f>COUNTIFS('PretestData (Submission)'!D:D,"="&amp;A23,'PretestData (Submission)'!A:A,"=405",'PretestData (Submission)'!H:H,"&gt;0")</f>
        <v>1</v>
      </c>
      <c r="AJ23" s="8">
        <f>IFERROR(__xludf.DUMMYFUNCTION("IFERROR(MAX(FILTER('PretestData (Submission)'!I:I,'PretestData (Submission)'!D:D=A23,'PretestData (Submission)'!A:A=405,'PretestData (Submission)'!H:H&gt;0)),0)"),"0")</f>
        <v>0</v>
      </c>
      <c r="AK23" s="8">
        <f>COUNTIFS('PretestData (ViewVPL)'!C:C,"="&amp;A23,'PretestData (ViewVPL)'!B:B,"=405")</f>
        <v>3</v>
      </c>
      <c r="AL23" s="8"/>
      <c r="AM23" s="11"/>
      <c r="AN23" s="11"/>
      <c r="AO23" s="8"/>
      <c r="AP23" s="8"/>
      <c r="AQ23" s="8"/>
      <c r="AR23" s="8"/>
      <c r="AS23" s="11"/>
      <c r="AT23" s="11"/>
      <c r="AU23" s="11"/>
    </row>
    <row r="24">
      <c r="A24" s="7">
        <v>10149.0</v>
      </c>
      <c r="B24" s="3" t="s">
        <v>104</v>
      </c>
      <c r="C24" s="3" t="s">
        <v>105</v>
      </c>
      <c r="D24" s="3" t="s">
        <v>63</v>
      </c>
      <c r="E24" s="3"/>
      <c r="F24" s="2">
        <f>IFERROR(__xludf.DUMMYFUNCTION("IFERROR(MAX(FILTER('PretestData (Loggedin)'!C:C,'PretestData (Loggedin)'!B:B=A24,'PretestData (Loggedin)'!C:C&lt;G24)),0)"),"1478906325")</f>
        <v>1478906325</v>
      </c>
      <c r="G24" s="2">
        <f>IFERROR(__xludf.DUMMYFUNCTION("IFERROR(MIN(FILTER({'PretestData (Submission)'!E:E}, 'PretestData (Submission)'!D:D=A24, 'PretestData (Submission)'!A:A=401, 'PretestData (Submission)'!E:E&gt;0)),0)"),"1478908383")</f>
        <v>1478908383</v>
      </c>
      <c r="H24" s="2">
        <f>IFERROR(__xludf.DUMMYFUNCTION("IFERROR(MIN(FILTER('PretestData (ViewVPL)'!D:D, 'PretestData (ViewVPL)'!C:C=A24, 'PretestData (ViewVPL)'!B:B=401,'PretestData (ViewVPL)'!D:D&gt;F24,'PretestData (ViewVPL)'!D:D&lt;G24)),0)"),"1478907021")</f>
        <v>1478907021</v>
      </c>
      <c r="I24" s="2">
        <f>IFERROR(__xludf.DUMMYFUNCTION("IFERROR(MAX(FILTER({'PretestData (Submission)'!E:E}, 'PretestData (Submission)'!D:D=A24, 'PretestData (Submission)'!A:A=401))-H24, 0)"),"1362")</f>
        <v>1362</v>
      </c>
      <c r="J24" s="2">
        <f>COUNTIFS('PretestData (Submission)'!D:D,"="&amp;A24,'PretestData (Submission)'!A:A,"=401",'PretestData (Submission)'!E:E,"&gt;0")</f>
        <v>1</v>
      </c>
      <c r="K24" s="2">
        <f>COUNTIFS('PretestData (Submission)'!D:D,"="&amp;A24,'PretestData (Submission)'!A:A,"=401",'PretestData (Submission)'!H:H,"&gt;0")</f>
        <v>1</v>
      </c>
      <c r="L24" s="2">
        <f>IFERROR(__xludf.DUMMYFUNCTION("IFERROR(MAX(FILTER('PretestData (Submission)'!I:I,'PretestData (Submission)'!D:D=A24,'PretestData (Submission)'!A:A=401,'PretestData (Submission)'!H:H&gt;0)),0)"),"0")</f>
        <v>0</v>
      </c>
      <c r="M24" s="8">
        <f>COUNTIFS('PretestData (ViewVPL)'!C:C,"="&amp;A24,'PretestData (ViewVPL)'!B:B,"=401")</f>
        <v>4</v>
      </c>
      <c r="N24" s="13">
        <f>IFERROR(__xludf.DUMMYFUNCTION("IFERROR(MAX(FILTER('PretestData (Loggedin)'!C:C,'PretestData (Loggedin)'!B:B=A24,'PretestData (Loggedin)'!C:C&lt;O24)),0)"),"1478906325")</f>
        <v>1478906325</v>
      </c>
      <c r="O24" s="13">
        <f>IFERROR(__xludf.DUMMYFUNCTION("IFERROR(MIN(FILTER({'PretestData (Submission)'!E:E}, 'PretestData (Submission)'!D:D=A24, 'PretestData (Submission)'!A:A=403, 'PretestData (Submission)'!E:E&gt;0)),0)"),"1478908835")</f>
        <v>1478908835</v>
      </c>
      <c r="P24" s="13">
        <f>IFERROR(__xludf.DUMMYFUNCTION("IFERROR(MIN(FILTER('PretestData (ViewVPL)'!D:D, 'PretestData (ViewVPL)'!C:C=A24, 'PretestData (ViewVPL)'!B:B=403,'PretestData (ViewVPL)'!D:D&gt;N24,'PretestData (ViewVPL)'!D:D&lt;O24)),0)"),"1478908454")</f>
        <v>1478908454</v>
      </c>
      <c r="Q24" s="13">
        <f>IFERROR(__xludf.DUMMYFUNCTION("IFERROR(MAX(FILTER({'PretestData (Submission)'!E:E}, 'PretestData (Submission)'!D:D=A24, 'PretestData (Submission)'!A:A=403))-P24,0)"),"381")</f>
        <v>381</v>
      </c>
      <c r="R24" s="13">
        <f>COUNTIFS('PretestData (Submission)'!D:D,"="&amp;A24,'PretestData (Submission)'!A:A,"=403",'PretestData (Submission)'!E:E,"&gt;0")</f>
        <v>1</v>
      </c>
      <c r="S24" s="13">
        <f>COUNTIFS('PretestData (Submission)'!D:D,"="&amp;A24,'PretestData (Submission)'!A:A,"=403",'PretestData (Submission)'!H:H,"&gt;0")</f>
        <v>1</v>
      </c>
      <c r="T24" s="13">
        <f>IFERROR(__xludf.DUMMYFUNCTION("IFERROR(MAX(FILTER('PretestData (Submission)'!I:I,'PretestData (Submission)'!D:D=A24,'PretestData (Submission)'!A:A=403,'PretestData (Submission)'!H:H&gt;0)),0)"),"0")</f>
        <v>0</v>
      </c>
      <c r="U24" s="8">
        <f>COUNTIFS('PretestData (ViewVPL)'!C:C,"="&amp;A24,'PretestData (ViewVPL)'!B:B,"=403")</f>
        <v>13</v>
      </c>
      <c r="V24" s="13">
        <f>IFERROR(__xludf.DUMMYFUNCTION("IFERROR(MAX(FILTER('PretestData (Loggedin)'!C:C,'PretestData (Loggedin)'!B:B=A24,'PretestData (Loggedin)'!C:C&lt;W24)),0)"),"1479247252")</f>
        <v>1479247252</v>
      </c>
      <c r="W24" s="13">
        <f>IFERROR(__xludf.DUMMYFUNCTION("IFERROR(MIN(FILTER({'PretestData (Submission)'!E:E}, 'PretestData (Submission)'!D:D=A24, 'PretestData (Submission)'!A:A=404, 'PretestData (Submission)'!E:E&gt;0)),0)"),"1479248034")</f>
        <v>1479248034</v>
      </c>
      <c r="X24" s="13">
        <f>IFERROR(__xludf.DUMMYFUNCTION("IFERROR(MIN(FILTER('PretestData (ViewVPL)'!D:D, 'PretestData (ViewVPL)'!C:C=A24, 'PretestData (ViewVPL)'!B:B=404,'PretestData (ViewVPL)'!D:D&gt;V24,'PretestData (ViewVPL)'!D:D&lt;W24)),0)"),"1479247263")</f>
        <v>1479247263</v>
      </c>
      <c r="Y24" s="13">
        <f>IFERROR(__xludf.DUMMYFUNCTION("IFERROR(MAX(FILTER({'PretestData (Submission)'!E:E}, 'PretestData (Submission)'!D:D=A24, 'PretestData (Submission)'!A:A=404))-X24,0)"),"771")</f>
        <v>771</v>
      </c>
      <c r="Z24" s="13">
        <f>COUNTIFS('PretestData (Submission)'!D:D,"="&amp;A24,'PretestData (Submission)'!A:A,"=404",'PretestData (Submission)'!E:E,"&gt;0")</f>
        <v>1</v>
      </c>
      <c r="AA24" s="13">
        <f>COUNTIFS('PretestData (Submission)'!D:D,"="&amp;A24,'PretestData (Submission)'!A:A,"=404",'PretestData (Submission)'!H:H,"&gt;0")</f>
        <v>1</v>
      </c>
      <c r="AB24" s="13">
        <f>IFERROR(__xludf.DUMMYFUNCTION("IFERROR(MAX(FILTER('PretestData (Submission)'!I:I,'PretestData (Submission)'!D:D=A24,'PretestData (Submission)'!A:A=404,'PretestData (Submission)'!H:H&gt;0)),0)"),"0")</f>
        <v>0</v>
      </c>
      <c r="AC24" s="13">
        <f>COUNTIFS('PretestData (ViewVPL)'!C:C,"="&amp;A24,'PretestData (ViewVPL)'!B:B,"=404")</f>
        <v>7</v>
      </c>
      <c r="AD24" s="13">
        <f>IFERROR(__xludf.DUMMYFUNCTION("IFERROR(MAX(FILTER('PretestData (Loggedin)'!C:C,'PretestData (Loggedin)'!B:B=A24,'PretestData (Loggedin)'!C:C&lt;AE24)),0)"),"1479247252")</f>
        <v>1479247252</v>
      </c>
      <c r="AE24" s="13">
        <f>IFERROR(__xludf.DUMMYFUNCTION("IFERROR(MIN(FILTER({'PretestData (Submission)'!E:E}, 'PretestData (Submission)'!D:D=A24, 'PretestData (Submission)'!A:A=405, 'PretestData (Submission)'!E:E&gt;0)),0)"),"1479247399")</f>
        <v>1479247399</v>
      </c>
      <c r="AF24" s="13">
        <f>IFERROR(__xludf.DUMMYFUNCTION("IFERROR(MIN(FILTER('PretestData (ViewVPL)'!D:D, 'PretestData (ViewVPL)'!C:C=A24, 'PretestData (ViewVPL)'!B:B=405,'PretestData (ViewVPL)'!D:D&gt;AD24,'PretestData (ViewVPL)'!D:D&lt;AE24)),0)"),"1479247380")</f>
        <v>1479247380</v>
      </c>
      <c r="AG24" s="8">
        <f>IFERROR(__xludf.DUMMYFUNCTION("IFERROR(MAX(FILTER({'PretestData (Submission)'!E:E}, 'PretestData (Submission)'!D:D=A24, 'PretestData (Submission)'!A:A=405))-AF24,0)"),"19")</f>
        <v>19</v>
      </c>
      <c r="AH24" s="8">
        <f>COUNTIFS('PretestData (Submission)'!D:D,"="&amp;A24,'PretestData (Submission)'!A:A,"=405",'PretestData (Submission)'!E:E,"&gt;0")</f>
        <v>1</v>
      </c>
      <c r="AI24" s="8">
        <f>COUNTIFS('PretestData (Submission)'!D:D,"="&amp;A24,'PretestData (Submission)'!A:A,"=405",'PretestData (Submission)'!H:H,"&gt;0")</f>
        <v>1</v>
      </c>
      <c r="AJ24" s="8">
        <f>IFERROR(__xludf.DUMMYFUNCTION("IFERROR(MAX(FILTER('PretestData (Submission)'!I:I,'PretestData (Submission)'!D:D=A24,'PretestData (Submission)'!A:A=405,'PretestData (Submission)'!H:H&gt;0)),0)"),"0")</f>
        <v>0</v>
      </c>
      <c r="AK24" s="8">
        <f>COUNTIFS('PretestData (ViewVPL)'!C:C,"="&amp;A24,'PretestData (ViewVPL)'!B:B,"=405")</f>
        <v>2</v>
      </c>
      <c r="AL24" s="8"/>
      <c r="AM24" s="11"/>
      <c r="AN24" s="11"/>
      <c r="AO24" s="8"/>
      <c r="AP24" s="8"/>
      <c r="AQ24" s="8"/>
      <c r="AR24" s="8"/>
      <c r="AS24" s="11"/>
      <c r="AT24" s="11"/>
      <c r="AU24" s="11"/>
    </row>
    <row r="25">
      <c r="A25" s="7">
        <v>10132.0</v>
      </c>
      <c r="B25" s="3" t="s">
        <v>104</v>
      </c>
      <c r="C25" s="3" t="s">
        <v>105</v>
      </c>
      <c r="D25" s="3" t="s">
        <v>63</v>
      </c>
      <c r="E25" s="3"/>
      <c r="F25" s="2">
        <f>IFERROR(__xludf.DUMMYFUNCTION("IFERROR(MAX(FILTER('PretestData (Loggedin)'!C:C,'PretestData (Loggedin)'!B:B=A25,'PretestData (Loggedin)'!C:C&lt;G25)),0)"),"1478905811")</f>
        <v>1478905811</v>
      </c>
      <c r="G25" s="2">
        <f>IFERROR(__xludf.DUMMYFUNCTION("IFERROR(MIN(FILTER({'PretestData (Submission)'!E:E}, 'PretestData (Submission)'!D:D=A25, 'PretestData (Submission)'!A:A=401, 'PretestData (Submission)'!E:E&gt;0)),0)"),"1478907704")</f>
        <v>1478907704</v>
      </c>
      <c r="H25" s="2">
        <f>IFERROR(__xludf.DUMMYFUNCTION("IFERROR(MIN(FILTER('PretestData (ViewVPL)'!D:D, 'PretestData (ViewVPL)'!C:C=A25, 'PretestData (ViewVPL)'!B:B=401,'PretestData (ViewVPL)'!D:D&gt;F25,'PretestData (ViewVPL)'!D:D&lt;G25)),0)"),"1478906241")</f>
        <v>1478906241</v>
      </c>
      <c r="I25" s="2">
        <f>IFERROR(__xludf.DUMMYFUNCTION("IFERROR(MAX(FILTER({'PretestData (Submission)'!E:E}, 'PretestData (Submission)'!D:D=A25, 'PretestData (Submission)'!A:A=401))-H25, 0)"),"1905")</f>
        <v>1905</v>
      </c>
      <c r="J25" s="2">
        <f>COUNTIFS('PretestData (Submission)'!D:D,"="&amp;A25,'PretestData (Submission)'!A:A,"=401",'PretestData (Submission)'!E:E,"&gt;0")</f>
        <v>3</v>
      </c>
      <c r="K25" s="2">
        <f>COUNTIFS('PretestData (Submission)'!D:D,"="&amp;A25,'PretestData (Submission)'!A:A,"=401",'PretestData (Submission)'!H:H,"&gt;0")</f>
        <v>3</v>
      </c>
      <c r="L25" s="2">
        <f>IFERROR(__xludf.DUMMYFUNCTION("IFERROR(MAX(FILTER('PretestData (Submission)'!I:I,'PretestData (Submission)'!D:D=A25,'PretestData (Submission)'!A:A=401,'PretestData (Submission)'!H:H&gt;0)),0)"),"0")</f>
        <v>0</v>
      </c>
      <c r="M25" s="8">
        <f>COUNTIFS('PretestData (ViewVPL)'!C:C,"="&amp;A25,'PretestData (ViewVPL)'!B:B,"=401")</f>
        <v>5</v>
      </c>
      <c r="N25" s="13">
        <f>IFERROR(__xludf.DUMMYFUNCTION("IFERROR(MAX(FILTER('PretestData (Loggedin)'!C:C,'PretestData (Loggedin)'!B:B=A25,'PretestData (Loggedin)'!C:C&lt;O25)),0)"),"1478905811")</f>
        <v>1478905811</v>
      </c>
      <c r="O25" s="13">
        <f>IFERROR(__xludf.DUMMYFUNCTION("IFERROR(MIN(FILTER({'PretestData (Submission)'!E:E}, 'PretestData (Submission)'!D:D=A25, 'PretestData (Submission)'!A:A=403, 'PretestData (Submission)'!E:E&gt;0)),0)"),"1478908770")</f>
        <v>1478908770</v>
      </c>
      <c r="P25" s="13">
        <f>IFERROR(__xludf.DUMMYFUNCTION("IFERROR(MIN(FILTER('PretestData (ViewVPL)'!D:D, 'PretestData (ViewVPL)'!C:C=A25, 'PretestData (ViewVPL)'!B:B=403,'PretestData (ViewVPL)'!D:D&gt;N25,'PretestData (ViewVPL)'!D:D&lt;O25)),0)"),"1478908255")</f>
        <v>1478908255</v>
      </c>
      <c r="Q25" s="13">
        <f>IFERROR(__xludf.DUMMYFUNCTION("IFERROR(MAX(FILTER({'PretestData (Submission)'!E:E}, 'PretestData (Submission)'!D:D=A25, 'PretestData (Submission)'!A:A=403))-P25,0)"),"515")</f>
        <v>515</v>
      </c>
      <c r="R25" s="13">
        <f>COUNTIFS('PretestData (Submission)'!D:D,"="&amp;A25,'PretestData (Submission)'!A:A,"=403",'PretestData (Submission)'!E:E,"&gt;0")</f>
        <v>1</v>
      </c>
      <c r="S25" s="13">
        <f>COUNTIFS('PretestData (Submission)'!D:D,"="&amp;A25,'PretestData (Submission)'!A:A,"=403",'PretestData (Submission)'!H:H,"&gt;0")</f>
        <v>1</v>
      </c>
      <c r="T25" s="13">
        <f>IFERROR(__xludf.DUMMYFUNCTION("IFERROR(MAX(FILTER('PretestData (Submission)'!I:I,'PretestData (Submission)'!D:D=A25,'PretestData (Submission)'!A:A=403,'PretestData (Submission)'!H:H&gt;0)),0)"),"0")</f>
        <v>0</v>
      </c>
      <c r="U25" s="8">
        <f>COUNTIFS('PretestData (ViewVPL)'!C:C,"="&amp;A25,'PretestData (ViewVPL)'!B:B,"=403")</f>
        <v>4</v>
      </c>
      <c r="V25" s="13">
        <f>IFERROR(__xludf.DUMMYFUNCTION("IFERROR(MAX(FILTER('PretestData (Loggedin)'!C:C,'PretestData (Loggedin)'!B:B=A25,'PretestData (Loggedin)'!C:C&lt;W25)),0)"),"1479248484")</f>
        <v>1479248484</v>
      </c>
      <c r="W25" s="13">
        <f>IFERROR(__xludf.DUMMYFUNCTION("IFERROR(MIN(FILTER({'PretestData (Submission)'!E:E}, 'PretestData (Submission)'!D:D=A25, 'PretestData (Submission)'!A:A=404, 'PretestData (Submission)'!E:E&gt;0)),0)"),"1479248688")</f>
        <v>1479248688</v>
      </c>
      <c r="X25" s="13">
        <f>IFERROR(__xludf.DUMMYFUNCTION("IFERROR(MIN(FILTER('PretestData (ViewVPL)'!D:D, 'PretestData (ViewVPL)'!C:C=A25, 'PretestData (ViewVPL)'!B:B=404,'PretestData (ViewVPL)'!D:D&gt;V25,'PretestData (ViewVPL)'!D:D&lt;W25)),0)"),"1479248553")</f>
        <v>1479248553</v>
      </c>
      <c r="Y25" s="13">
        <f>IFERROR(__xludf.DUMMYFUNCTION("IFERROR(MAX(FILTER({'PretestData (Submission)'!E:E}, 'PretestData (Submission)'!D:D=A25, 'PretestData (Submission)'!A:A=404))-X25,0)"),"135")</f>
        <v>135</v>
      </c>
      <c r="Z25" s="13">
        <f>COUNTIFS('PretestData (Submission)'!D:D,"="&amp;A25,'PretestData (Submission)'!A:A,"=404",'PretestData (Submission)'!E:E,"&gt;0")</f>
        <v>1</v>
      </c>
      <c r="AA25" s="13">
        <f>COUNTIFS('PretestData (Submission)'!D:D,"="&amp;A25,'PretestData (Submission)'!A:A,"=404",'PretestData (Submission)'!H:H,"&gt;0")</f>
        <v>1</v>
      </c>
      <c r="AB25" s="13">
        <f>IFERROR(__xludf.DUMMYFUNCTION("IFERROR(MAX(FILTER('PretestData (Submission)'!I:I,'PretestData (Submission)'!D:D=A25,'PretestData (Submission)'!A:A=404,'PretestData (Submission)'!H:H&gt;0)),0)"),"0")</f>
        <v>0</v>
      </c>
      <c r="AC25" s="13">
        <f>COUNTIFS('PretestData (ViewVPL)'!C:C,"="&amp;A25,'PretestData (ViewVPL)'!B:B,"=404")</f>
        <v>4</v>
      </c>
      <c r="AD25" s="13">
        <f>IFERROR(__xludf.DUMMYFUNCTION("IFERROR(MAX(FILTER('PretestData (Loggedin)'!C:C,'PretestData (Loggedin)'!B:B=A25,'PretestData (Loggedin)'!C:C&lt;AE25)),0)"),"0")</f>
        <v>0</v>
      </c>
      <c r="AE25" s="13">
        <f>IFERROR(__xludf.DUMMYFUNCTION("IFERROR(MIN(FILTER({'PretestData (Submission)'!E:E}, 'PretestData (Submission)'!D:D=A25, 'PretestData (Submission)'!A:A=405, 'PretestData (Submission)'!E:E&gt;0)),0)"),"0")</f>
        <v>0</v>
      </c>
      <c r="AF25" s="13">
        <f>IFERROR(__xludf.DUMMYFUNCTION("IFERROR(MIN(FILTER('PretestData (ViewVPL)'!D:D, 'PretestData (ViewVPL)'!C:C=A25, 'PretestData (ViewVPL)'!B:B=405,'PretestData (ViewVPL)'!D:D&gt;AD25,'PretestData (ViewVPL)'!D:D&lt;AE25)),0)"),"0")</f>
        <v>0</v>
      </c>
      <c r="AG25" s="8">
        <f>IFERROR(__xludf.DUMMYFUNCTION("IFERROR(MAX(FILTER({'PretestData (Submission)'!E:E}, 'PretestData (Submission)'!D:D=A25, 'PretestData (Submission)'!A:A=405))-AF25,0)"),"0")</f>
        <v>0</v>
      </c>
      <c r="AH25" s="8">
        <f>COUNTIFS('PretestData (Submission)'!D:D,"="&amp;A25,'PretestData (Submission)'!A:A,"=405",'PretestData (Submission)'!E:E,"&gt;0")</f>
        <v>0</v>
      </c>
      <c r="AI25" s="8">
        <f>COUNTIFS('PretestData (Submission)'!D:D,"="&amp;A25,'PretestData (Submission)'!A:A,"=405",'PretestData (Submission)'!H:H,"&gt;0")</f>
        <v>0</v>
      </c>
      <c r="AJ25" s="8">
        <f>IFERROR(__xludf.DUMMYFUNCTION("IFERROR(MAX(FILTER('PretestData (Submission)'!I:I,'PretestData (Submission)'!D:D=A25,'PretestData (Submission)'!A:A=405,'PretestData (Submission)'!H:H&gt;0)),0)"),"0")</f>
        <v>0</v>
      </c>
      <c r="AK25" s="8">
        <f>COUNTIFS('PretestData (ViewVPL)'!C:C,"="&amp;A25,'PretestData (ViewVPL)'!B:B,"=405")</f>
        <v>1</v>
      </c>
      <c r="AL25" s="8"/>
      <c r="AM25" s="11"/>
      <c r="AN25" s="11"/>
      <c r="AO25" s="8"/>
      <c r="AP25" s="8"/>
      <c r="AQ25" s="8"/>
      <c r="AR25" s="8"/>
      <c r="AS25" s="11"/>
      <c r="AT25" s="11"/>
      <c r="AU25" s="11"/>
    </row>
    <row r="26">
      <c r="A26" s="7">
        <v>10153.0</v>
      </c>
      <c r="B26" s="3" t="s">
        <v>104</v>
      </c>
      <c r="C26" s="3" t="s">
        <v>105</v>
      </c>
      <c r="D26" s="3" t="s">
        <v>63</v>
      </c>
      <c r="E26" s="3"/>
      <c r="F26" s="2">
        <f>IFERROR(__xludf.DUMMYFUNCTION("IFERROR(MAX(FILTER('PretestData (Loggedin)'!C:C,'PretestData (Loggedin)'!B:B=A26,'PretestData (Loggedin)'!C:C&lt;G26)),0)"),"1478907821")</f>
        <v>1478907821</v>
      </c>
      <c r="G26" s="2">
        <f>IFERROR(__xludf.DUMMYFUNCTION("IFERROR(MIN(FILTER({'PretestData (Submission)'!E:E}, 'PretestData (Submission)'!D:D=A26, 'PretestData (Submission)'!A:A=401, 'PretestData (Submission)'!E:E&gt;0)),0)"),"1478909173")</f>
        <v>1478909173</v>
      </c>
      <c r="H26" s="2">
        <f>IFERROR(__xludf.DUMMYFUNCTION("IFERROR(MIN(FILTER('PretestData (ViewVPL)'!D:D, 'PretestData (ViewVPL)'!C:C=A26, 'PretestData (ViewVPL)'!B:B=401,'PretestData (ViewVPL)'!D:D&gt;F26,'PretestData (ViewVPL)'!D:D&lt;G26)),0)"),"1478908102")</f>
        <v>1478908102</v>
      </c>
      <c r="I26" s="2">
        <f>IFERROR(__xludf.DUMMYFUNCTION("IFERROR(MAX(FILTER({'PretestData (Submission)'!E:E}, 'PretestData (Submission)'!D:D=A26, 'PretestData (Submission)'!A:A=401))-H26, 0)"),"1645")</f>
        <v>1645</v>
      </c>
      <c r="J26" s="2">
        <f>COUNTIFS('PretestData (Submission)'!D:D,"="&amp;A26,'PretestData (Submission)'!A:A,"=401",'PretestData (Submission)'!E:E,"&gt;0")</f>
        <v>6</v>
      </c>
      <c r="K26" s="2">
        <f>COUNTIFS('PretestData (Submission)'!D:D,"="&amp;A26,'PretestData (Submission)'!A:A,"=401",'PretestData (Submission)'!H:H,"&gt;0")</f>
        <v>4</v>
      </c>
      <c r="L26" s="2">
        <f>IFERROR(__xludf.DUMMYFUNCTION("IFERROR(MAX(FILTER('PretestData (Submission)'!I:I,'PretestData (Submission)'!D:D=A26,'PretestData (Submission)'!A:A=401,'PretestData (Submission)'!H:H&gt;0)),0)"),"10")</f>
        <v>10</v>
      </c>
      <c r="M26" s="8">
        <f>COUNTIFS('PretestData (ViewVPL)'!C:C,"="&amp;A26,'PretestData (ViewVPL)'!B:B,"=401")</f>
        <v>2</v>
      </c>
      <c r="N26" s="13">
        <f>IFERROR(__xludf.DUMMYFUNCTION("IFERROR(MAX(FILTER('PretestData (Loggedin)'!C:C,'PretestData (Loggedin)'!B:B=A26,'PretestData (Loggedin)'!C:C&lt;O26)),0)"),"1478907821")</f>
        <v>1478907821</v>
      </c>
      <c r="O26" s="13">
        <f>IFERROR(__xludf.DUMMYFUNCTION("IFERROR(MIN(FILTER({'PretestData (Submission)'!E:E}, 'PretestData (Submission)'!D:D=A26, 'PretestData (Submission)'!A:A=403, 'PretestData (Submission)'!E:E&gt;0)),0)"),"1478910034")</f>
        <v>1478910034</v>
      </c>
      <c r="P26" s="13">
        <f>IFERROR(__xludf.DUMMYFUNCTION("IFERROR(MIN(FILTER('PretestData (ViewVPL)'!D:D, 'PretestData (ViewVPL)'!C:C=A26, 'PretestData (ViewVPL)'!B:B=403,'PretestData (ViewVPL)'!D:D&gt;N26,'PretestData (ViewVPL)'!D:D&lt;O26)),0)"),"1478909781")</f>
        <v>1478909781</v>
      </c>
      <c r="Q26" s="13">
        <f>IFERROR(__xludf.DUMMYFUNCTION("IFERROR(MAX(FILTER({'PretestData (Submission)'!E:E}, 'PretestData (Submission)'!D:D=A26, 'PretestData (Submission)'!A:A=403))-P26,0)"),"253")</f>
        <v>253</v>
      </c>
      <c r="R26" s="13">
        <f>COUNTIFS('PretestData (Submission)'!D:D,"="&amp;A26,'PretestData (Submission)'!A:A,"=403",'PretestData (Submission)'!E:E,"&gt;0")</f>
        <v>1</v>
      </c>
      <c r="S26" s="13">
        <f>COUNTIFS('PretestData (Submission)'!D:D,"="&amp;A26,'PretestData (Submission)'!A:A,"=403",'PretestData (Submission)'!H:H,"&gt;0")</f>
        <v>1</v>
      </c>
      <c r="T26" s="13">
        <f>IFERROR(__xludf.DUMMYFUNCTION("IFERROR(MAX(FILTER('PretestData (Submission)'!I:I,'PretestData (Submission)'!D:D=A26,'PretestData (Submission)'!A:A=403,'PretestData (Submission)'!H:H&gt;0)),0)"),"0")</f>
        <v>0</v>
      </c>
      <c r="U26" s="8">
        <f>COUNTIFS('PretestData (ViewVPL)'!C:C,"="&amp;A26,'PretestData (ViewVPL)'!B:B,"=403")</f>
        <v>2</v>
      </c>
      <c r="V26" s="13">
        <f>IFERROR(__xludf.DUMMYFUNCTION("IFERROR(MAX(FILTER('PretestData (Loggedin)'!C:C,'PretestData (Loggedin)'!B:B=A26,'PretestData (Loggedin)'!C:C&lt;W26)),0)"),"0")</f>
        <v>0</v>
      </c>
      <c r="W26" s="13">
        <f>IFERROR(__xludf.DUMMYFUNCTION("IFERROR(MIN(FILTER({'PretestData (Submission)'!E:E}, 'PretestData (Submission)'!D:D=A26, 'PretestData (Submission)'!A:A=404, 'PretestData (Submission)'!E:E&gt;0)),0)"),"0")</f>
        <v>0</v>
      </c>
      <c r="X26" s="13">
        <f>IFERROR(__xludf.DUMMYFUNCTION("IFERROR(MIN(FILTER('PretestData (ViewVPL)'!D:D, 'PretestData (ViewVPL)'!C:C=A26, 'PretestData (ViewVPL)'!B:B=404,'PretestData (ViewVPL)'!D:D&gt;V26,'PretestData (ViewVPL)'!D:D&lt;W26)),0)"),"0")</f>
        <v>0</v>
      </c>
      <c r="Y26" s="13">
        <f>IFERROR(__xludf.DUMMYFUNCTION("IFERROR(MAX(FILTER({'PretestData (Submission)'!E:E}, 'PretestData (Submission)'!D:D=A26, 'PretestData (Submission)'!A:A=404))-X26,0)"),"0")</f>
        <v>0</v>
      </c>
      <c r="Z26" s="13">
        <f>COUNTIFS('PretestData (Submission)'!D:D,"="&amp;A26,'PretestData (Submission)'!A:A,"=404",'PretestData (Submission)'!E:E,"&gt;0")</f>
        <v>0</v>
      </c>
      <c r="AA26" s="13">
        <f>COUNTIFS('PretestData (Submission)'!D:D,"="&amp;A26,'PretestData (Submission)'!A:A,"=404",'PretestData (Submission)'!H:H,"&gt;0")</f>
        <v>0</v>
      </c>
      <c r="AB26" s="13">
        <f>IFERROR(__xludf.DUMMYFUNCTION("IFERROR(MAX(FILTER('PretestData (Submission)'!I:I,'PretestData (Submission)'!D:D=A26,'PretestData (Submission)'!A:A=404,'PretestData (Submission)'!H:H&gt;0)),0)"),"0")</f>
        <v>0</v>
      </c>
      <c r="AC26" s="13">
        <f>COUNTIFS('PretestData (ViewVPL)'!C:C,"="&amp;A26,'PretestData (ViewVPL)'!B:B,"=404")</f>
        <v>2</v>
      </c>
      <c r="AD26" s="13">
        <f>IFERROR(__xludf.DUMMYFUNCTION("IFERROR(MAX(FILTER('PretestData (Loggedin)'!C:C,'PretestData (Loggedin)'!B:B=A26,'PretestData (Loggedin)'!C:C&lt;AE26)),0)"),"0")</f>
        <v>0</v>
      </c>
      <c r="AE26" s="13">
        <f>IFERROR(__xludf.DUMMYFUNCTION("IFERROR(MIN(FILTER({'PretestData (Submission)'!E:E}, 'PretestData (Submission)'!D:D=A26, 'PretestData (Submission)'!A:A=405, 'PretestData (Submission)'!E:E&gt;0)),0)"),"0")</f>
        <v>0</v>
      </c>
      <c r="AF26" s="13">
        <f>IFERROR(__xludf.DUMMYFUNCTION("IFERROR(MIN(FILTER('PretestData (ViewVPL)'!D:D, 'PretestData (ViewVPL)'!C:C=A26, 'PretestData (ViewVPL)'!B:B=405,'PretestData (ViewVPL)'!D:D&gt;AD26,'PretestData (ViewVPL)'!D:D&lt;AE26)),0)"),"0")</f>
        <v>0</v>
      </c>
      <c r="AG26" s="8">
        <f>IFERROR(__xludf.DUMMYFUNCTION("IFERROR(MAX(FILTER({'PretestData (Submission)'!E:E}, 'PretestData (Submission)'!D:D=A26, 'PretestData (Submission)'!A:A=405))-AF26,0)"),"0")</f>
        <v>0</v>
      </c>
      <c r="AH26" s="8">
        <f>COUNTIFS('PretestData (Submission)'!D:D,"="&amp;A26,'PretestData (Submission)'!A:A,"=405",'PretestData (Submission)'!E:E,"&gt;0")</f>
        <v>0</v>
      </c>
      <c r="AI26" s="8">
        <f>COUNTIFS('PretestData (Submission)'!D:D,"="&amp;A26,'PretestData (Submission)'!A:A,"=405",'PretestData (Submission)'!H:H,"&gt;0")</f>
        <v>0</v>
      </c>
      <c r="AJ26" s="8">
        <f>IFERROR(__xludf.DUMMYFUNCTION("IFERROR(MAX(FILTER('PretestData (Submission)'!I:I,'PretestData (Submission)'!D:D=A26,'PretestData (Submission)'!A:A=405,'PretestData (Submission)'!H:H&gt;0)),0)"),"0")</f>
        <v>0</v>
      </c>
      <c r="AK26" s="8">
        <f>COUNTIFS('PretestData (ViewVPL)'!C:C,"="&amp;A26,'PretestData (ViewVPL)'!B:B,"=405")</f>
        <v>0</v>
      </c>
      <c r="AL26" s="8"/>
      <c r="AM26" s="11"/>
      <c r="AN26" s="11"/>
      <c r="AO26" s="8"/>
      <c r="AP26" s="8"/>
      <c r="AQ26" s="8"/>
      <c r="AR26" s="8"/>
      <c r="AS26" s="11"/>
      <c r="AT26" s="11"/>
      <c r="AU26" s="11"/>
    </row>
    <row r="27">
      <c r="A27" s="7">
        <v>10144.0</v>
      </c>
      <c r="B27" s="3" t="s">
        <v>104</v>
      </c>
      <c r="C27" s="3" t="s">
        <v>105</v>
      </c>
      <c r="D27" s="3" t="s">
        <v>47</v>
      </c>
      <c r="E27" s="3"/>
      <c r="F27" s="2">
        <f>IFERROR(__xludf.DUMMYFUNCTION("IFERROR(MAX(FILTER('PretestData (Loggedin)'!C:C,'PretestData (Loggedin)'!B:B=A27,'PretestData (Loggedin)'!C:C&lt;G27)),0)"),"1478906351")</f>
        <v>1478906351</v>
      </c>
      <c r="G27" s="2">
        <f>IFERROR(__xludf.DUMMYFUNCTION("IFERROR(MIN(FILTER({'PretestData (Submission)'!E:E}, 'PretestData (Submission)'!D:D=A27, 'PretestData (Submission)'!A:A=401, 'PretestData (Submission)'!E:E&gt;0)),0)"),"1478908811")</f>
        <v>1478908811</v>
      </c>
      <c r="H27" s="2">
        <f>IFERROR(__xludf.DUMMYFUNCTION("IFERROR(MIN(FILTER('PretestData (ViewVPL)'!D:D, 'PretestData (ViewVPL)'!C:C=A27, 'PretestData (ViewVPL)'!B:B=401,'PretestData (ViewVPL)'!D:D&gt;F27,'PretestData (ViewVPL)'!D:D&lt;G27)),0)"),"1478906842")</f>
        <v>1478906842</v>
      </c>
      <c r="I27" s="2">
        <f>IFERROR(__xludf.DUMMYFUNCTION("IFERROR(MAX(FILTER({'PretestData (Submission)'!E:E}, 'PretestData (Submission)'!D:D=A27, 'PretestData (Submission)'!A:A=401))-H27, 0)"),"1995")</f>
        <v>1995</v>
      </c>
      <c r="J27" s="2">
        <f>COUNTIFS('PretestData (Submission)'!D:D,"="&amp;A27,'PretestData (Submission)'!A:A,"=401",'PretestData (Submission)'!E:E,"&gt;0")</f>
        <v>2</v>
      </c>
      <c r="K27" s="2">
        <f>COUNTIFS('PretestData (Submission)'!D:D,"="&amp;A27,'PretestData (Submission)'!A:A,"=401",'PretestData (Submission)'!H:H,"&gt;0")</f>
        <v>1</v>
      </c>
      <c r="L27" s="2">
        <f>IFERROR(__xludf.DUMMYFUNCTION("IFERROR(MAX(FILTER('PretestData (Submission)'!I:I,'PretestData (Submission)'!D:D=A27,'PretestData (Submission)'!A:A=401,'PretestData (Submission)'!H:H&gt;0)),0)"),"10")</f>
        <v>10</v>
      </c>
      <c r="M27" s="8">
        <f>COUNTIFS('PretestData (ViewVPL)'!C:C,"="&amp;A27,'PretestData (ViewVPL)'!B:B,"=401")</f>
        <v>1</v>
      </c>
      <c r="N27" s="13">
        <f>IFERROR(__xludf.DUMMYFUNCTION("IFERROR(MAX(FILTER('PretestData (Loggedin)'!C:C,'PretestData (Loggedin)'!B:B=A27,'PretestData (Loggedin)'!C:C&lt;O27)),0)"),"1478906351")</f>
        <v>1478906351</v>
      </c>
      <c r="O27" s="13">
        <f>IFERROR(__xludf.DUMMYFUNCTION("IFERROR(MIN(FILTER({'PretestData (Submission)'!E:E}, 'PretestData (Submission)'!D:D=A27, 'PretestData (Submission)'!A:A=403, 'PretestData (Submission)'!E:E&gt;0)),0)"),"1478909526")</f>
        <v>1478909526</v>
      </c>
      <c r="P27" s="13">
        <f>IFERROR(__xludf.DUMMYFUNCTION("IFERROR(MIN(FILTER('PretestData (ViewVPL)'!D:D, 'PretestData (ViewVPL)'!C:C=A27, 'PretestData (ViewVPL)'!B:B=403,'PretestData (ViewVPL)'!D:D&gt;N27,'PretestData (ViewVPL)'!D:D&lt;O27)),0)"),"1478908912")</f>
        <v>1478908912</v>
      </c>
      <c r="Q27" s="13">
        <f>IFERROR(__xludf.DUMMYFUNCTION("IFERROR(MAX(FILTER({'PretestData (Submission)'!E:E}, 'PretestData (Submission)'!D:D=A27, 'PretestData (Submission)'!A:A=403))-P27,0)"),"1230")</f>
        <v>1230</v>
      </c>
      <c r="R27" s="13">
        <f>COUNTIFS('PretestData (Submission)'!D:D,"="&amp;A27,'PretestData (Submission)'!A:A,"=403",'PretestData (Submission)'!E:E,"&gt;0")</f>
        <v>3</v>
      </c>
      <c r="S27" s="13">
        <f>COUNTIFS('PretestData (Submission)'!D:D,"="&amp;A27,'PretestData (Submission)'!A:A,"=403",'PretestData (Submission)'!H:H,"&gt;0")</f>
        <v>3</v>
      </c>
      <c r="T27" s="13">
        <f>IFERROR(__xludf.DUMMYFUNCTION("IFERROR(MAX(FILTER('PretestData (Submission)'!I:I,'PretestData (Submission)'!D:D=A27,'PretestData (Submission)'!A:A=403,'PretestData (Submission)'!H:H&gt;0)),0)"),"10")</f>
        <v>10</v>
      </c>
      <c r="U27" s="8">
        <f>COUNTIFS('PretestData (ViewVPL)'!C:C,"="&amp;A27,'PretestData (ViewVPL)'!B:B,"=403")</f>
        <v>5</v>
      </c>
      <c r="V27" s="13">
        <f>IFERROR(__xludf.DUMMYFUNCTION("IFERROR(MAX(FILTER('PretestData (Loggedin)'!C:C,'PretestData (Loggedin)'!B:B=A27,'PretestData (Loggedin)'!C:C&lt;W27)),0)"),"1478910106")</f>
        <v>1478910106</v>
      </c>
      <c r="W27" s="13">
        <f>IFERROR(__xludf.DUMMYFUNCTION("IFERROR(MIN(FILTER({'PretestData (Submission)'!E:E}, 'PretestData (Submission)'!D:D=A27, 'PretestData (Submission)'!A:A=404, 'PretestData (Submission)'!E:E&gt;0)),0)"),"1478911475")</f>
        <v>1478911475</v>
      </c>
      <c r="X27" s="13">
        <f>IFERROR(__xludf.DUMMYFUNCTION("IFERROR(MIN(FILTER('PretestData (ViewVPL)'!D:D, 'PretestData (ViewVPL)'!C:C=A27, 'PretestData (ViewVPL)'!B:B=404,'PretestData (ViewVPL)'!D:D&gt;V27,'PretestData (ViewVPL)'!D:D&lt;W27)),0)"),"1478910160")</f>
        <v>1478910160</v>
      </c>
      <c r="Y27" s="13">
        <f>IFERROR(__xludf.DUMMYFUNCTION("IFERROR(MAX(FILTER({'PretestData (Submission)'!E:E}, 'PretestData (Submission)'!D:D=A27, 'PretestData (Submission)'!A:A=404))-X27,0)"),"58107")</f>
        <v>58107</v>
      </c>
      <c r="Z27" s="13">
        <f>COUNTIFS('PretestData (Submission)'!D:D,"="&amp;A27,'PretestData (Submission)'!A:A,"=404",'PretestData (Submission)'!E:E,"&gt;0")</f>
        <v>8</v>
      </c>
      <c r="AA27" s="13">
        <f>COUNTIFS('PretestData (Submission)'!D:D,"="&amp;A27,'PretestData (Submission)'!A:A,"=404",'PretestData (Submission)'!H:H,"&gt;0")</f>
        <v>6</v>
      </c>
      <c r="AB27" s="13">
        <f>IFERROR(__xludf.DUMMYFUNCTION("IFERROR(MAX(FILTER('PretestData (Submission)'!I:I,'PretestData (Submission)'!D:D=A27,'PretestData (Submission)'!A:A=404,'PretestData (Submission)'!H:H&gt;0)),0)"),"10")</f>
        <v>10</v>
      </c>
      <c r="AC27" s="13">
        <f>COUNTIFS('PretestData (ViewVPL)'!C:C,"="&amp;A27,'PretestData (ViewVPL)'!B:B,"=404")</f>
        <v>3</v>
      </c>
      <c r="AD27" s="13">
        <f>IFERROR(__xludf.DUMMYFUNCTION("IFERROR(MAX(FILTER('PretestData (Loggedin)'!C:C,'PretestData (Loggedin)'!B:B=A27,'PretestData (Loggedin)'!C:C&lt;AE27)),0)"),"1478964519")</f>
        <v>1478964519</v>
      </c>
      <c r="AE27" s="13">
        <f>IFERROR(__xludf.DUMMYFUNCTION("IFERROR(MIN(FILTER({'PretestData (Submission)'!E:E}, 'PretestData (Submission)'!D:D=A27, 'PretestData (Submission)'!A:A=405, 'PretestData (Submission)'!E:E&gt;0)),0)"),"1478970234")</f>
        <v>1478970234</v>
      </c>
      <c r="AF27" s="13">
        <f>IFERROR(__xludf.DUMMYFUNCTION("IFERROR(MIN(FILTER('PretestData (ViewVPL)'!D:D, 'PretestData (ViewVPL)'!C:C=A27, 'PretestData (ViewVPL)'!B:B=405,'PretestData (ViewVPL)'!D:D&gt;AD27,'PretestData (ViewVPL)'!D:D&lt;AE27)),0)"),"1478968353")</f>
        <v>1478968353</v>
      </c>
      <c r="AG27" s="8">
        <f>IFERROR(__xludf.DUMMYFUNCTION("IFERROR(MAX(FILTER({'PretestData (Submission)'!E:E}, 'PretestData (Submission)'!D:D=A27, 'PretestData (Submission)'!A:A=405))-AF27,0)"),"3829")</f>
        <v>3829</v>
      </c>
      <c r="AH27" s="8">
        <f>COUNTIFS('PretestData (Submission)'!D:D,"="&amp;A27,'PretestData (Submission)'!A:A,"=405",'PretestData (Submission)'!E:E,"&gt;0")</f>
        <v>4</v>
      </c>
      <c r="AI27" s="8">
        <f>COUNTIFS('PretestData (Submission)'!D:D,"="&amp;A27,'PretestData (Submission)'!A:A,"=405",'PretestData (Submission)'!H:H,"&gt;0")</f>
        <v>2</v>
      </c>
      <c r="AJ27" s="8">
        <f>IFERROR(__xludf.DUMMYFUNCTION("IFERROR(MAX(FILTER('PretestData (Submission)'!I:I,'PretestData (Submission)'!D:D=A27,'PretestData (Submission)'!A:A=405,'PretestData (Submission)'!H:H&gt;0)),0)"),"10")</f>
        <v>10</v>
      </c>
      <c r="AK27" s="8">
        <f>COUNTIFS('PretestData (ViewVPL)'!C:C,"="&amp;A27,'PretestData (ViewVPL)'!B:B,"=405")</f>
        <v>3</v>
      </c>
      <c r="AL27" s="8"/>
      <c r="AM27" s="11"/>
      <c r="AN27" s="11"/>
      <c r="AO27" s="8"/>
      <c r="AP27" s="8"/>
      <c r="AQ27" s="8"/>
      <c r="AR27" s="8"/>
      <c r="AS27" s="11"/>
      <c r="AT27" s="11"/>
      <c r="AU27" s="11"/>
    </row>
    <row r="28">
      <c r="A28" s="7">
        <v>10122.0</v>
      </c>
      <c r="B28" s="3" t="s">
        <v>104</v>
      </c>
      <c r="C28" s="3" t="s">
        <v>106</v>
      </c>
      <c r="D28" s="3" t="s">
        <v>63</v>
      </c>
      <c r="E28" s="3"/>
      <c r="F28" s="2">
        <f>IFERROR(__xludf.DUMMYFUNCTION("IFERROR(MAX(FILTER('PretestData (Loggedin)'!C:C,'PretestData (Loggedin)'!B:B=A28,'PretestData (Loggedin)'!C:C&lt;G28)),0)"),"1478905675")</f>
        <v>1478905675</v>
      </c>
      <c r="G28" s="2">
        <f>IFERROR(__xludf.DUMMYFUNCTION("IFERROR(MIN(FILTER({'PretestData (Submission)'!E:E}, 'PretestData (Submission)'!D:D=A28, 'PretestData (Submission)'!A:A=401, 'PretestData (Submission)'!E:E&gt;0)),0)"),"1478908050")</f>
        <v>1478908050</v>
      </c>
      <c r="H28" s="2">
        <f>IFERROR(__xludf.DUMMYFUNCTION("IFERROR(MIN(FILTER('PretestData (ViewVPL)'!D:D, 'PretestData (ViewVPL)'!C:C=A28, 'PretestData (ViewVPL)'!B:B=401,'PretestData (ViewVPL)'!D:D&gt;F28,'PretestData (ViewVPL)'!D:D&lt;G28)),0)"),"1478906616")</f>
        <v>1478906616</v>
      </c>
      <c r="I28" s="2">
        <f>IFERROR(__xludf.DUMMYFUNCTION("IFERROR(MAX(FILTER({'PretestData (Submission)'!E:E}, 'PretestData (Submission)'!D:D=A28, 'PretestData (Submission)'!A:A=401))-H28, 0)"),"2616")</f>
        <v>2616</v>
      </c>
      <c r="J28" s="2">
        <f>COUNTIFS('PretestData (Submission)'!D:D,"="&amp;A28,'PretestData (Submission)'!A:A,"=401",'PretestData (Submission)'!E:E,"&gt;0")</f>
        <v>5</v>
      </c>
      <c r="K28" s="2">
        <f>COUNTIFS('PretestData (Submission)'!D:D,"="&amp;A28,'PretestData (Submission)'!A:A,"=401",'PretestData (Submission)'!H:H,"&gt;0")</f>
        <v>4</v>
      </c>
      <c r="L28" s="2">
        <f>IFERROR(__xludf.DUMMYFUNCTION("IFERROR(MAX(FILTER('PretestData (Submission)'!I:I,'PretestData (Submission)'!D:D=A28,'PretestData (Submission)'!A:A=401,'PretestData (Submission)'!H:H&gt;0)),0)"),"10")</f>
        <v>10</v>
      </c>
      <c r="M28" s="8">
        <f>COUNTIFS('PretestData (ViewVPL)'!C:C,"="&amp;A28,'PretestData (ViewVPL)'!B:B,"=401")</f>
        <v>1</v>
      </c>
      <c r="N28" s="13">
        <f>IFERROR(__xludf.DUMMYFUNCTION("IFERROR(MAX(FILTER('PretestData (Loggedin)'!C:C,'PretestData (Loggedin)'!B:B=A28,'PretestData (Loggedin)'!C:C&lt;O28)),0)"),"1478905675")</f>
        <v>1478905675</v>
      </c>
      <c r="O28" s="13">
        <f>IFERROR(__xludf.DUMMYFUNCTION("IFERROR(MIN(FILTER({'PretestData (Submission)'!E:E}, 'PretestData (Submission)'!D:D=A28, 'PretestData (Submission)'!A:A=403, 'PretestData (Submission)'!E:E&gt;0)),0)"),"1478909563")</f>
        <v>1478909563</v>
      </c>
      <c r="P28" s="13">
        <f>IFERROR(__xludf.DUMMYFUNCTION("IFERROR(MIN(FILTER('PretestData (ViewVPL)'!D:D, 'PretestData (ViewVPL)'!C:C=A28, 'PretestData (ViewVPL)'!B:B=403,'PretestData (ViewVPL)'!D:D&gt;N28,'PretestData (ViewVPL)'!D:D&lt;O28)),0)"),"1478909253")</f>
        <v>1478909253</v>
      </c>
      <c r="Q28" s="13">
        <f>IFERROR(__xludf.DUMMYFUNCTION("IFERROR(MAX(FILTER({'PretestData (Submission)'!E:E}, 'PretestData (Submission)'!D:D=A28, 'PretestData (Submission)'!A:A=403))-P28,0)"),"455")</f>
        <v>455</v>
      </c>
      <c r="R28" s="13">
        <f>COUNTIFS('PretestData (Submission)'!D:D,"="&amp;A28,'PretestData (Submission)'!A:A,"=403",'PretestData (Submission)'!E:E,"&gt;0")</f>
        <v>4</v>
      </c>
      <c r="S28" s="13">
        <f>COUNTIFS('PretestData (Submission)'!D:D,"="&amp;A28,'PretestData (Submission)'!A:A,"=403",'PretestData (Submission)'!H:H,"&gt;0")</f>
        <v>2</v>
      </c>
      <c r="T28" s="13">
        <f>IFERROR(__xludf.DUMMYFUNCTION("IFERROR(MAX(FILTER('PretestData (Submission)'!I:I,'PretestData (Submission)'!D:D=A28,'PretestData (Submission)'!A:A=403,'PretestData (Submission)'!H:H&gt;0)),0)"),"10")</f>
        <v>10</v>
      </c>
      <c r="U28" s="8">
        <f>COUNTIFS('PretestData (ViewVPL)'!C:C,"="&amp;A28,'PretestData (ViewVPL)'!B:B,"=403")</f>
        <v>1</v>
      </c>
      <c r="V28" s="13">
        <f>IFERROR(__xludf.DUMMYFUNCTION("IFERROR(MAX(FILTER('PretestData (Loggedin)'!C:C,'PretestData (Loggedin)'!B:B=A28,'PretestData (Loggedin)'!C:C&lt;W28)),0)"),"1478905675")</f>
        <v>1478905675</v>
      </c>
      <c r="W28" s="13">
        <f>IFERROR(__xludf.DUMMYFUNCTION("IFERROR(MIN(FILTER({'PretestData (Submission)'!E:E}, 'PretestData (Submission)'!D:D=A28, 'PretestData (Submission)'!A:A=404, 'PretestData (Submission)'!E:E&gt;0)),0)"),"1478910698")</f>
        <v>1478910698</v>
      </c>
      <c r="X28" s="13">
        <f>IFERROR(__xludf.DUMMYFUNCTION("IFERROR(MIN(FILTER('PretestData (ViewVPL)'!D:D, 'PretestData (ViewVPL)'!C:C=A28, 'PretestData (ViewVPL)'!B:B=404,'PretestData (ViewVPL)'!D:D&gt;V28,'PretestData (ViewVPL)'!D:D&lt;W28)),0)"),"1478909721")</f>
        <v>1478909721</v>
      </c>
      <c r="Y28" s="13">
        <f>IFERROR(__xludf.DUMMYFUNCTION("IFERROR(MAX(FILTER({'PretestData (Submission)'!E:E}, 'PretestData (Submission)'!D:D=A28, 'PretestData (Submission)'!A:A=404))-X28,0)"),"977")</f>
        <v>977</v>
      </c>
      <c r="Z28" s="13">
        <f>COUNTIFS('PretestData (Submission)'!D:D,"="&amp;A28,'PretestData (Submission)'!A:A,"=404",'PretestData (Submission)'!E:E,"&gt;0")</f>
        <v>1</v>
      </c>
      <c r="AA28" s="13">
        <f>COUNTIFS('PretestData (Submission)'!D:D,"="&amp;A28,'PretestData (Submission)'!A:A,"=404",'PretestData (Submission)'!H:H,"&gt;0")</f>
        <v>0</v>
      </c>
      <c r="AB28" s="13">
        <f>IFERROR(__xludf.DUMMYFUNCTION("IFERROR(MAX(FILTER('PretestData (Submission)'!I:I,'PretestData (Submission)'!D:D=A28,'PretestData (Submission)'!A:A=404,'PretestData (Submission)'!H:H&gt;0)),0)"),"0")</f>
        <v>0</v>
      </c>
      <c r="AC28" s="13">
        <f>COUNTIFS('PretestData (ViewVPL)'!C:C,"="&amp;A28,'PretestData (ViewVPL)'!B:B,"=404")</f>
        <v>2</v>
      </c>
      <c r="AD28" s="13">
        <f>IFERROR(__xludf.DUMMYFUNCTION("IFERROR(MAX(FILTER('PretestData (Loggedin)'!C:C,'PretestData (Loggedin)'!B:B=A28,'PretestData (Loggedin)'!C:C&lt;AE28)),0)"),"0")</f>
        <v>0</v>
      </c>
      <c r="AE28" s="13">
        <f>IFERROR(__xludf.DUMMYFUNCTION("IFERROR(MIN(FILTER({'PretestData (Submission)'!E:E}, 'PretestData (Submission)'!D:D=A28, 'PretestData (Submission)'!A:A=405, 'PretestData (Submission)'!E:E&gt;0)),0)"),"0")</f>
        <v>0</v>
      </c>
      <c r="AF28" s="13">
        <f>IFERROR(__xludf.DUMMYFUNCTION("IFERROR(MIN(FILTER('PretestData (ViewVPL)'!D:D, 'PretestData (ViewVPL)'!C:C=A28, 'PretestData (ViewVPL)'!B:B=405,'PretestData (ViewVPL)'!D:D&gt;AD28,'PretestData (ViewVPL)'!D:D&lt;AE28)),0)"),"0")</f>
        <v>0</v>
      </c>
      <c r="AG28" s="8">
        <f>IFERROR(__xludf.DUMMYFUNCTION("IFERROR(MAX(FILTER({'PretestData (Submission)'!E:E}, 'PretestData (Submission)'!D:D=A28, 'PretestData (Submission)'!A:A=405))-AF28,0)"),"0")</f>
        <v>0</v>
      </c>
      <c r="AH28" s="8">
        <f>COUNTIFS('PretestData (Submission)'!D:D,"="&amp;A28,'PretestData (Submission)'!A:A,"=405",'PretestData (Submission)'!E:E,"&gt;0")</f>
        <v>0</v>
      </c>
      <c r="AI28" s="8">
        <f>COUNTIFS('PretestData (Submission)'!D:D,"="&amp;A28,'PretestData (Submission)'!A:A,"=405",'PretestData (Submission)'!H:H,"&gt;0")</f>
        <v>0</v>
      </c>
      <c r="AJ28" s="8">
        <f>IFERROR(__xludf.DUMMYFUNCTION("IFERROR(MAX(FILTER('PretestData (Submission)'!I:I,'PretestData (Submission)'!D:D=A28,'PretestData (Submission)'!A:A=405,'PretestData (Submission)'!H:H&gt;0)),0)"),"0")</f>
        <v>0</v>
      </c>
      <c r="AK28" s="8">
        <f>COUNTIFS('PretestData (ViewVPL)'!C:C,"="&amp;A28,'PretestData (ViewVPL)'!B:B,"=405")</f>
        <v>0</v>
      </c>
      <c r="AL28" s="8"/>
      <c r="AM28" s="11"/>
      <c r="AN28" s="11"/>
      <c r="AO28" s="8"/>
      <c r="AP28" s="8"/>
      <c r="AQ28" s="8"/>
      <c r="AR28" s="8"/>
      <c r="AS28" s="11"/>
      <c r="AT28" s="11"/>
      <c r="AU28" s="11"/>
    </row>
    <row r="29">
      <c r="A29" s="7">
        <v>10145.0</v>
      </c>
      <c r="B29" s="3" t="s">
        <v>104</v>
      </c>
      <c r="C29" s="3" t="s">
        <v>106</v>
      </c>
      <c r="D29" s="3" t="s">
        <v>47</v>
      </c>
      <c r="E29" s="3"/>
      <c r="F29" s="2">
        <f>IFERROR(__xludf.DUMMYFUNCTION("IFERROR(MAX(FILTER('PretestData (Loggedin)'!C:C,'PretestData (Loggedin)'!B:B=A29,'PretestData (Loggedin)'!C:C&lt;G29)),0)"),"1478906218")</f>
        <v>1478906218</v>
      </c>
      <c r="G29" s="2">
        <f>IFERROR(__xludf.DUMMYFUNCTION("IFERROR(MIN(FILTER({'PretestData (Submission)'!E:E}, 'PretestData (Submission)'!D:D=A29, 'PretestData (Submission)'!A:A=401, 'PretestData (Submission)'!E:E&gt;0)),0)"),"1478907478")</f>
        <v>1478907478</v>
      </c>
      <c r="H29" s="2">
        <f>IFERROR(__xludf.DUMMYFUNCTION("IFERROR(MIN(FILTER('PretestData (ViewVPL)'!D:D, 'PretestData (ViewVPL)'!C:C=A29, 'PretestData (ViewVPL)'!B:B=401,'PretestData (ViewVPL)'!D:D&gt;F29,'PretestData (ViewVPL)'!D:D&lt;G29)),0)"),"1478906627")</f>
        <v>1478906627</v>
      </c>
      <c r="I29" s="2">
        <f>IFERROR(__xludf.DUMMYFUNCTION("IFERROR(MAX(FILTER({'PretestData (Submission)'!E:E}, 'PretestData (Submission)'!D:D=A29, 'PretestData (Submission)'!A:A=401))-H29, 0)"),"920")</f>
        <v>920</v>
      </c>
      <c r="J29" s="2">
        <f>COUNTIFS('PretestData (Submission)'!D:D,"="&amp;A29,'PretestData (Submission)'!A:A,"=401",'PretestData (Submission)'!E:E,"&gt;0")</f>
        <v>2</v>
      </c>
      <c r="K29" s="2">
        <f>COUNTIFS('PretestData (Submission)'!D:D,"="&amp;A29,'PretestData (Submission)'!A:A,"=401",'PretestData (Submission)'!H:H,"&gt;0")</f>
        <v>2</v>
      </c>
      <c r="L29" s="2">
        <f>IFERROR(__xludf.DUMMYFUNCTION("IFERROR(MAX(FILTER('PretestData (Submission)'!I:I,'PretestData (Submission)'!D:D=A29,'PretestData (Submission)'!A:A=401,'PretestData (Submission)'!H:H&gt;0)),0)"),"10")</f>
        <v>10</v>
      </c>
      <c r="M29" s="8">
        <f>COUNTIFS('PretestData (ViewVPL)'!C:C,"="&amp;A29,'PretestData (ViewVPL)'!B:B,"=401")</f>
        <v>11</v>
      </c>
      <c r="N29" s="13">
        <f>IFERROR(__xludf.DUMMYFUNCTION("IFERROR(MAX(FILTER('PretestData (Loggedin)'!C:C,'PretestData (Loggedin)'!B:B=A29,'PretestData (Loggedin)'!C:C&lt;O29)),0)"),"1478906218")</f>
        <v>1478906218</v>
      </c>
      <c r="O29" s="13">
        <f>IFERROR(__xludf.DUMMYFUNCTION("IFERROR(MIN(FILTER({'PretestData (Submission)'!E:E}, 'PretestData (Submission)'!D:D=A29, 'PretestData (Submission)'!A:A=403, 'PretestData (Submission)'!E:E&gt;0)),0)"),"1478907892")</f>
        <v>1478907892</v>
      </c>
      <c r="P29" s="13">
        <f>IFERROR(__xludf.DUMMYFUNCTION("IFERROR(MIN(FILTER('PretestData (ViewVPL)'!D:D, 'PretestData (ViewVPL)'!C:C=A29, 'PretestData (ViewVPL)'!B:B=403,'PretestData (ViewVPL)'!D:D&gt;N29,'PretestData (ViewVPL)'!D:D&lt;O29)),0)"),"1478907755")</f>
        <v>1478907755</v>
      </c>
      <c r="Q29" s="13">
        <f>IFERROR(__xludf.DUMMYFUNCTION("IFERROR(MAX(FILTER({'PretestData (Submission)'!E:E}, 'PretestData (Submission)'!D:D=A29, 'PretestData (Submission)'!A:A=403))-P29,0)"),"607")</f>
        <v>607</v>
      </c>
      <c r="R29" s="13">
        <f>COUNTIFS('PretestData (Submission)'!D:D,"="&amp;A29,'PretestData (Submission)'!A:A,"=403",'PretestData (Submission)'!E:E,"&gt;0")</f>
        <v>6</v>
      </c>
      <c r="S29" s="13">
        <f>COUNTIFS('PretestData (Submission)'!D:D,"="&amp;A29,'PretestData (Submission)'!A:A,"=403",'PretestData (Submission)'!H:H,"&gt;0")</f>
        <v>6</v>
      </c>
      <c r="T29" s="13">
        <f>IFERROR(__xludf.DUMMYFUNCTION("IFERROR(MAX(FILTER('PretestData (Submission)'!I:I,'PretestData (Submission)'!D:D=A29,'PretestData (Submission)'!A:A=403,'PretestData (Submission)'!H:H&gt;0)),0)"),"10")</f>
        <v>10</v>
      </c>
      <c r="U29" s="8">
        <f>COUNTIFS('PretestData (ViewVPL)'!C:C,"="&amp;A29,'PretestData (ViewVPL)'!B:B,"=403")</f>
        <v>7</v>
      </c>
      <c r="V29" s="13">
        <f>IFERROR(__xludf.DUMMYFUNCTION("IFERROR(MAX(FILTER('PretestData (Loggedin)'!C:C,'PretestData (Loggedin)'!B:B=A29,'PretestData (Loggedin)'!C:C&lt;W29)),0)"),"1478906218")</f>
        <v>1478906218</v>
      </c>
      <c r="W29" s="13">
        <f>IFERROR(__xludf.DUMMYFUNCTION("IFERROR(MIN(FILTER({'PretestData (Submission)'!E:E}, 'PretestData (Submission)'!D:D=A29, 'PretestData (Submission)'!A:A=404, 'PretestData (Submission)'!E:E&gt;0)),0)"),"1478908762")</f>
        <v>1478908762</v>
      </c>
      <c r="X29" s="13">
        <f>IFERROR(__xludf.DUMMYFUNCTION("IFERROR(MIN(FILTER('PretestData (ViewVPL)'!D:D, 'PretestData (ViewVPL)'!C:C=A29, 'PretestData (ViewVPL)'!B:B=404,'PretestData (ViewVPL)'!D:D&gt;V29,'PretestData (ViewVPL)'!D:D&lt;W29)),0)"),"1478908388")</f>
        <v>1478908388</v>
      </c>
      <c r="Y29" s="13">
        <f>IFERROR(__xludf.DUMMYFUNCTION("IFERROR(MAX(FILTER({'PretestData (Submission)'!E:E}, 'PretestData (Submission)'!D:D=A29, 'PretestData (Submission)'!A:A=404))-X29,0)"),"9524")</f>
        <v>9524</v>
      </c>
      <c r="Z29" s="13">
        <f>COUNTIFS('PretestData (Submission)'!D:D,"="&amp;A29,'PretestData (Submission)'!A:A,"=404",'PretestData (Submission)'!E:E,"&gt;0")</f>
        <v>10</v>
      </c>
      <c r="AA29" s="13">
        <f>COUNTIFS('PretestData (Submission)'!D:D,"="&amp;A29,'PretestData (Submission)'!A:A,"=404",'PretestData (Submission)'!H:H,"&gt;0")</f>
        <v>5</v>
      </c>
      <c r="AB29" s="13">
        <f>IFERROR(__xludf.DUMMYFUNCTION("IFERROR(MAX(FILTER('PretestData (Submission)'!I:I,'PretestData (Submission)'!D:D=A29,'PretestData (Submission)'!A:A=404,'PretestData (Submission)'!H:H&gt;0)),0)"),"10")</f>
        <v>10</v>
      </c>
      <c r="AC29" s="13">
        <f>COUNTIFS('PretestData (ViewVPL)'!C:C,"="&amp;A29,'PretestData (ViewVPL)'!B:B,"=404")</f>
        <v>19</v>
      </c>
      <c r="AD29" s="13">
        <f>IFERROR(__xludf.DUMMYFUNCTION("IFERROR(MAX(FILTER('PretestData (Loggedin)'!C:C,'PretestData (Loggedin)'!B:B=A29,'PretestData (Loggedin)'!C:C&lt;AE29)),0)"),"1478916504")</f>
        <v>1478916504</v>
      </c>
      <c r="AE29" s="13">
        <f>IFERROR(__xludf.DUMMYFUNCTION("IFERROR(MIN(FILTER({'PretestData (Submission)'!E:E}, 'PretestData (Submission)'!D:D=A29, 'PretestData (Submission)'!A:A=405, 'PretestData (Submission)'!E:E&gt;0)),0)"),"1478920811")</f>
        <v>1478920811</v>
      </c>
      <c r="AF29" s="13">
        <f>IFERROR(__xludf.DUMMYFUNCTION("IFERROR(MIN(FILTER('PretestData (ViewVPL)'!D:D, 'PretestData (ViewVPL)'!C:C=A29, 'PretestData (ViewVPL)'!B:B=405,'PretestData (ViewVPL)'!D:D&gt;AD29,'PretestData (ViewVPL)'!D:D&lt;AE29)),0)"),"1478916544")</f>
        <v>1478916544</v>
      </c>
      <c r="AG29" s="8">
        <f>IFERROR(__xludf.DUMMYFUNCTION("IFERROR(MAX(FILTER({'PretestData (Submission)'!E:E}, 'PretestData (Submission)'!D:D=A29, 'PretestData (Submission)'!A:A=405))-AF29,0)"),"4267")</f>
        <v>4267</v>
      </c>
      <c r="AH29" s="8">
        <f>COUNTIFS('PretestData (Submission)'!D:D,"="&amp;A29,'PretestData (Submission)'!A:A,"=405",'PretestData (Submission)'!E:E,"&gt;0")</f>
        <v>1</v>
      </c>
      <c r="AI29" s="8">
        <f>COUNTIFS('PretestData (Submission)'!D:D,"="&amp;A29,'PretestData (Submission)'!A:A,"=405",'PretestData (Submission)'!H:H,"&gt;0")</f>
        <v>1</v>
      </c>
      <c r="AJ29" s="8">
        <f>IFERROR(__xludf.DUMMYFUNCTION("IFERROR(MAX(FILTER('PretestData (Submission)'!I:I,'PretestData (Submission)'!D:D=A29,'PretestData (Submission)'!A:A=405,'PretestData (Submission)'!H:H&gt;0)),0)"),"10")</f>
        <v>10</v>
      </c>
      <c r="AK29" s="8">
        <f>COUNTIFS('PretestData (ViewVPL)'!C:C,"="&amp;A29,'PretestData (ViewVPL)'!B:B,"=405")</f>
        <v>8</v>
      </c>
      <c r="AL29" s="8"/>
      <c r="AM29" s="11"/>
      <c r="AN29" s="11"/>
      <c r="AO29" s="8"/>
      <c r="AP29" s="8"/>
      <c r="AQ29" s="8"/>
      <c r="AR29" s="8"/>
      <c r="AS29" s="11"/>
      <c r="AT29" s="11"/>
      <c r="AU29" s="11"/>
    </row>
    <row r="30">
      <c r="A30" s="7">
        <v>10129.0</v>
      </c>
      <c r="B30" s="3" t="s">
        <v>104</v>
      </c>
      <c r="C30" s="3" t="s">
        <v>106</v>
      </c>
      <c r="D30" s="3" t="s">
        <v>63</v>
      </c>
      <c r="E30" s="3"/>
      <c r="F30" s="2">
        <f>IFERROR(__xludf.DUMMYFUNCTION("IFERROR(MAX(FILTER('PretestData (Loggedin)'!C:C,'PretestData (Loggedin)'!B:B=A30,'PretestData (Loggedin)'!C:C&lt;G30)),0)"),"1478905756")</f>
        <v>1478905756</v>
      </c>
      <c r="G30" s="2">
        <f>IFERROR(__xludf.DUMMYFUNCTION("IFERROR(MIN(FILTER({'PretestData (Submission)'!E:E}, 'PretestData (Submission)'!D:D=A30, 'PretestData (Submission)'!A:A=401, 'PretestData (Submission)'!E:E&gt;0)),0)"),"1478907265")</f>
        <v>1478907265</v>
      </c>
      <c r="H30" s="2">
        <f>IFERROR(__xludf.DUMMYFUNCTION("IFERROR(MIN(FILTER('PretestData (ViewVPL)'!D:D, 'PretestData (ViewVPL)'!C:C=A30, 'PretestData (ViewVPL)'!B:B=401,'PretestData (ViewVPL)'!D:D&gt;F30,'PretestData (ViewVPL)'!D:D&lt;G30)),0)"),"1478906156")</f>
        <v>1478906156</v>
      </c>
      <c r="I30" s="2">
        <f>IFERROR(__xludf.DUMMYFUNCTION("IFERROR(MAX(FILTER({'PretestData (Submission)'!E:E}, 'PretestData (Submission)'!D:D=A30, 'PretestData (Submission)'!A:A=401))-H30, 0)"),"438539")</f>
        <v>438539</v>
      </c>
      <c r="J30" s="2">
        <f>COUNTIFS('PretestData (Submission)'!D:D,"="&amp;A30,'PretestData (Submission)'!A:A,"=401",'PretestData (Submission)'!E:E,"&gt;0")</f>
        <v>3</v>
      </c>
      <c r="K30" s="2">
        <f>COUNTIFS('PretestData (Submission)'!D:D,"="&amp;A30,'PretestData (Submission)'!A:A,"=401",'PretestData (Submission)'!H:H,"&gt;0")</f>
        <v>2</v>
      </c>
      <c r="L30" s="2">
        <f>IFERROR(__xludf.DUMMYFUNCTION("IFERROR(MAX(FILTER('PretestData (Submission)'!I:I,'PretestData (Submission)'!D:D=A30,'PretestData (Submission)'!A:A=401,'PretestData (Submission)'!H:H&gt;0)),0)"),"0")</f>
        <v>0</v>
      </c>
      <c r="M30" s="8">
        <f>COUNTIFS('PretestData (ViewVPL)'!C:C,"="&amp;A30,'PretestData (ViewVPL)'!B:B,"=401")</f>
        <v>6</v>
      </c>
      <c r="N30" s="13">
        <f>IFERROR(__xludf.DUMMYFUNCTION("IFERROR(MAX(FILTER('PretestData (Loggedin)'!C:C,'PretestData (Loggedin)'!B:B=A30,'PretestData (Loggedin)'!C:C&lt;O30)),0)"),"1478905756")</f>
        <v>1478905756</v>
      </c>
      <c r="O30" s="13">
        <f>IFERROR(__xludf.DUMMYFUNCTION("IFERROR(MIN(FILTER({'PretestData (Submission)'!E:E}, 'PretestData (Submission)'!D:D=A30, 'PretestData (Submission)'!A:A=403, 'PretestData (Submission)'!E:E&gt;0)),0)"),"1478907746")</f>
        <v>1478907746</v>
      </c>
      <c r="P30" s="13">
        <f>IFERROR(__xludf.DUMMYFUNCTION("IFERROR(MIN(FILTER('PretestData (ViewVPL)'!D:D, 'PretestData (ViewVPL)'!C:C=A30, 'PretestData (ViewVPL)'!B:B=403,'PretestData (ViewVPL)'!D:D&gt;N30,'PretestData (ViewVPL)'!D:D&lt;O30)),0)"),"1478907450")</f>
        <v>1478907450</v>
      </c>
      <c r="Q30" s="13">
        <f>IFERROR(__xludf.DUMMYFUNCTION("IFERROR(MAX(FILTER({'PretestData (Submission)'!E:E}, 'PretestData (Submission)'!D:D=A30, 'PretestData (Submission)'!A:A=403))-P30,0)"),"318")</f>
        <v>318</v>
      </c>
      <c r="R30" s="13">
        <f>COUNTIFS('PretestData (Submission)'!D:D,"="&amp;A30,'PretestData (Submission)'!A:A,"=403",'PretestData (Submission)'!E:E,"&gt;0")</f>
        <v>2</v>
      </c>
      <c r="S30" s="13">
        <f>COUNTIFS('PretestData (Submission)'!D:D,"="&amp;A30,'PretestData (Submission)'!A:A,"=403",'PretestData (Submission)'!H:H,"&gt;0")</f>
        <v>1</v>
      </c>
      <c r="T30" s="13">
        <f>IFERROR(__xludf.DUMMYFUNCTION("IFERROR(MAX(FILTER('PretestData (Submission)'!I:I,'PretestData (Submission)'!D:D=A30,'PretestData (Submission)'!A:A=403,'PretestData (Submission)'!H:H&gt;0)),0)"),"0")</f>
        <v>0</v>
      </c>
      <c r="U30" s="8">
        <f>COUNTIFS('PretestData (ViewVPL)'!C:C,"="&amp;A30,'PretestData (ViewVPL)'!B:B,"=403")</f>
        <v>7</v>
      </c>
      <c r="V30" s="13">
        <f>IFERROR(__xludf.DUMMYFUNCTION("IFERROR(MAX(FILTER('PretestData (Loggedin)'!C:C,'PretestData (Loggedin)'!B:B=A30,'PretestData (Loggedin)'!C:C&lt;W30)),0)"),"1478905756")</f>
        <v>1478905756</v>
      </c>
      <c r="W30" s="13">
        <f>IFERROR(__xludf.DUMMYFUNCTION("IFERROR(MIN(FILTER({'PretestData (Submission)'!E:E}, 'PretestData (Submission)'!D:D=A30, 'PretestData (Submission)'!A:A=404, 'PretestData (Submission)'!E:E&gt;0)),0)"),"1478909218")</f>
        <v>1478909218</v>
      </c>
      <c r="X30" s="13">
        <f>IFERROR(__xludf.DUMMYFUNCTION("IFERROR(MIN(FILTER('PretestData (ViewVPL)'!D:D, 'PretestData (ViewVPL)'!C:C=A30, 'PretestData (ViewVPL)'!B:B=404,'PretestData (ViewVPL)'!D:D&gt;V30,'PretestData (ViewVPL)'!D:D&lt;W30)),0)"),"1478907902")</f>
        <v>1478907902</v>
      </c>
      <c r="Y30" s="13">
        <f>IFERROR(__xludf.DUMMYFUNCTION("IFERROR(MAX(FILTER({'PretestData (Submission)'!E:E}, 'PretestData (Submission)'!D:D=A30, 'PretestData (Submission)'!A:A=404))-X30,0)"),"439453")</f>
        <v>439453</v>
      </c>
      <c r="Z30" s="13">
        <f>COUNTIFS('PretestData (Submission)'!D:D,"="&amp;A30,'PretestData (Submission)'!A:A,"=404",'PretestData (Submission)'!E:E,"&gt;0")</f>
        <v>2</v>
      </c>
      <c r="AA30" s="13">
        <f>COUNTIFS('PretestData (Submission)'!D:D,"="&amp;A30,'PretestData (Submission)'!A:A,"=404",'PretestData (Submission)'!H:H,"&gt;0")</f>
        <v>1</v>
      </c>
      <c r="AB30" s="13">
        <f>IFERROR(__xludf.DUMMYFUNCTION("IFERROR(MAX(FILTER('PretestData (Submission)'!I:I,'PretestData (Submission)'!D:D=A30,'PretestData (Submission)'!A:A=404,'PretestData (Submission)'!H:H&gt;0)),0)"),"0")</f>
        <v>0</v>
      </c>
      <c r="AC30" s="13">
        <f>COUNTIFS('PretestData (ViewVPL)'!C:C,"="&amp;A30,'PretestData (ViewVPL)'!B:B,"=404")</f>
        <v>14</v>
      </c>
      <c r="AD30" s="13">
        <f>IFERROR(__xludf.DUMMYFUNCTION("IFERROR(MAX(FILTER('PretestData (Loggedin)'!C:C,'PretestData (Loggedin)'!B:B=A30,'PretestData (Loggedin)'!C:C&lt;AE30)),0)"),"0")</f>
        <v>0</v>
      </c>
      <c r="AE30" s="13">
        <f>IFERROR(__xludf.DUMMYFUNCTION("IFERROR(MIN(FILTER({'PretestData (Submission)'!E:E}, 'PretestData (Submission)'!D:D=A30, 'PretestData (Submission)'!A:A=405, 'PretestData (Submission)'!E:E&gt;0)),0)"),"0")</f>
        <v>0</v>
      </c>
      <c r="AF30" s="13">
        <f>IFERROR(__xludf.DUMMYFUNCTION("IFERROR(MIN(FILTER('PretestData (ViewVPL)'!D:D, 'PretestData (ViewVPL)'!C:C=A30, 'PretestData (ViewVPL)'!B:B=405,'PretestData (ViewVPL)'!D:D&gt;AD30,'PretestData (ViewVPL)'!D:D&lt;AE30)),0)"),"0")</f>
        <v>0</v>
      </c>
      <c r="AG30" s="8">
        <f>IFERROR(__xludf.DUMMYFUNCTION("IFERROR(MAX(FILTER({'PretestData (Submission)'!E:E}, 'PretestData (Submission)'!D:D=A30, 'PretestData (Submission)'!A:A=405))-AF30,0)"),"0")</f>
        <v>0</v>
      </c>
      <c r="AH30" s="8">
        <f>COUNTIFS('PretestData (Submission)'!D:D,"="&amp;A30,'PretestData (Submission)'!A:A,"=405",'PretestData (Submission)'!E:E,"&gt;0")</f>
        <v>0</v>
      </c>
      <c r="AI30" s="8">
        <f>COUNTIFS('PretestData (Submission)'!D:D,"="&amp;A30,'PretestData (Submission)'!A:A,"=405",'PretestData (Submission)'!H:H,"&gt;0")</f>
        <v>0</v>
      </c>
      <c r="AJ30" s="8">
        <f>IFERROR(__xludf.DUMMYFUNCTION("IFERROR(MAX(FILTER('PretestData (Submission)'!I:I,'PretestData (Submission)'!D:D=A30,'PretestData (Submission)'!A:A=405,'PretestData (Submission)'!H:H&gt;0)),0)"),"0")</f>
        <v>0</v>
      </c>
      <c r="AK30" s="8">
        <f>COUNTIFS('PretestData (ViewVPL)'!C:C,"="&amp;A30,'PretestData (ViewVPL)'!B:B,"=405")</f>
        <v>2</v>
      </c>
      <c r="AL30" s="8"/>
      <c r="AM30" s="11"/>
      <c r="AN30" s="11"/>
      <c r="AO30" s="8"/>
      <c r="AP30" s="8"/>
      <c r="AQ30" s="8"/>
      <c r="AR30" s="8"/>
      <c r="AS30" s="11"/>
      <c r="AT30" s="11"/>
      <c r="AU30" s="11"/>
    </row>
    <row r="31">
      <c r="A31" s="7">
        <v>10125.0</v>
      </c>
      <c r="B31" s="3" t="s">
        <v>104</v>
      </c>
      <c r="C31" s="3" t="s">
        <v>106</v>
      </c>
      <c r="D31" s="3" t="s">
        <v>63</v>
      </c>
      <c r="E31" s="3"/>
      <c r="F31" s="2">
        <f>IFERROR(__xludf.DUMMYFUNCTION("IFERROR(MAX(FILTER('PretestData (Loggedin)'!C:C,'PretestData (Loggedin)'!B:B=A31,'PretestData (Loggedin)'!C:C&lt;G31)),0)"),"1478905706")</f>
        <v>1478905706</v>
      </c>
      <c r="G31" s="2">
        <f>IFERROR(__xludf.DUMMYFUNCTION("IFERROR(MIN(FILTER({'PretestData (Submission)'!E:E}, 'PretestData (Submission)'!D:D=A31, 'PretestData (Submission)'!A:A=401, 'PretestData (Submission)'!E:E&gt;0)),0)"),"1478906411")</f>
        <v>1478906411</v>
      </c>
      <c r="H31" s="2">
        <f>IFERROR(__xludf.DUMMYFUNCTION("IFERROR(MIN(FILTER('PretestData (ViewVPL)'!D:D, 'PretestData (ViewVPL)'!C:C=A31, 'PretestData (ViewVPL)'!B:B=401,'PretestData (ViewVPL)'!D:D&gt;F31,'PretestData (ViewVPL)'!D:D&lt;G31)),0)"),"1478906055")</f>
        <v>1478906055</v>
      </c>
      <c r="I31" s="2">
        <f>IFERROR(__xludf.DUMMYFUNCTION("IFERROR(MAX(FILTER({'PretestData (Submission)'!E:E}, 'PretestData (Submission)'!D:D=A31, 'PretestData (Submission)'!A:A=401))-H31, 0)"),"711")</f>
        <v>711</v>
      </c>
      <c r="J31" s="2">
        <f>COUNTIFS('PretestData (Submission)'!D:D,"="&amp;A31,'PretestData (Submission)'!A:A,"=401",'PretestData (Submission)'!E:E,"&gt;0")</f>
        <v>8</v>
      </c>
      <c r="K31" s="2">
        <f>COUNTIFS('PretestData (Submission)'!D:D,"="&amp;A31,'PretestData (Submission)'!A:A,"=401",'PretestData (Submission)'!H:H,"&gt;0")</f>
        <v>4</v>
      </c>
      <c r="L31" s="2">
        <f>IFERROR(__xludf.DUMMYFUNCTION("IFERROR(MAX(FILTER('PretestData (Submission)'!I:I,'PretestData (Submission)'!D:D=A31,'PretestData (Submission)'!A:A=401,'PretestData (Submission)'!H:H&gt;0)),0)"),"10")</f>
        <v>10</v>
      </c>
      <c r="M31" s="8">
        <f>COUNTIFS('PretestData (ViewVPL)'!C:C,"="&amp;A31,'PretestData (ViewVPL)'!B:B,"=401")</f>
        <v>5</v>
      </c>
      <c r="N31" s="13">
        <f>IFERROR(__xludf.DUMMYFUNCTION("IFERROR(MAX(FILTER('PretestData (Loggedin)'!C:C,'PretestData (Loggedin)'!B:B=A31,'PretestData (Loggedin)'!C:C&lt;O31)),0)"),"1478905706")</f>
        <v>1478905706</v>
      </c>
      <c r="O31" s="13">
        <f>IFERROR(__xludf.DUMMYFUNCTION("IFERROR(MIN(FILTER({'PretestData (Submission)'!E:E}, 'PretestData (Submission)'!D:D=A31, 'PretestData (Submission)'!A:A=403, 'PretestData (Submission)'!E:E&gt;0)),0)"),"1478907135")</f>
        <v>1478907135</v>
      </c>
      <c r="P31" s="13">
        <f>IFERROR(__xludf.DUMMYFUNCTION("IFERROR(MIN(FILTER('PretestData (ViewVPL)'!D:D, 'PretestData (ViewVPL)'!C:C=A31, 'PretestData (ViewVPL)'!B:B=403,'PretestData (ViewVPL)'!D:D&gt;N31,'PretestData (ViewVPL)'!D:D&lt;O31)),0)"),"1478906867")</f>
        <v>1478906867</v>
      </c>
      <c r="Q31" s="13">
        <f>IFERROR(__xludf.DUMMYFUNCTION("IFERROR(MAX(FILTER({'PretestData (Submission)'!E:E}, 'PretestData (Submission)'!D:D=A31, 'PretestData (Submission)'!A:A=403))-P31,0)"),"1651")</f>
        <v>1651</v>
      </c>
      <c r="R31" s="13">
        <f>COUNTIFS('PretestData (Submission)'!D:D,"="&amp;A31,'PretestData (Submission)'!A:A,"=403",'PretestData (Submission)'!E:E,"&gt;0")</f>
        <v>19</v>
      </c>
      <c r="S31" s="13">
        <f>COUNTIFS('PretestData (Submission)'!D:D,"="&amp;A31,'PretestData (Submission)'!A:A,"=403",'PretestData (Submission)'!H:H,"&gt;0")</f>
        <v>1</v>
      </c>
      <c r="T31" s="13">
        <f>IFERROR(__xludf.DUMMYFUNCTION("IFERROR(MAX(FILTER('PretestData (Submission)'!I:I,'PretestData (Submission)'!D:D=A31,'PretestData (Submission)'!A:A=403,'PretestData (Submission)'!H:H&gt;0)),0)"),"10")</f>
        <v>10</v>
      </c>
      <c r="U31" s="8">
        <f>COUNTIFS('PretestData (ViewVPL)'!C:C,"="&amp;A31,'PretestData (ViewVPL)'!B:B,"=403")</f>
        <v>6</v>
      </c>
      <c r="V31" s="13">
        <f>IFERROR(__xludf.DUMMYFUNCTION("IFERROR(MAX(FILTER('PretestData (Loggedin)'!C:C,'PretestData (Loggedin)'!B:B=A31,'PretestData (Loggedin)'!C:C&lt;W31)),0)"),"1478905706")</f>
        <v>1478905706</v>
      </c>
      <c r="W31" s="13">
        <f>IFERROR(__xludf.DUMMYFUNCTION("IFERROR(MIN(FILTER({'PretestData (Submission)'!E:E}, 'PretestData (Submission)'!D:D=A31, 'PretestData (Submission)'!A:A=404, 'PretestData (Submission)'!E:E&gt;0)),0)"),"1478908887")</f>
        <v>1478908887</v>
      </c>
      <c r="X31" s="13">
        <f>IFERROR(__xludf.DUMMYFUNCTION("IFERROR(MIN(FILTER('PretestData (ViewVPL)'!D:D, 'PretestData (ViewVPL)'!C:C=A31, 'PretestData (ViewVPL)'!B:B=404,'PretestData (ViewVPL)'!D:D&gt;V31,'PretestData (ViewVPL)'!D:D&lt;W31)),0)"),"1478908583")</f>
        <v>1478908583</v>
      </c>
      <c r="Y31" s="13">
        <f>IFERROR(__xludf.DUMMYFUNCTION("IFERROR(MAX(FILTER({'PretestData (Submission)'!E:E}, 'PretestData (Submission)'!D:D=A31, 'PretestData (Submission)'!A:A=404))-X31,0)"),"529868")</f>
        <v>529868</v>
      </c>
      <c r="Z31" s="13">
        <f>COUNTIFS('PretestData (Submission)'!D:D,"="&amp;A31,'PretestData (Submission)'!A:A,"=404",'PretestData (Submission)'!E:E,"&gt;0")</f>
        <v>11</v>
      </c>
      <c r="AA31" s="13">
        <f>COUNTIFS('PretestData (Submission)'!D:D,"="&amp;A31,'PretestData (Submission)'!A:A,"=404",'PretestData (Submission)'!H:H,"&gt;0")</f>
        <v>1</v>
      </c>
      <c r="AB31" s="13">
        <f>IFERROR(__xludf.DUMMYFUNCTION("IFERROR(MAX(FILTER('PretestData (Submission)'!I:I,'PretestData (Submission)'!D:D=A31,'PretestData (Submission)'!A:A=404,'PretestData (Submission)'!H:H&gt;0)),0)"),"0")</f>
        <v>0</v>
      </c>
      <c r="AC31" s="13">
        <f>COUNTIFS('PretestData (ViewVPL)'!C:C,"="&amp;A31,'PretestData (ViewVPL)'!B:B,"=404")</f>
        <v>7</v>
      </c>
      <c r="AD31" s="13">
        <f>IFERROR(__xludf.DUMMYFUNCTION("IFERROR(MAX(FILTER('PretestData (Loggedin)'!C:C,'PretestData (Loggedin)'!B:B=A31,'PretestData (Loggedin)'!C:C&lt;AE31)),0)"),"1478905706")</f>
        <v>1478905706</v>
      </c>
      <c r="AE31" s="13">
        <f>IFERROR(__xludf.DUMMYFUNCTION("IFERROR(MIN(FILTER({'PretestData (Submission)'!E:E}, 'PretestData (Submission)'!D:D=A31, 'PretestData (Submission)'!A:A=405, 'PretestData (Submission)'!E:E&gt;0)),0)"),"1478910217")</f>
        <v>1478910217</v>
      </c>
      <c r="AF31" s="13">
        <f>IFERROR(__xludf.DUMMYFUNCTION("IFERROR(MIN(FILTER('PretestData (ViewVPL)'!D:D, 'PretestData (ViewVPL)'!C:C=A31, 'PretestData (ViewVPL)'!B:B=405,'PretestData (ViewVPL)'!D:D&gt;AD31,'PretestData (ViewVPL)'!D:D&lt;AE31)),0)"),"1478909128")</f>
        <v>1478909128</v>
      </c>
      <c r="AG31" s="8">
        <f>IFERROR(__xludf.DUMMYFUNCTION("IFERROR(MAX(FILTER({'PretestData (Submission)'!E:E}, 'PretestData (Submission)'!D:D=A31, 'PretestData (Submission)'!A:A=405))-AF31,0)"),"1089")</f>
        <v>1089</v>
      </c>
      <c r="AH31" s="8">
        <f>COUNTIFS('PretestData (Submission)'!D:D,"="&amp;A31,'PretestData (Submission)'!A:A,"=405",'PretestData (Submission)'!E:E,"&gt;0")</f>
        <v>1</v>
      </c>
      <c r="AI31" s="8">
        <f>COUNTIFS('PretestData (Submission)'!D:D,"="&amp;A31,'PretestData (Submission)'!A:A,"=405",'PretestData (Submission)'!H:H,"&gt;0")</f>
        <v>0</v>
      </c>
      <c r="AJ31" s="8">
        <f>IFERROR(__xludf.DUMMYFUNCTION("IFERROR(MAX(FILTER('PretestData (Submission)'!I:I,'PretestData (Submission)'!D:D=A31,'PretestData (Submission)'!A:A=405,'PretestData (Submission)'!H:H&gt;0)),0)"),"0")</f>
        <v>0</v>
      </c>
      <c r="AK31" s="8">
        <f>COUNTIFS('PretestData (ViewVPL)'!C:C,"="&amp;A31,'PretestData (ViewVPL)'!B:B,"=405")</f>
        <v>2</v>
      </c>
      <c r="AL31" s="8"/>
      <c r="AM31" s="11"/>
      <c r="AN31" s="11"/>
      <c r="AO31" s="8"/>
      <c r="AP31" s="8"/>
      <c r="AQ31" s="8"/>
      <c r="AR31" s="8"/>
      <c r="AS31" s="11"/>
      <c r="AT31" s="11"/>
      <c r="AU31" s="11"/>
    </row>
    <row r="32">
      <c r="A32" s="7">
        <v>10135.0</v>
      </c>
      <c r="B32" s="3" t="s">
        <v>104</v>
      </c>
      <c r="C32" s="3" t="s">
        <v>106</v>
      </c>
      <c r="D32" s="3" t="s">
        <v>63</v>
      </c>
      <c r="E32" s="3"/>
      <c r="F32" s="2">
        <f>IFERROR(__xludf.DUMMYFUNCTION("IFERROR(MAX(FILTER('PretestData (Loggedin)'!C:C,'PretestData (Loggedin)'!B:B=A32,'PretestData (Loggedin)'!C:C&lt;G32)),0)"),"1478905853")</f>
        <v>1478905853</v>
      </c>
      <c r="G32" s="2">
        <f>IFERROR(__xludf.DUMMYFUNCTION("IFERROR(MIN(FILTER({'PretestData (Submission)'!E:E}, 'PretestData (Submission)'!D:D=A32, 'PretestData (Submission)'!A:A=401, 'PretestData (Submission)'!E:E&gt;0)),0)"),"1478906965")</f>
        <v>1478906965</v>
      </c>
      <c r="H32" s="2">
        <f>IFERROR(__xludf.DUMMYFUNCTION("IFERROR(MIN(FILTER('PretestData (ViewVPL)'!D:D, 'PretestData (ViewVPL)'!C:C=A32, 'PretestData (ViewVPL)'!B:B=401,'PretestData (ViewVPL)'!D:D&gt;F32,'PretestData (ViewVPL)'!D:D&lt;G32)),0)"),"1478906606")</f>
        <v>1478906606</v>
      </c>
      <c r="I32" s="2">
        <f>IFERROR(__xludf.DUMMYFUNCTION("IFERROR(MAX(FILTER({'PretestData (Submission)'!E:E}, 'PretestData (Submission)'!D:D=A32, 'PretestData (Submission)'!A:A=401))-H32, 0)"),"49272")</f>
        <v>49272</v>
      </c>
      <c r="J32" s="2">
        <f>COUNTIFS('PretestData (Submission)'!D:D,"="&amp;A32,'PretestData (Submission)'!A:A,"=401",'PretestData (Submission)'!E:E,"&gt;0")</f>
        <v>14</v>
      </c>
      <c r="K32" s="2">
        <f>COUNTIFS('PretestData (Submission)'!D:D,"="&amp;A32,'PretestData (Submission)'!A:A,"=401",'PretestData (Submission)'!H:H,"&gt;0")</f>
        <v>4</v>
      </c>
      <c r="L32" s="2">
        <f>IFERROR(__xludf.DUMMYFUNCTION("IFERROR(MAX(FILTER('PretestData (Submission)'!I:I,'PretestData (Submission)'!D:D=A32,'PretestData (Submission)'!A:A=401,'PretestData (Submission)'!H:H&gt;0)),0)"),"10")</f>
        <v>10</v>
      </c>
      <c r="M32" s="8">
        <f>COUNTIFS('PretestData (ViewVPL)'!C:C,"="&amp;A32,'PretestData (ViewVPL)'!B:B,"=401")</f>
        <v>18</v>
      </c>
      <c r="N32" s="13">
        <f>IFERROR(__xludf.DUMMYFUNCTION("IFERROR(MAX(FILTER('PretestData (Loggedin)'!C:C,'PretestData (Loggedin)'!B:B=A32,'PretestData (Loggedin)'!C:C&lt;O32)),0)"),"1478955522")</f>
        <v>1478955522</v>
      </c>
      <c r="O32" s="13">
        <f>IFERROR(__xludf.DUMMYFUNCTION("IFERROR(MIN(FILTER({'PretestData (Submission)'!E:E}, 'PretestData (Submission)'!D:D=A32, 'PretestData (Submission)'!A:A=403, 'PretestData (Submission)'!E:E&gt;0)),0)"),"1478956049")</f>
        <v>1478956049</v>
      </c>
      <c r="P32" s="13">
        <f>IFERROR(__xludf.DUMMYFUNCTION("IFERROR(MIN(FILTER('PretestData (ViewVPL)'!D:D, 'PretestData (ViewVPL)'!C:C=A32, 'PretestData (ViewVPL)'!B:B=403,'PretestData (ViewVPL)'!D:D&gt;N32,'PretestData (ViewVPL)'!D:D&lt;O32)),0)"),"1478955548")</f>
        <v>1478955548</v>
      </c>
      <c r="Q32" s="13">
        <f>IFERROR(__xludf.DUMMYFUNCTION("IFERROR(MAX(FILTER({'PretestData (Submission)'!E:E}, 'PretestData (Submission)'!D:D=A32, 'PretestData (Submission)'!A:A=403))-P32,0)"),"712")</f>
        <v>712</v>
      </c>
      <c r="R32" s="13">
        <f>COUNTIFS('PretestData (Submission)'!D:D,"="&amp;A32,'PretestData (Submission)'!A:A,"=403",'PretestData (Submission)'!E:E,"&gt;0")</f>
        <v>5</v>
      </c>
      <c r="S32" s="13">
        <f>COUNTIFS('PretestData (Submission)'!D:D,"="&amp;A32,'PretestData (Submission)'!A:A,"=403",'PretestData (Submission)'!H:H,"&gt;0")</f>
        <v>1</v>
      </c>
      <c r="T32" s="13">
        <f>IFERROR(__xludf.DUMMYFUNCTION("IFERROR(MAX(FILTER('PretestData (Submission)'!I:I,'PretestData (Submission)'!D:D=A32,'PretestData (Submission)'!A:A=403,'PretestData (Submission)'!H:H&gt;0)),0)"),"10")</f>
        <v>10</v>
      </c>
      <c r="U32" s="8">
        <f>COUNTIFS('PretestData (ViewVPL)'!C:C,"="&amp;A32,'PretestData (ViewVPL)'!B:B,"=403")</f>
        <v>12</v>
      </c>
      <c r="V32" s="13">
        <f>IFERROR(__xludf.DUMMYFUNCTION("IFERROR(MAX(FILTER('PretestData (Loggedin)'!C:C,'PretestData (Loggedin)'!B:B=A32,'PretestData (Loggedin)'!C:C&lt;W32)),0)"),"0")</f>
        <v>0</v>
      </c>
      <c r="W32" s="13">
        <f>IFERROR(__xludf.DUMMYFUNCTION("IFERROR(MIN(FILTER({'PretestData (Submission)'!E:E}, 'PretestData (Submission)'!D:D=A32, 'PretestData (Submission)'!A:A=404, 'PretestData (Submission)'!E:E&gt;0)),0)"),"0")</f>
        <v>0</v>
      </c>
      <c r="X32" s="13">
        <f>IFERROR(__xludf.DUMMYFUNCTION("IFERROR(MIN(FILTER('PretestData (ViewVPL)'!D:D, 'PretestData (ViewVPL)'!C:C=A32, 'PretestData (ViewVPL)'!B:B=404,'PretestData (ViewVPL)'!D:D&gt;V32,'PretestData (ViewVPL)'!D:D&lt;W32)),0)"),"0")</f>
        <v>0</v>
      </c>
      <c r="Y32" s="13">
        <f>IFERROR(__xludf.DUMMYFUNCTION("IFERROR(MAX(FILTER({'PretestData (Submission)'!E:E}, 'PretestData (Submission)'!D:D=A32, 'PretestData (Submission)'!A:A=404))-X32,0)"),"0")</f>
        <v>0</v>
      </c>
      <c r="Z32" s="13">
        <f>COUNTIFS('PretestData (Submission)'!D:D,"="&amp;A32,'PretestData (Submission)'!A:A,"=404",'PretestData (Submission)'!E:E,"&gt;0")</f>
        <v>0</v>
      </c>
      <c r="AA32" s="13">
        <f>COUNTIFS('PretestData (Submission)'!D:D,"="&amp;A32,'PretestData (Submission)'!A:A,"=404",'PretestData (Submission)'!H:H,"&gt;0")</f>
        <v>0</v>
      </c>
      <c r="AB32" s="13">
        <f>IFERROR(__xludf.DUMMYFUNCTION("IFERROR(MAX(FILTER('PretestData (Submission)'!I:I,'PretestData (Submission)'!D:D=A32,'PretestData (Submission)'!A:A=404,'PretestData (Submission)'!H:H&gt;0)),0)"),"0")</f>
        <v>0</v>
      </c>
      <c r="AC32" s="13">
        <f>COUNTIFS('PretestData (ViewVPL)'!C:C,"="&amp;A32,'PretestData (ViewVPL)'!B:B,"=404")</f>
        <v>11</v>
      </c>
      <c r="AD32" s="13">
        <f>IFERROR(__xludf.DUMMYFUNCTION("IFERROR(MAX(FILTER('PretestData (Loggedin)'!C:C,'PretestData (Loggedin)'!B:B=A32,'PretestData (Loggedin)'!C:C&lt;AE32)),0)"),"0")</f>
        <v>0</v>
      </c>
      <c r="AE32" s="13">
        <f>IFERROR(__xludf.DUMMYFUNCTION("IFERROR(MIN(FILTER({'PretestData (Submission)'!E:E}, 'PretestData (Submission)'!D:D=A32, 'PretestData (Submission)'!A:A=405, 'PretestData (Submission)'!E:E&gt;0)),0)"),"0")</f>
        <v>0</v>
      </c>
      <c r="AF32" s="13">
        <f>IFERROR(__xludf.DUMMYFUNCTION("IFERROR(MIN(FILTER('PretestData (ViewVPL)'!D:D, 'PretestData (ViewVPL)'!C:C=A32, 'PretestData (ViewVPL)'!B:B=405,'PretestData (ViewVPL)'!D:D&gt;AD32,'PretestData (ViewVPL)'!D:D&lt;AE32)),0)"),"0")</f>
        <v>0</v>
      </c>
      <c r="AG32" s="8">
        <f>IFERROR(__xludf.DUMMYFUNCTION("IFERROR(MAX(FILTER({'PretestData (Submission)'!E:E}, 'PretestData (Submission)'!D:D=A32, 'PretestData (Submission)'!A:A=405))-AF32,0)"),"0")</f>
        <v>0</v>
      </c>
      <c r="AH32" s="8">
        <f>COUNTIFS('PretestData (Submission)'!D:D,"="&amp;A32,'PretestData (Submission)'!A:A,"=405",'PretestData (Submission)'!E:E,"&gt;0")</f>
        <v>0</v>
      </c>
      <c r="AI32" s="8">
        <f>COUNTIFS('PretestData (Submission)'!D:D,"="&amp;A32,'PretestData (Submission)'!A:A,"=405",'PretestData (Submission)'!H:H,"&gt;0")</f>
        <v>0</v>
      </c>
      <c r="AJ32" s="8">
        <f>IFERROR(__xludf.DUMMYFUNCTION("IFERROR(MAX(FILTER('PretestData (Submission)'!I:I,'PretestData (Submission)'!D:D=A32,'PretestData (Submission)'!A:A=405,'PretestData (Submission)'!H:H&gt;0)),0)"),"0")</f>
        <v>0</v>
      </c>
      <c r="AK32" s="8">
        <f>COUNTIFS('PretestData (ViewVPL)'!C:C,"="&amp;A32,'PretestData (ViewVPL)'!B:B,"=405")</f>
        <v>3</v>
      </c>
      <c r="AL32" s="8"/>
      <c r="AM32" s="11"/>
      <c r="AN32" s="11"/>
      <c r="AO32" s="8"/>
      <c r="AP32" s="8"/>
      <c r="AQ32" s="8"/>
      <c r="AR32" s="8"/>
      <c r="AS32" s="11"/>
      <c r="AT32" s="11"/>
      <c r="AU32" s="11"/>
    </row>
    <row r="33">
      <c r="A33" s="7">
        <v>10140.0</v>
      </c>
      <c r="B33" s="3" t="s">
        <v>104</v>
      </c>
      <c r="C33" s="3" t="s">
        <v>107</v>
      </c>
      <c r="D33" s="3" t="s">
        <v>63</v>
      </c>
      <c r="E33" s="3"/>
      <c r="F33" s="2">
        <f>IFERROR(__xludf.DUMMYFUNCTION("IFERROR(MAX(FILTER('PretestData (Loggedin)'!C:C,'PretestData (Loggedin)'!B:B=A33,'PretestData (Loggedin)'!C:C&lt;G33)),0)"),"1478906156")</f>
        <v>1478906156</v>
      </c>
      <c r="G33" s="2">
        <f>IFERROR(__xludf.DUMMYFUNCTION("IFERROR(MIN(FILTER({'PretestData (Submission)'!E:E}, 'PretestData (Submission)'!D:D=A33, 'PretestData (Submission)'!A:A=401, 'PretestData (Submission)'!E:E&gt;0)),0)"),"1478908182")</f>
        <v>1478908182</v>
      </c>
      <c r="H33" s="2">
        <f>IFERROR(__xludf.DUMMYFUNCTION("IFERROR(MIN(FILTER('PretestData (ViewVPL)'!D:D, 'PretestData (ViewVPL)'!C:C=A33, 'PretestData (ViewVPL)'!B:B=401,'PretestData (ViewVPL)'!D:D&gt;F33,'PretestData (ViewVPL)'!D:D&lt;G33)),0)"),"1478906479")</f>
        <v>1478906479</v>
      </c>
      <c r="I33" s="2">
        <f>IFERROR(__xludf.DUMMYFUNCTION("IFERROR(MAX(FILTER({'PretestData (Submission)'!E:E}, 'PretestData (Submission)'!D:D=A33, 'PretestData (Submission)'!A:A=401))-H33, 0)"),"1703")</f>
        <v>1703</v>
      </c>
      <c r="J33" s="2">
        <f>COUNTIFS('PretestData (Submission)'!D:D,"="&amp;A33,'PretestData (Submission)'!A:A,"=401",'PretestData (Submission)'!E:E,"&gt;0")</f>
        <v>1</v>
      </c>
      <c r="K33" s="2">
        <f>COUNTIFS('PretestData (Submission)'!D:D,"="&amp;A33,'PretestData (Submission)'!A:A,"=401",'PretestData (Submission)'!H:H,"&gt;0")</f>
        <v>1</v>
      </c>
      <c r="L33" s="2">
        <f>IFERROR(__xludf.DUMMYFUNCTION("IFERROR(MAX(FILTER('PretestData (Submission)'!I:I,'PretestData (Submission)'!D:D=A33,'PretestData (Submission)'!A:A=401,'PretestData (Submission)'!H:H&gt;0)),0)"),"10")</f>
        <v>10</v>
      </c>
      <c r="M33" s="8">
        <f>COUNTIFS('PretestData (ViewVPL)'!C:C,"="&amp;A33,'PretestData (ViewVPL)'!B:B,"=401")</f>
        <v>9</v>
      </c>
      <c r="N33" s="13">
        <f>IFERROR(__xludf.DUMMYFUNCTION("IFERROR(MAX(FILTER('PretestData (Loggedin)'!C:C,'PretestData (Loggedin)'!B:B=A33,'PretestData (Loggedin)'!C:C&lt;O33)),0)"),"1478906156")</f>
        <v>1478906156</v>
      </c>
      <c r="O33" s="13">
        <f>IFERROR(__xludf.DUMMYFUNCTION("IFERROR(MIN(FILTER({'PretestData (Submission)'!E:E}, 'PretestData (Submission)'!D:D=A33, 'PretestData (Submission)'!A:A=403, 'PretestData (Submission)'!E:E&gt;0)),0)"),"1478908844")</f>
        <v>1478908844</v>
      </c>
      <c r="P33" s="13">
        <f>IFERROR(__xludf.DUMMYFUNCTION("IFERROR(MIN(FILTER('PretestData (ViewVPL)'!D:D, 'PretestData (ViewVPL)'!C:C=A33, 'PretestData (ViewVPL)'!B:B=403,'PretestData (ViewVPL)'!D:D&gt;N33,'PretestData (ViewVPL)'!D:D&lt;O33)),0)"),"1478908442")</f>
        <v>1478908442</v>
      </c>
      <c r="Q33" s="13">
        <f>IFERROR(__xludf.DUMMYFUNCTION("IFERROR(MAX(FILTER({'PretestData (Submission)'!E:E}, 'PretestData (Submission)'!D:D=A33, 'PretestData (Submission)'!A:A=403))-P33,0)"),"402")</f>
        <v>402</v>
      </c>
      <c r="R33" s="13">
        <f>COUNTIFS('PretestData (Submission)'!D:D,"="&amp;A33,'PretestData (Submission)'!A:A,"=403",'PretestData (Submission)'!E:E,"&gt;0")</f>
        <v>1</v>
      </c>
      <c r="S33" s="13">
        <f>COUNTIFS('PretestData (Submission)'!D:D,"="&amp;A33,'PretestData (Submission)'!A:A,"=403",'PretestData (Submission)'!H:H,"&gt;0")</f>
        <v>1</v>
      </c>
      <c r="T33" s="13">
        <f>IFERROR(__xludf.DUMMYFUNCTION("IFERROR(MAX(FILTER('PretestData (Submission)'!I:I,'PretestData (Submission)'!D:D=A33,'PretestData (Submission)'!A:A=403,'PretestData (Submission)'!H:H&gt;0)),0)"),"0")</f>
        <v>0</v>
      </c>
      <c r="U33" s="8">
        <f>COUNTIFS('PretestData (ViewVPL)'!C:C,"="&amp;A33,'PretestData (ViewVPL)'!B:B,"=403")</f>
        <v>12</v>
      </c>
      <c r="V33" s="13">
        <f>IFERROR(__xludf.DUMMYFUNCTION("IFERROR(MAX(FILTER('PretestData (Loggedin)'!C:C,'PretestData (Loggedin)'!B:B=A33,'PretestData (Loggedin)'!C:C&lt;W33)),0)"),"1478906156")</f>
        <v>1478906156</v>
      </c>
      <c r="W33" s="13">
        <f>IFERROR(__xludf.DUMMYFUNCTION("IFERROR(MIN(FILTER({'PretestData (Submission)'!E:E}, 'PretestData (Submission)'!D:D=A33, 'PretestData (Submission)'!A:A=404, 'PretestData (Submission)'!E:E&gt;0)),0)"),"1478910931")</f>
        <v>1478910931</v>
      </c>
      <c r="X33" s="13">
        <f>IFERROR(__xludf.DUMMYFUNCTION("IFERROR(MIN(FILTER('PretestData (ViewVPL)'!D:D, 'PretestData (ViewVPL)'!C:C=A33, 'PretestData (ViewVPL)'!B:B=404,'PretestData (ViewVPL)'!D:D&gt;V33,'PretestData (ViewVPL)'!D:D&lt;W33)),0)"),"1478909459")</f>
        <v>1478909459</v>
      </c>
      <c r="Y33" s="13">
        <f>IFERROR(__xludf.DUMMYFUNCTION("IFERROR(MAX(FILTER({'PretestData (Submission)'!E:E}, 'PretestData (Submission)'!D:D=A33, 'PretestData (Submission)'!A:A=404))-X33,0)"),"1472")</f>
        <v>1472</v>
      </c>
      <c r="Z33" s="13">
        <f>COUNTIFS('PretestData (Submission)'!D:D,"="&amp;A33,'PretestData (Submission)'!A:A,"=404",'PretestData (Submission)'!E:E,"&gt;0")</f>
        <v>1</v>
      </c>
      <c r="AA33" s="13">
        <f>COUNTIFS('PretestData (Submission)'!D:D,"="&amp;A33,'PretestData (Submission)'!A:A,"=404",'PretestData (Submission)'!H:H,"&gt;0")</f>
        <v>1</v>
      </c>
      <c r="AB33" s="13">
        <f>IFERROR(__xludf.DUMMYFUNCTION("IFERROR(MAX(FILTER('PretestData (Submission)'!I:I,'PretestData (Submission)'!D:D=A33,'PretestData (Submission)'!A:A=404,'PretestData (Submission)'!H:H&gt;0)),0)"),"0")</f>
        <v>0</v>
      </c>
      <c r="AC33" s="13">
        <f>COUNTIFS('PretestData (ViewVPL)'!C:C,"="&amp;A33,'PretestData (ViewVPL)'!B:B,"=404")</f>
        <v>3</v>
      </c>
      <c r="AD33" s="13">
        <f>IFERROR(__xludf.DUMMYFUNCTION("IFERROR(MAX(FILTER('PretestData (Loggedin)'!C:C,'PretestData (Loggedin)'!B:B=A33,'PretestData (Loggedin)'!C:C&lt;AE33)),0)"),"0")</f>
        <v>0</v>
      </c>
      <c r="AE33" s="13">
        <f>IFERROR(__xludf.DUMMYFUNCTION("IFERROR(MIN(FILTER({'PretestData (Submission)'!E:E}, 'PretestData (Submission)'!D:D=A33, 'PretestData (Submission)'!A:A=405, 'PretestData (Submission)'!E:E&gt;0)),0)"),"0")</f>
        <v>0</v>
      </c>
      <c r="AF33" s="13">
        <f>IFERROR(__xludf.DUMMYFUNCTION("IFERROR(MIN(FILTER('PretestData (ViewVPL)'!D:D, 'PretestData (ViewVPL)'!C:C=A33, 'PretestData (ViewVPL)'!B:B=405,'PretestData (ViewVPL)'!D:D&gt;AD33,'PretestData (ViewVPL)'!D:D&lt;AE33)),0)"),"0")</f>
        <v>0</v>
      </c>
      <c r="AG33" s="8">
        <f>IFERROR(__xludf.DUMMYFUNCTION("IFERROR(MAX(FILTER({'PretestData (Submission)'!E:E}, 'PretestData (Submission)'!D:D=A33, 'PretestData (Submission)'!A:A=405))-AF33,0)"),"0")</f>
        <v>0</v>
      </c>
      <c r="AH33" s="8">
        <f>COUNTIFS('PretestData (Submission)'!D:D,"="&amp;A33,'PretestData (Submission)'!A:A,"=405",'PretestData (Submission)'!E:E,"&gt;0")</f>
        <v>0</v>
      </c>
      <c r="AI33" s="8">
        <f>COUNTIFS('PretestData (Submission)'!D:D,"="&amp;A33,'PretestData (Submission)'!A:A,"=405",'PretestData (Submission)'!H:H,"&gt;0")</f>
        <v>0</v>
      </c>
      <c r="AJ33" s="8">
        <f>IFERROR(__xludf.DUMMYFUNCTION("IFERROR(MAX(FILTER('PretestData (Submission)'!I:I,'PretestData (Submission)'!D:D=A33,'PretestData (Submission)'!A:A=405,'PretestData (Submission)'!H:H&gt;0)),0)"),"0")</f>
        <v>0</v>
      </c>
      <c r="AK33" s="8">
        <f>COUNTIFS('PretestData (ViewVPL)'!C:C,"="&amp;A33,'PretestData (ViewVPL)'!B:B,"=405")</f>
        <v>0</v>
      </c>
      <c r="AL33" s="8"/>
      <c r="AM33" s="11"/>
      <c r="AN33" s="11"/>
      <c r="AO33" s="8"/>
      <c r="AP33" s="8"/>
      <c r="AQ33" s="8"/>
      <c r="AR33" s="8"/>
      <c r="AS33" s="11"/>
      <c r="AT33" s="11"/>
      <c r="AU33" s="11"/>
    </row>
    <row r="34">
      <c r="A34" s="15">
        <v>10130.0</v>
      </c>
      <c r="B34" s="16" t="s">
        <v>104</v>
      </c>
      <c r="C34" s="16" t="s">
        <v>107</v>
      </c>
      <c r="D34" s="16" t="s">
        <v>63</v>
      </c>
      <c r="E34" s="16"/>
      <c r="F34" s="2">
        <f>IFERROR(__xludf.DUMMYFUNCTION("IFERROR(MAX(FILTER('PretestData (Loggedin)'!C:C,'PretestData (Loggedin)'!B:B=A34,'PretestData (Loggedin)'!C:C&lt;G34)),0)"),"1478905783")</f>
        <v>1478905783</v>
      </c>
      <c r="G34" s="2">
        <f>IFERROR(__xludf.DUMMYFUNCTION("IFERROR(MIN(FILTER({'PretestData (Submission)'!E:E}, 'PretestData (Submission)'!D:D=A34, 'PretestData (Submission)'!A:A=401, 'PretestData (Submission)'!E:E&gt;0)),0)"),"1478907779")</f>
        <v>1478907779</v>
      </c>
      <c r="H34" s="2">
        <f>IFERROR(__xludf.DUMMYFUNCTION("IFERROR(MIN(FILTER('PretestData (ViewVPL)'!D:D, 'PretestData (ViewVPL)'!C:C=A34, 'PretestData (ViewVPL)'!B:B=401,'PretestData (ViewVPL)'!D:D&gt;F34,'PretestData (ViewVPL)'!D:D&lt;G34)),0)"),"1478906266")</f>
        <v>1478906266</v>
      </c>
      <c r="I34" s="2">
        <f>IFERROR(__xludf.DUMMYFUNCTION("IFERROR(MAX(FILTER({'PretestData (Submission)'!E:E}, 'PretestData (Submission)'!D:D=A34, 'PretestData (Submission)'!A:A=401))-H34, 0)"),"1513")</f>
        <v>1513</v>
      </c>
      <c r="J34" s="2">
        <f>COUNTIFS('PretestData (Submission)'!D:D,"="&amp;A34,'PretestData (Submission)'!A:A,"=401",'PretestData (Submission)'!E:E,"&gt;0")</f>
        <v>1</v>
      </c>
      <c r="K34" s="2">
        <f>COUNTIFS('PretestData (Submission)'!D:D,"="&amp;A34,'PretestData (Submission)'!A:A,"=401",'PretestData (Submission)'!H:H,"&gt;0")</f>
        <v>1</v>
      </c>
      <c r="L34" s="2">
        <f>IFERROR(__xludf.DUMMYFUNCTION("IFERROR(MAX(FILTER('PretestData (Submission)'!I:I,'PretestData (Submission)'!D:D=A34,'PretestData (Submission)'!A:A=401,'PretestData (Submission)'!H:H&gt;0)),0)"),"10")</f>
        <v>10</v>
      </c>
      <c r="M34" s="8">
        <f>COUNTIFS('PretestData (ViewVPL)'!C:C,"="&amp;A34,'PretestData (ViewVPL)'!B:B,"=401")</f>
        <v>5</v>
      </c>
      <c r="N34" s="13">
        <f>IFERROR(__xludf.DUMMYFUNCTION("IFERROR(MAX(FILTER('PretestData (Loggedin)'!C:C,'PretestData (Loggedin)'!B:B=A34,'PretestData (Loggedin)'!C:C&lt;O34)),0)"),"1478905783")</f>
        <v>1478905783</v>
      </c>
      <c r="O34" s="13">
        <f>IFERROR(__xludf.DUMMYFUNCTION("IFERROR(MIN(FILTER({'PretestData (Submission)'!E:E}, 'PretestData (Submission)'!D:D=A34, 'PretestData (Submission)'!A:A=403, 'PretestData (Submission)'!E:E&gt;0)),0)"),"1478908603")</f>
        <v>1478908603</v>
      </c>
      <c r="P34" s="13">
        <f>IFERROR(__xludf.DUMMYFUNCTION("IFERROR(MIN(FILTER('PretestData (ViewVPL)'!D:D, 'PretestData (ViewVPL)'!C:C=A34, 'PretestData (ViewVPL)'!B:B=403,'PretestData (ViewVPL)'!D:D&gt;N34,'PretestData (ViewVPL)'!D:D&lt;O34)),0)"),"1478907957")</f>
        <v>1478907957</v>
      </c>
      <c r="Q34" s="13">
        <f>IFERROR(__xludf.DUMMYFUNCTION("IFERROR(MAX(FILTER({'PretestData (Submission)'!E:E}, 'PretestData (Submission)'!D:D=A34, 'PretestData (Submission)'!A:A=403))-P34,0)"),"436480")</f>
        <v>436480</v>
      </c>
      <c r="R34" s="13">
        <f>COUNTIFS('PretestData (Submission)'!D:D,"="&amp;A34,'PretestData (Submission)'!A:A,"=403",'PretestData (Submission)'!E:E,"&gt;0")</f>
        <v>4</v>
      </c>
      <c r="S34" s="13">
        <f>COUNTIFS('PretestData (Submission)'!D:D,"="&amp;A34,'PretestData (Submission)'!A:A,"=403",'PretestData (Submission)'!H:H,"&gt;0")</f>
        <v>3</v>
      </c>
      <c r="T34" s="13">
        <f>IFERROR(__xludf.DUMMYFUNCTION("IFERROR(MAX(FILTER('PretestData (Submission)'!I:I,'PretestData (Submission)'!D:D=A34,'PretestData (Submission)'!A:A=403,'PretestData (Submission)'!H:H&gt;0)),0)"),"0")</f>
        <v>0</v>
      </c>
      <c r="U34" s="8">
        <f>COUNTIFS('PretestData (ViewVPL)'!C:C,"="&amp;A34,'PretestData (ViewVPL)'!B:B,"=403")</f>
        <v>10</v>
      </c>
      <c r="V34" s="13">
        <f>IFERROR(__xludf.DUMMYFUNCTION("IFERROR(MAX(FILTER('PretestData (Loggedin)'!C:C,'PretestData (Loggedin)'!B:B=A34,'PretestData (Loggedin)'!C:C&lt;W34)),0)"),"1479343164")</f>
        <v>1479343164</v>
      </c>
      <c r="W34" s="13">
        <f>IFERROR(__xludf.DUMMYFUNCTION("IFERROR(MIN(FILTER({'PretestData (Submission)'!E:E}, 'PretestData (Submission)'!D:D=A34, 'PretestData (Submission)'!A:A=404, 'PretestData (Submission)'!E:E&gt;0)),0)"),"1479343486")</f>
        <v>1479343486</v>
      </c>
      <c r="X34" s="13">
        <f>IFERROR(__xludf.DUMMYFUNCTION("IFERROR(MIN(FILTER('PretestData (ViewVPL)'!D:D, 'PretestData (ViewVPL)'!C:C=A34, 'PretestData (ViewVPL)'!B:B=404,'PretestData (ViewVPL)'!D:D&gt;V34,'PretestData (ViewVPL)'!D:D&lt;W34)),0)"),"1479343177")</f>
        <v>1479343177</v>
      </c>
      <c r="Y34" s="13">
        <f>IFERROR(__xludf.DUMMYFUNCTION("IFERROR(MAX(FILTER({'PretestData (Submission)'!E:E}, 'PretestData (Submission)'!D:D=A34, 'PretestData (Submission)'!A:A=404))-X34,0)"),"309")</f>
        <v>309</v>
      </c>
      <c r="Z34" s="13">
        <f>COUNTIFS('PretestData (Submission)'!D:D,"="&amp;A34,'PretestData (Submission)'!A:A,"=404",'PretestData (Submission)'!E:E,"&gt;0")</f>
        <v>1</v>
      </c>
      <c r="AA34" s="13">
        <f>COUNTIFS('PretestData (Submission)'!D:D,"="&amp;A34,'PretestData (Submission)'!A:A,"=404",'PretestData (Submission)'!H:H,"&gt;0")</f>
        <v>1</v>
      </c>
      <c r="AB34" s="13">
        <f>IFERROR(__xludf.DUMMYFUNCTION("IFERROR(MAX(FILTER('PretestData (Submission)'!I:I,'PretestData (Submission)'!D:D=A34,'PretestData (Submission)'!A:A=404,'PretestData (Submission)'!H:H&gt;0)),0)"),"0")</f>
        <v>0</v>
      </c>
      <c r="AC34" s="13">
        <f>COUNTIFS('PretestData (ViewVPL)'!C:C,"="&amp;A34,'PretestData (ViewVPL)'!B:B,"=404")</f>
        <v>7</v>
      </c>
      <c r="AD34" s="13">
        <f>IFERROR(__xludf.DUMMYFUNCTION("IFERROR(MAX(FILTER('PretestData (Loggedin)'!C:C,'PretestData (Loggedin)'!B:B=A34,'PretestData (Loggedin)'!C:C&lt;AE34)),0)"),"0")</f>
        <v>0</v>
      </c>
      <c r="AE34" s="13">
        <f>IFERROR(__xludf.DUMMYFUNCTION("IFERROR(MIN(FILTER({'PretestData (Submission)'!E:E}, 'PretestData (Submission)'!D:D=A34, 'PretestData (Submission)'!A:A=405, 'PretestData (Submission)'!E:E&gt;0)),0)"),"0")</f>
        <v>0</v>
      </c>
      <c r="AF34" s="13">
        <f>IFERROR(__xludf.DUMMYFUNCTION("IFERROR(MIN(FILTER('PretestData (ViewVPL)'!D:D, 'PretestData (ViewVPL)'!C:C=A34, 'PretestData (ViewVPL)'!B:B=405,'PretestData (ViewVPL)'!D:D&gt;AD34,'PretestData (ViewVPL)'!D:D&lt;AE34)),0)"),"0")</f>
        <v>0</v>
      </c>
      <c r="AG34" s="8">
        <f>IFERROR(__xludf.DUMMYFUNCTION("IFERROR(MAX(FILTER({'PretestData (Submission)'!E:E}, 'PretestData (Submission)'!D:D=A34, 'PretestData (Submission)'!A:A=405))-AF34,0)"),"0")</f>
        <v>0</v>
      </c>
      <c r="AH34" s="8">
        <f>COUNTIFS('PretestData (Submission)'!D:D,"="&amp;A34,'PretestData (Submission)'!A:A,"=405",'PretestData (Submission)'!E:E,"&gt;0")</f>
        <v>0</v>
      </c>
      <c r="AI34" s="8">
        <f>COUNTIFS('PretestData (Submission)'!D:D,"="&amp;A34,'PretestData (Submission)'!A:A,"=405",'PretestData (Submission)'!H:H,"&gt;0")</f>
        <v>0</v>
      </c>
      <c r="AJ34" s="8">
        <f>IFERROR(__xludf.DUMMYFUNCTION("IFERROR(MAX(FILTER('PretestData (Submission)'!I:I,'PretestData (Submission)'!D:D=A34,'PretestData (Submission)'!A:A=405,'PretestData (Submission)'!H:H&gt;0)),0)"),"0")</f>
        <v>0</v>
      </c>
      <c r="AK34" s="8">
        <f>COUNTIFS('PretestData (ViewVPL)'!C:C,"="&amp;A34,'PretestData (ViewVPL)'!B:B,"=405")</f>
        <v>0</v>
      </c>
      <c r="AL34" s="8"/>
      <c r="AM34" s="11"/>
      <c r="AN34" s="11"/>
      <c r="AO34" s="8"/>
      <c r="AP34" s="8"/>
      <c r="AQ34" s="8"/>
      <c r="AR34" s="8"/>
      <c r="AS34" s="11"/>
      <c r="AT34" s="11"/>
      <c r="AU34" s="11"/>
    </row>
    <row r="35">
      <c r="A35" s="15">
        <v>10136.0</v>
      </c>
      <c r="B35" s="16" t="s">
        <v>104</v>
      </c>
      <c r="C35" s="16" t="s">
        <v>107</v>
      </c>
      <c r="D35" s="16" t="s">
        <v>63</v>
      </c>
      <c r="E35" s="16"/>
      <c r="F35" s="2">
        <f>IFERROR(__xludf.DUMMYFUNCTION("IFERROR(MAX(FILTER('PretestData (Loggedin)'!C:C,'PretestData (Loggedin)'!B:B=A35,'PretestData (Loggedin)'!C:C&lt;G35)),0)"),"1478905875")</f>
        <v>1478905875</v>
      </c>
      <c r="G35" s="2">
        <f>IFERROR(__xludf.DUMMYFUNCTION("IFERROR(MIN(FILTER({'PretestData (Submission)'!E:E}, 'PretestData (Submission)'!D:D=A35, 'PretestData (Submission)'!A:A=401, 'PretestData (Submission)'!E:E&gt;0)),0)"),"1478906621")</f>
        <v>1478906621</v>
      </c>
      <c r="H35" s="2">
        <f>IFERROR(__xludf.DUMMYFUNCTION("IFERROR(MIN(FILTER('PretestData (ViewVPL)'!D:D, 'PretestData (ViewVPL)'!C:C=A35, 'PretestData (ViewVPL)'!B:B=401,'PretestData (ViewVPL)'!D:D&gt;F35,'PretestData (ViewVPL)'!D:D&lt;G35)),0)"),"1478906343")</f>
        <v>1478906343</v>
      </c>
      <c r="I35" s="2">
        <f>IFERROR(__xludf.DUMMYFUNCTION("IFERROR(MAX(FILTER({'PretestData (Submission)'!E:E}, 'PretestData (Submission)'!D:D=A35, 'PretestData (Submission)'!A:A=401))-H35, 0)"),"334")</f>
        <v>334</v>
      </c>
      <c r="J35" s="2">
        <f>COUNTIFS('PretestData (Submission)'!D:D,"="&amp;A35,'PretestData (Submission)'!A:A,"=401",'PretestData (Submission)'!E:E,"&gt;0")</f>
        <v>2</v>
      </c>
      <c r="K35" s="2">
        <f>COUNTIFS('PretestData (Submission)'!D:D,"="&amp;A35,'PretestData (Submission)'!A:A,"=401",'PretestData (Submission)'!H:H,"&gt;0")</f>
        <v>1</v>
      </c>
      <c r="L35" s="2">
        <f>IFERROR(__xludf.DUMMYFUNCTION("IFERROR(MAX(FILTER('PretestData (Submission)'!I:I,'PretestData (Submission)'!D:D=A35,'PretestData (Submission)'!A:A=401,'PretestData (Submission)'!H:H&gt;0)),0)"),"0")</f>
        <v>0</v>
      </c>
      <c r="M35" s="8">
        <f>COUNTIFS('PretestData (ViewVPL)'!C:C,"="&amp;A35,'PretestData (ViewVPL)'!B:B,"=401")</f>
        <v>5</v>
      </c>
      <c r="N35" s="13">
        <f>IFERROR(__xludf.DUMMYFUNCTION("IFERROR(MAX(FILTER('PretestData (Loggedin)'!C:C,'PretestData (Loggedin)'!B:B=A35,'PretestData (Loggedin)'!C:C&lt;O35)),0)"),"1478905875")</f>
        <v>1478905875</v>
      </c>
      <c r="O35" s="13">
        <f>IFERROR(__xludf.DUMMYFUNCTION("IFERROR(MIN(FILTER({'PretestData (Submission)'!E:E}, 'PretestData (Submission)'!D:D=A35, 'PretestData (Submission)'!A:A=403, 'PretestData (Submission)'!E:E&gt;0)),0)"),"1478907847")</f>
        <v>1478907847</v>
      </c>
      <c r="P35" s="13">
        <f>IFERROR(__xludf.DUMMYFUNCTION("IFERROR(MIN(FILTER('PretestData (ViewVPL)'!D:D, 'PretestData (ViewVPL)'!C:C=A35, 'PretestData (ViewVPL)'!B:B=403,'PretestData (ViewVPL)'!D:D&gt;N35,'PretestData (ViewVPL)'!D:D&lt;O35)),0)"),"1478907280")</f>
        <v>1478907280</v>
      </c>
      <c r="Q35" s="13">
        <f>IFERROR(__xludf.DUMMYFUNCTION("IFERROR(MAX(FILTER({'PretestData (Submission)'!E:E}, 'PretestData (Submission)'!D:D=A35, 'PretestData (Submission)'!A:A=403))-P35,0)"),"567")</f>
        <v>567</v>
      </c>
      <c r="R35" s="13">
        <f>COUNTIFS('PretestData (Submission)'!D:D,"="&amp;A35,'PretestData (Submission)'!A:A,"=403",'PretestData (Submission)'!E:E,"&gt;0")</f>
        <v>1</v>
      </c>
      <c r="S35" s="13">
        <f>COUNTIFS('PretestData (Submission)'!D:D,"="&amp;A35,'PretestData (Submission)'!A:A,"=403",'PretestData (Submission)'!H:H,"&gt;0")</f>
        <v>1</v>
      </c>
      <c r="T35" s="13">
        <f>IFERROR(__xludf.DUMMYFUNCTION("IFERROR(MAX(FILTER('PretestData (Submission)'!I:I,'PretestData (Submission)'!D:D=A35,'PretestData (Submission)'!A:A=403,'PretestData (Submission)'!H:H&gt;0)),0)"),"0")</f>
        <v>0</v>
      </c>
      <c r="U35" s="8">
        <f>COUNTIFS('PretestData (ViewVPL)'!C:C,"="&amp;A35,'PretestData (ViewVPL)'!B:B,"=403")</f>
        <v>6</v>
      </c>
      <c r="V35" s="13">
        <f>IFERROR(__xludf.DUMMYFUNCTION("IFERROR(MAX(FILTER('PretestData (Loggedin)'!C:C,'PretestData (Loggedin)'!B:B=A35,'PretestData (Loggedin)'!C:C&lt;W35)),0)"),"1478905875")</f>
        <v>1478905875</v>
      </c>
      <c r="W35" s="13">
        <f>IFERROR(__xludf.DUMMYFUNCTION("IFERROR(MIN(FILTER({'PretestData (Submission)'!E:E}, 'PretestData (Submission)'!D:D=A35, 'PretestData (Submission)'!A:A=404, 'PretestData (Submission)'!E:E&gt;0)),0)"),"1478909037")</f>
        <v>1478909037</v>
      </c>
      <c r="X35" s="13">
        <f>IFERROR(__xludf.DUMMYFUNCTION("IFERROR(MIN(FILTER('PretestData (ViewVPL)'!D:D, 'PretestData (ViewVPL)'!C:C=A35, 'PretestData (ViewVPL)'!B:B=404,'PretestData (ViewVPL)'!D:D&gt;V35,'PretestData (ViewVPL)'!D:D&lt;W35)),0)"),"1478908006")</f>
        <v>1478908006</v>
      </c>
      <c r="Y35" s="13">
        <f>IFERROR(__xludf.DUMMYFUNCTION("IFERROR(MAX(FILTER({'PretestData (Submission)'!E:E}, 'PretestData (Submission)'!D:D=A35, 'PretestData (Submission)'!A:A=404))-X35,0)"),"1031")</f>
        <v>1031</v>
      </c>
      <c r="Z35" s="13">
        <f>COUNTIFS('PretestData (Submission)'!D:D,"="&amp;A35,'PretestData (Submission)'!A:A,"=404",'PretestData (Submission)'!E:E,"&gt;0")</f>
        <v>1</v>
      </c>
      <c r="AA35" s="13">
        <f>COUNTIFS('PretestData (Submission)'!D:D,"="&amp;A35,'PretestData (Submission)'!A:A,"=404",'PretestData (Submission)'!H:H,"&gt;0")</f>
        <v>1</v>
      </c>
      <c r="AB35" s="13">
        <f>IFERROR(__xludf.DUMMYFUNCTION("IFERROR(MAX(FILTER('PretestData (Submission)'!I:I,'PretestData (Submission)'!D:D=A35,'PretestData (Submission)'!A:A=404,'PretestData (Submission)'!H:H&gt;0)),0)"),"0")</f>
        <v>0</v>
      </c>
      <c r="AC35" s="13">
        <f>COUNTIFS('PretestData (ViewVPL)'!C:C,"="&amp;A35,'PretestData (ViewVPL)'!B:B,"=404")</f>
        <v>2</v>
      </c>
      <c r="AD35" s="13">
        <f>IFERROR(__xludf.DUMMYFUNCTION("IFERROR(MAX(FILTER('PretestData (Loggedin)'!C:C,'PretestData (Loggedin)'!B:B=A35,'PretestData (Loggedin)'!C:C&lt;AE35)),0)"),"0")</f>
        <v>0</v>
      </c>
      <c r="AE35" s="13">
        <f>IFERROR(__xludf.DUMMYFUNCTION("IFERROR(MIN(FILTER({'PretestData (Submission)'!E:E}, 'PretestData (Submission)'!D:D=A35, 'PretestData (Submission)'!A:A=405, 'PretestData (Submission)'!E:E&gt;0)),0)"),"0")</f>
        <v>0</v>
      </c>
      <c r="AF35" s="13">
        <f>IFERROR(__xludf.DUMMYFUNCTION("IFERROR(MIN(FILTER('PretestData (ViewVPL)'!D:D, 'PretestData (ViewVPL)'!C:C=A35, 'PretestData (ViewVPL)'!B:B=405,'PretestData (ViewVPL)'!D:D&gt;AD35,'PretestData (ViewVPL)'!D:D&lt;AE35)),0)"),"0")</f>
        <v>0</v>
      </c>
      <c r="AG35" s="8">
        <f>IFERROR(__xludf.DUMMYFUNCTION("IFERROR(MAX(FILTER({'PretestData (Submission)'!E:E}, 'PretestData (Submission)'!D:D=A35, 'PretestData (Submission)'!A:A=405))-AF35,0)"),"0")</f>
        <v>0</v>
      </c>
      <c r="AH35" s="8">
        <f>COUNTIFS('PretestData (Submission)'!D:D,"="&amp;A35,'PretestData (Submission)'!A:A,"=405",'PretestData (Submission)'!E:E,"&gt;0")</f>
        <v>0</v>
      </c>
      <c r="AI35" s="8">
        <f>COUNTIFS('PretestData (Submission)'!D:D,"="&amp;A35,'PretestData (Submission)'!A:A,"=405",'PretestData (Submission)'!H:H,"&gt;0")</f>
        <v>0</v>
      </c>
      <c r="AJ35" s="8">
        <f>IFERROR(__xludf.DUMMYFUNCTION("IFERROR(MAX(FILTER('PretestData (Submission)'!I:I,'PretestData (Submission)'!D:D=A35,'PretestData (Submission)'!A:A=405,'PretestData (Submission)'!H:H&gt;0)),0)"),"0")</f>
        <v>0</v>
      </c>
      <c r="AK35" s="8">
        <f>COUNTIFS('PretestData (ViewVPL)'!C:C,"="&amp;A35,'PretestData (ViewVPL)'!B:B,"=405")</f>
        <v>1</v>
      </c>
      <c r="AL35" s="8"/>
      <c r="AM35" s="11"/>
      <c r="AN35" s="11"/>
      <c r="AO35" s="8"/>
      <c r="AP35" s="8"/>
      <c r="AQ35" s="8"/>
      <c r="AR35" s="8"/>
      <c r="AS35" s="11"/>
      <c r="AT35" s="11"/>
      <c r="AU35" s="11"/>
    </row>
    <row r="36">
      <c r="A36" s="15">
        <v>10154.0</v>
      </c>
      <c r="B36" s="16" t="s">
        <v>104</v>
      </c>
      <c r="C36" s="16" t="s">
        <v>107</v>
      </c>
      <c r="D36" s="16" t="s">
        <v>63</v>
      </c>
      <c r="E36" s="16"/>
      <c r="F36" s="2">
        <f>IFERROR(__xludf.DUMMYFUNCTION("IFERROR(MAX(FILTER('PretestData (Loggedin)'!C:C,'PretestData (Loggedin)'!B:B=A36,'PretestData (Loggedin)'!C:C&lt;G36)),0)"),"1478908390")</f>
        <v>1478908390</v>
      </c>
      <c r="G36" s="2">
        <f>IFERROR(__xludf.DUMMYFUNCTION("IFERROR(MIN(FILTER({'PretestData (Submission)'!E:E}, 'PretestData (Submission)'!D:D=A36, 'PretestData (Submission)'!A:A=401, 'PretestData (Submission)'!E:E&gt;0)),0)"),"1478911115")</f>
        <v>1478911115</v>
      </c>
      <c r="H36" s="2">
        <f>IFERROR(__xludf.DUMMYFUNCTION("IFERROR(MIN(FILTER('PretestData (ViewVPL)'!D:D, 'PretestData (ViewVPL)'!C:C=A36, 'PretestData (ViewVPL)'!B:B=401,'PretestData (ViewVPL)'!D:D&gt;F36,'PretestData (ViewVPL)'!D:D&lt;G36)),0)"),"1478908797")</f>
        <v>1478908797</v>
      </c>
      <c r="I36" s="2">
        <f>IFERROR(__xludf.DUMMYFUNCTION("IFERROR(MAX(FILTER({'PretestData (Submission)'!E:E}, 'PretestData (Submission)'!D:D=A36, 'PretestData (Submission)'!A:A=401))-H36, 0)"),"2318")</f>
        <v>2318</v>
      </c>
      <c r="J36" s="2">
        <f>COUNTIFS('PretestData (Submission)'!D:D,"="&amp;A36,'PretestData (Submission)'!A:A,"=401",'PretestData (Submission)'!E:E,"&gt;0")</f>
        <v>1</v>
      </c>
      <c r="K36" s="2">
        <f>COUNTIFS('PretestData (Submission)'!D:D,"="&amp;A36,'PretestData (Submission)'!A:A,"=401",'PretestData (Submission)'!H:H,"&gt;0")</f>
        <v>1</v>
      </c>
      <c r="L36" s="2">
        <f>IFERROR(__xludf.DUMMYFUNCTION("IFERROR(MAX(FILTER('PretestData (Submission)'!I:I,'PretestData (Submission)'!D:D=A36,'PretestData (Submission)'!A:A=401,'PretestData (Submission)'!H:H&gt;0)),0)"),"0")</f>
        <v>0</v>
      </c>
      <c r="M36" s="8">
        <f>COUNTIFS('PretestData (ViewVPL)'!C:C,"="&amp;A36,'PretestData (ViewVPL)'!B:B,"=401")</f>
        <v>3</v>
      </c>
      <c r="N36" s="13">
        <f>IFERROR(__xludf.DUMMYFUNCTION("IFERROR(MAX(FILTER('PretestData (Loggedin)'!C:C,'PretestData (Loggedin)'!B:B=A36,'PretestData (Loggedin)'!C:C&lt;O36)),0)"),"0")</f>
        <v>0</v>
      </c>
      <c r="O36" s="13">
        <f>IFERROR(__xludf.DUMMYFUNCTION("IFERROR(MIN(FILTER({'PretestData (Submission)'!E:E}, 'PretestData (Submission)'!D:D=A36, 'PretestData (Submission)'!A:A=403, 'PretestData (Submission)'!E:E&gt;0)),0)"),"0")</f>
        <v>0</v>
      </c>
      <c r="P36" s="13">
        <f>IFERROR(__xludf.DUMMYFUNCTION("IFERROR(MIN(FILTER('PretestData (ViewVPL)'!D:D, 'PretestData (ViewVPL)'!C:C=A36, 'PretestData (ViewVPL)'!B:B=403,'PretestData (ViewVPL)'!D:D&gt;N36,'PretestData (ViewVPL)'!D:D&lt;O36)),0)"),"0")</f>
        <v>0</v>
      </c>
      <c r="Q36" s="13">
        <f>IFERROR(__xludf.DUMMYFUNCTION("IFERROR(MAX(FILTER({'PretestData (Submission)'!E:E}, 'PretestData (Submission)'!D:D=A36, 'PretestData (Submission)'!A:A=403))-P36,0)"),"0")</f>
        <v>0</v>
      </c>
      <c r="R36" s="13">
        <f>COUNTIFS('PretestData (Submission)'!D:D,"="&amp;A36,'PretestData (Submission)'!A:A,"=403",'PretestData (Submission)'!E:E,"&gt;0")</f>
        <v>0</v>
      </c>
      <c r="S36" s="13">
        <f>COUNTIFS('PretestData (Submission)'!D:D,"="&amp;A36,'PretestData (Submission)'!A:A,"=403",'PretestData (Submission)'!H:H,"&gt;0")</f>
        <v>0</v>
      </c>
      <c r="T36" s="13">
        <f>IFERROR(__xludf.DUMMYFUNCTION("IFERROR(MAX(FILTER('PretestData (Submission)'!I:I,'PretestData (Submission)'!D:D=A36,'PretestData (Submission)'!A:A=403,'PretestData (Submission)'!H:H&gt;0)),0)"),"0")</f>
        <v>0</v>
      </c>
      <c r="U36" s="8">
        <f>COUNTIFS('PretestData (ViewVPL)'!C:C,"="&amp;A36,'PretestData (ViewVPL)'!B:B,"=403")</f>
        <v>0</v>
      </c>
      <c r="V36" s="13">
        <f>IFERROR(__xludf.DUMMYFUNCTION("IFERROR(MAX(FILTER('PretestData (Loggedin)'!C:C,'PretestData (Loggedin)'!B:B=A36,'PretestData (Loggedin)'!C:C&lt;W36)),0)"),"0")</f>
        <v>0</v>
      </c>
      <c r="W36" s="13">
        <f>IFERROR(__xludf.DUMMYFUNCTION("IFERROR(MIN(FILTER({'PretestData (Submission)'!E:E}, 'PretestData (Submission)'!D:D=A36, 'PretestData (Submission)'!A:A=404, 'PretestData (Submission)'!E:E&gt;0)),0)"),"0")</f>
        <v>0</v>
      </c>
      <c r="X36" s="13">
        <f>IFERROR(__xludf.DUMMYFUNCTION("IFERROR(MIN(FILTER('PretestData (ViewVPL)'!D:D, 'PretestData (ViewVPL)'!C:C=A36, 'PretestData (ViewVPL)'!B:B=404,'PretestData (ViewVPL)'!D:D&gt;V36,'PretestData (ViewVPL)'!D:D&lt;W36)),0)"),"0")</f>
        <v>0</v>
      </c>
      <c r="Y36" s="13">
        <f>IFERROR(__xludf.DUMMYFUNCTION("IFERROR(MAX(FILTER({'PretestData (Submission)'!E:E}, 'PretestData (Submission)'!D:D=A36, 'PretestData (Submission)'!A:A=404))-X36,0)"),"0")</f>
        <v>0</v>
      </c>
      <c r="Z36" s="13">
        <f>COUNTIFS('PretestData (Submission)'!D:D,"="&amp;A36,'PretestData (Submission)'!A:A,"=404",'PretestData (Submission)'!E:E,"&gt;0")</f>
        <v>0</v>
      </c>
      <c r="AA36" s="13">
        <f>COUNTIFS('PretestData (Submission)'!D:D,"="&amp;A36,'PretestData (Submission)'!A:A,"=404",'PretestData (Submission)'!H:H,"&gt;0")</f>
        <v>0</v>
      </c>
      <c r="AB36" s="13">
        <f>IFERROR(__xludf.DUMMYFUNCTION("IFERROR(MAX(FILTER('PretestData (Submission)'!I:I,'PretestData (Submission)'!D:D=A36,'PretestData (Submission)'!A:A=404,'PretestData (Submission)'!H:H&gt;0)),0)"),"0")</f>
        <v>0</v>
      </c>
      <c r="AC36" s="13">
        <f>COUNTIFS('PretestData (ViewVPL)'!C:C,"="&amp;A36,'PretestData (ViewVPL)'!B:B,"=404")</f>
        <v>0</v>
      </c>
      <c r="AD36" s="13">
        <f>IFERROR(__xludf.DUMMYFUNCTION("IFERROR(MAX(FILTER('PretestData (Loggedin)'!C:C,'PretestData (Loggedin)'!B:B=A36,'PretestData (Loggedin)'!C:C&lt;AE36)),0)"),"0")</f>
        <v>0</v>
      </c>
      <c r="AE36" s="13">
        <f>IFERROR(__xludf.DUMMYFUNCTION("IFERROR(MIN(FILTER({'PretestData (Submission)'!E:E}, 'PretestData (Submission)'!D:D=A36, 'PretestData (Submission)'!A:A=405, 'PretestData (Submission)'!E:E&gt;0)),0)"),"0")</f>
        <v>0</v>
      </c>
      <c r="AF36" s="13">
        <f>IFERROR(__xludf.DUMMYFUNCTION("IFERROR(MIN(FILTER('PretestData (ViewVPL)'!D:D, 'PretestData (ViewVPL)'!C:C=A36, 'PretestData (ViewVPL)'!B:B=405,'PretestData (ViewVPL)'!D:D&gt;AD36,'PretestData (ViewVPL)'!D:D&lt;AE36)),0)"),"0")</f>
        <v>0</v>
      </c>
      <c r="AG36" s="8">
        <f>IFERROR(__xludf.DUMMYFUNCTION("IFERROR(MAX(FILTER({'PretestData (Submission)'!E:E}, 'PretestData (Submission)'!D:D=A36, 'PretestData (Submission)'!A:A=405))-AF36,0)"),"0")</f>
        <v>0</v>
      </c>
      <c r="AH36" s="8">
        <f>COUNTIFS('PretestData (Submission)'!D:D,"="&amp;A36,'PretestData (Submission)'!A:A,"=405",'PretestData (Submission)'!E:E,"&gt;0")</f>
        <v>0</v>
      </c>
      <c r="AI36" s="8">
        <f>COUNTIFS('PretestData (Submission)'!D:D,"="&amp;A36,'PretestData (Submission)'!A:A,"=405",'PretestData (Submission)'!H:H,"&gt;0")</f>
        <v>0</v>
      </c>
      <c r="AJ36" s="8">
        <f>IFERROR(__xludf.DUMMYFUNCTION("IFERROR(MAX(FILTER('PretestData (Submission)'!I:I,'PretestData (Submission)'!D:D=A36,'PretestData (Submission)'!A:A=405,'PretestData (Submission)'!H:H&gt;0)),0)"),"0")</f>
        <v>0</v>
      </c>
      <c r="AK36" s="8">
        <f>COUNTIFS('PretestData (ViewVPL)'!C:C,"="&amp;A36,'PretestData (ViewVPL)'!B:B,"=405")</f>
        <v>0</v>
      </c>
      <c r="AL36" s="8"/>
      <c r="AM36" s="11"/>
      <c r="AN36" s="11"/>
      <c r="AO36" s="8"/>
      <c r="AP36" s="8"/>
      <c r="AQ36" s="8"/>
      <c r="AR36" s="8"/>
      <c r="AS36" s="11"/>
      <c r="AT36" s="11"/>
      <c r="AU36" s="11"/>
    </row>
    <row r="37">
      <c r="A37" s="15">
        <v>10116.0</v>
      </c>
      <c r="B37" s="16" t="s">
        <v>104</v>
      </c>
      <c r="C37" s="16" t="s">
        <v>107</v>
      </c>
      <c r="D37" s="16" t="s">
        <v>47</v>
      </c>
      <c r="E37" s="16"/>
      <c r="F37" s="2">
        <f>IFERROR(__xludf.DUMMYFUNCTION("IFERROR(MAX(FILTER('PretestData (Loggedin)'!C:C,'PretestData (Loggedin)'!B:B=A37,'PretestData (Loggedin)'!C:C&lt;G37)),0)"),"1478905604")</f>
        <v>1478905604</v>
      </c>
      <c r="G37" s="2">
        <f>IFERROR(__xludf.DUMMYFUNCTION("IFERROR(MIN(FILTER({'PretestData (Submission)'!E:E}, 'PretestData (Submission)'!D:D=A37, 'PretestData (Submission)'!A:A=401, 'PretestData (Submission)'!E:E&gt;0)),0)"),"1478906451")</f>
        <v>1478906451</v>
      </c>
      <c r="H37" s="2">
        <f>IFERROR(__xludf.DUMMYFUNCTION("IFERROR(MIN(FILTER('PretestData (ViewVPL)'!D:D, 'PretestData (ViewVPL)'!C:C=A37, 'PretestData (ViewVPL)'!B:B=401,'PretestData (ViewVPL)'!D:D&gt;F37,'PretestData (ViewVPL)'!D:D&lt;G37)),0)"),"1478906198")</f>
        <v>1478906198</v>
      </c>
      <c r="I37" s="2">
        <f>IFERROR(__xludf.DUMMYFUNCTION("IFERROR(MAX(FILTER({'PretestData (Submission)'!E:E}, 'PretestData (Submission)'!D:D=A37, 'PretestData (Submission)'!A:A=401))-H37, 0)"),"875")</f>
        <v>875</v>
      </c>
      <c r="J37" s="2">
        <f>COUNTIFS('PretestData (Submission)'!D:D,"="&amp;A37,'PretestData (Submission)'!A:A,"=401",'PretestData (Submission)'!E:E,"&gt;0")</f>
        <v>3</v>
      </c>
      <c r="K37" s="2">
        <f>COUNTIFS('PretestData (Submission)'!D:D,"="&amp;A37,'PretestData (Submission)'!A:A,"=401",'PretestData (Submission)'!H:H,"&gt;0")</f>
        <v>2</v>
      </c>
      <c r="L37" s="2">
        <f>IFERROR(__xludf.DUMMYFUNCTION("IFERROR(MAX(FILTER('PretestData (Submission)'!I:I,'PretestData (Submission)'!D:D=A37,'PretestData (Submission)'!A:A=401,'PretestData (Submission)'!H:H&gt;0)),0)"),"10")</f>
        <v>10</v>
      </c>
      <c r="M37" s="8">
        <f>COUNTIFS('PretestData (ViewVPL)'!C:C,"="&amp;A37,'PretestData (ViewVPL)'!B:B,"=401")</f>
        <v>10</v>
      </c>
      <c r="N37" s="13">
        <f>IFERROR(__xludf.DUMMYFUNCTION("IFERROR(MAX(FILTER('PretestData (Loggedin)'!C:C,'PretestData (Loggedin)'!B:B=A37,'PretestData (Loggedin)'!C:C&lt;O37)),0)"),"1478905604")</f>
        <v>1478905604</v>
      </c>
      <c r="O37" s="13">
        <f>IFERROR(__xludf.DUMMYFUNCTION("IFERROR(MIN(FILTER({'PretestData (Submission)'!E:E}, 'PretestData (Submission)'!D:D=A37, 'PretestData (Submission)'!A:A=403, 'PretestData (Submission)'!E:E&gt;0)),0)"),"1478907243")</f>
        <v>1478907243</v>
      </c>
      <c r="P37" s="13">
        <f>IFERROR(__xludf.DUMMYFUNCTION("IFERROR(MIN(FILTER('PretestData (ViewVPL)'!D:D, 'PretestData (ViewVPL)'!C:C=A37, 'PretestData (ViewVPL)'!B:B=403,'PretestData (ViewVPL)'!D:D&gt;N37,'PretestData (ViewVPL)'!D:D&lt;O37)),0)"),"1478906527")</f>
        <v>1478906527</v>
      </c>
      <c r="Q37" s="13">
        <f>IFERROR(__xludf.DUMMYFUNCTION("IFERROR(MAX(FILTER({'PretestData (Submission)'!E:E}, 'PretestData (Submission)'!D:D=A37, 'PretestData (Submission)'!A:A=403))-P37,0)"),"969")</f>
        <v>969</v>
      </c>
      <c r="R37" s="13">
        <f>COUNTIFS('PretestData (Submission)'!D:D,"="&amp;A37,'PretestData (Submission)'!A:A,"=403",'PretestData (Submission)'!E:E,"&gt;0")</f>
        <v>6</v>
      </c>
      <c r="S37" s="13">
        <f>COUNTIFS('PretestData (Submission)'!D:D,"="&amp;A37,'PretestData (Submission)'!A:A,"=403",'PretestData (Submission)'!H:H,"&gt;0")</f>
        <v>1</v>
      </c>
      <c r="T37" s="13">
        <f>IFERROR(__xludf.DUMMYFUNCTION("IFERROR(MAX(FILTER('PretestData (Submission)'!I:I,'PretestData (Submission)'!D:D=A37,'PretestData (Submission)'!A:A=403,'PretestData (Submission)'!H:H&gt;0)),0)"),"10")</f>
        <v>10</v>
      </c>
      <c r="U37" s="8">
        <f>COUNTIFS('PretestData (ViewVPL)'!C:C,"="&amp;A37,'PretestData (ViewVPL)'!B:B,"=403")</f>
        <v>3</v>
      </c>
      <c r="V37" s="13">
        <f>IFERROR(__xludf.DUMMYFUNCTION("IFERROR(MAX(FILTER('PretestData (Loggedin)'!C:C,'PretestData (Loggedin)'!B:B=A37,'PretestData (Loggedin)'!C:C&lt;W37)),0)"),"1478905604")</f>
        <v>1478905604</v>
      </c>
      <c r="W37" s="13">
        <f>IFERROR(__xludf.DUMMYFUNCTION("IFERROR(MIN(FILTER({'PretestData (Submission)'!E:E}, 'PretestData (Submission)'!D:D=A37, 'PretestData (Submission)'!A:A=404, 'PretestData (Submission)'!E:E&gt;0)),0)"),"1478908666")</f>
        <v>1478908666</v>
      </c>
      <c r="X37" s="13">
        <f>IFERROR(__xludf.DUMMYFUNCTION("IFERROR(MIN(FILTER('PretestData (ViewVPL)'!D:D, 'PretestData (ViewVPL)'!C:C=A37, 'PretestData (ViewVPL)'!B:B=404,'PretestData (ViewVPL)'!D:D&gt;V37,'PretestData (ViewVPL)'!D:D&lt;W37)),0)"),"1478907563")</f>
        <v>1478907563</v>
      </c>
      <c r="Y37" s="13">
        <f>IFERROR(__xludf.DUMMYFUNCTION("IFERROR(MAX(FILTER({'PretestData (Submission)'!E:E}, 'PretestData (Submission)'!D:D=A37, 'PretestData (Submission)'!A:A=404))-X37,0)"),"252019")</f>
        <v>252019</v>
      </c>
      <c r="Z37" s="13">
        <f>COUNTIFS('PretestData (Submission)'!D:D,"="&amp;A37,'PretestData (Submission)'!A:A,"=404",'PretestData (Submission)'!E:E,"&gt;0")</f>
        <v>21</v>
      </c>
      <c r="AA37" s="13">
        <f>COUNTIFS('PretestData (Submission)'!D:D,"="&amp;A37,'PretestData (Submission)'!A:A,"=404",'PretestData (Submission)'!H:H,"&gt;0")</f>
        <v>4</v>
      </c>
      <c r="AB37" s="13">
        <f>IFERROR(__xludf.DUMMYFUNCTION("IFERROR(MAX(FILTER('PretestData (Submission)'!I:I,'PretestData (Submission)'!D:D=A37,'PretestData (Submission)'!A:A=404,'PretestData (Submission)'!H:H&gt;0)),0)"),"10")</f>
        <v>10</v>
      </c>
      <c r="AC37" s="13">
        <f>COUNTIFS('PretestData (ViewVPL)'!C:C,"="&amp;A37,'PretestData (ViewVPL)'!B:B,"=404")</f>
        <v>14</v>
      </c>
      <c r="AD37" s="13">
        <f>IFERROR(__xludf.DUMMYFUNCTION("IFERROR(MAX(FILTER('PretestData (Loggedin)'!C:C,'PretestData (Loggedin)'!B:B=A37,'PretestData (Loggedin)'!C:C&lt;AE37)),0)"),"0")</f>
        <v>0</v>
      </c>
      <c r="AE37" s="13">
        <f>IFERROR(__xludf.DUMMYFUNCTION("IFERROR(MIN(FILTER({'PretestData (Submission)'!E:E}, 'PretestData (Submission)'!D:D=A37, 'PretestData (Submission)'!A:A=405, 'PretestData (Submission)'!E:E&gt;0)),0)"),"0")</f>
        <v>0</v>
      </c>
      <c r="AF37" s="13">
        <f>IFERROR(__xludf.DUMMYFUNCTION("IFERROR(MIN(FILTER('PretestData (ViewVPL)'!D:D, 'PretestData (ViewVPL)'!C:C=A37, 'PretestData (ViewVPL)'!B:B=405,'PretestData (ViewVPL)'!D:D&gt;AD37,'PretestData (ViewVPL)'!D:D&lt;AE37)),0)"),"0")</f>
        <v>0</v>
      </c>
      <c r="AG37" s="8">
        <f>IFERROR(__xludf.DUMMYFUNCTION("IFERROR(MAX(FILTER({'PretestData (Submission)'!E:E}, 'PretestData (Submission)'!D:D=A37, 'PretestData (Submission)'!A:A=405))-AF37,0)"),"0")</f>
        <v>0</v>
      </c>
      <c r="AH37" s="8">
        <f>COUNTIFS('PretestData (Submission)'!D:D,"="&amp;A37,'PretestData (Submission)'!A:A,"=405",'PretestData (Submission)'!E:E,"&gt;0")</f>
        <v>0</v>
      </c>
      <c r="AI37" s="8">
        <f>COUNTIFS('PretestData (Submission)'!D:D,"="&amp;A37,'PretestData (Submission)'!A:A,"=405",'PretestData (Submission)'!H:H,"&gt;0")</f>
        <v>0</v>
      </c>
      <c r="AJ37" s="8">
        <f>IFERROR(__xludf.DUMMYFUNCTION("IFERROR(MAX(FILTER('PretestData (Submission)'!I:I,'PretestData (Submission)'!D:D=A37,'PretestData (Submission)'!A:A=405,'PretestData (Submission)'!H:H&gt;0)),0)"),"0")</f>
        <v>0</v>
      </c>
      <c r="AK37" s="8">
        <f>COUNTIFS('PretestData (ViewVPL)'!C:C,"="&amp;A37,'PretestData (ViewVPL)'!B:B,"=405")</f>
        <v>2</v>
      </c>
      <c r="AL37" s="8"/>
      <c r="AM37" s="11"/>
      <c r="AN37" s="11"/>
      <c r="AO37" s="8"/>
      <c r="AP37" s="8"/>
      <c r="AQ37" s="8"/>
      <c r="AR37" s="8"/>
      <c r="AS37" s="11"/>
      <c r="AT37" s="11"/>
      <c r="AU37" s="11"/>
    </row>
    <row r="38">
      <c r="A38" s="15">
        <v>10160.0</v>
      </c>
      <c r="B38" s="16" t="s">
        <v>104</v>
      </c>
      <c r="C38" s="16" t="s">
        <v>108</v>
      </c>
      <c r="D38" s="16" t="s">
        <v>47</v>
      </c>
      <c r="E38" s="16"/>
      <c r="F38" s="2">
        <f>IFERROR(__xludf.DUMMYFUNCTION("IFERROR(MAX(FILTER('PretestData (Loggedin)'!C:C,'PretestData (Loggedin)'!B:B=A38,'PretestData (Loggedin)'!C:C&lt;G38)),0)"),"0")</f>
        <v>0</v>
      </c>
      <c r="G38" s="2">
        <f>IFERROR(__xludf.DUMMYFUNCTION("IFERROR(MIN(FILTER({'PretestData (Submission)'!E:E}, 'PretestData (Submission)'!D:D=A38, 'PretestData (Submission)'!A:A=401, 'PretestData (Submission)'!E:E&gt;0)),0)"),"0")</f>
        <v>0</v>
      </c>
      <c r="H38" s="2">
        <f>IFERROR(__xludf.DUMMYFUNCTION("IFERROR(MIN(FILTER('PretestData (ViewVPL)'!D:D, 'PretestData (ViewVPL)'!C:C=A38, 'PretestData (ViewVPL)'!B:B=401,'PretestData (ViewVPL)'!D:D&gt;F38,'PretestData (ViewVPL)'!D:D&lt;G38)),0)"),"0")</f>
        <v>0</v>
      </c>
      <c r="I38" s="2">
        <f>IFERROR(__xludf.DUMMYFUNCTION("IFERROR(MAX(FILTER({'PretestData (Submission)'!E:E}, 'PretestData (Submission)'!D:D=A38, 'PretestData (Submission)'!A:A=401))-H38, 0)"),"0")</f>
        <v>0</v>
      </c>
      <c r="J38" s="2">
        <f>COUNTIFS('PretestData (Submission)'!D:D,"="&amp;A38,'PretestData (Submission)'!A:A,"=401",'PretestData (Submission)'!E:E,"&gt;0")</f>
        <v>0</v>
      </c>
      <c r="K38" s="2">
        <f>COUNTIFS('PretestData (Submission)'!D:D,"="&amp;A38,'PretestData (Submission)'!A:A,"=401",'PretestData (Submission)'!H:H,"&gt;0")</f>
        <v>0</v>
      </c>
      <c r="L38" s="2">
        <f>IFERROR(__xludf.DUMMYFUNCTION("IFERROR(MAX(FILTER('PretestData (Submission)'!I:I,'PretestData (Submission)'!D:D=A38,'PretestData (Submission)'!A:A=401,'PretestData (Submission)'!H:H&gt;0)),0)"),"0")</f>
        <v>0</v>
      </c>
      <c r="M38" s="8">
        <f>COUNTIFS('PretestData (ViewVPL)'!C:C,"="&amp;A38,'PretestData (ViewVPL)'!B:B,"=401")</f>
        <v>0</v>
      </c>
      <c r="N38" s="13">
        <f>IFERROR(__xludf.DUMMYFUNCTION("IFERROR(MAX(FILTER('PretestData (Loggedin)'!C:C,'PretestData (Loggedin)'!B:B=A38,'PretestData (Loggedin)'!C:C&lt;O38)),0)"),"0")</f>
        <v>0</v>
      </c>
      <c r="O38" s="13">
        <f>IFERROR(__xludf.DUMMYFUNCTION("IFERROR(MIN(FILTER({'PretestData (Submission)'!E:E}, 'PretestData (Submission)'!D:D=A38, 'PretestData (Submission)'!A:A=403, 'PretestData (Submission)'!E:E&gt;0)),0)"),"0")</f>
        <v>0</v>
      </c>
      <c r="P38" s="13">
        <f>IFERROR(__xludf.DUMMYFUNCTION("IFERROR(MIN(FILTER('PretestData (ViewVPL)'!D:D, 'PretestData (ViewVPL)'!C:C=A38, 'PretestData (ViewVPL)'!B:B=403,'PretestData (ViewVPL)'!D:D&gt;N38,'PretestData (ViewVPL)'!D:D&lt;O38)),0)"),"0")</f>
        <v>0</v>
      </c>
      <c r="Q38" s="13">
        <f>IFERROR(__xludf.DUMMYFUNCTION("IFERROR(MAX(FILTER({'PretestData (Submission)'!E:E}, 'PretestData (Submission)'!D:D=A38, 'PretestData (Submission)'!A:A=403))-P38,0)"),"0")</f>
        <v>0</v>
      </c>
      <c r="R38" s="13">
        <f>COUNTIFS('PretestData (Submission)'!D:D,"="&amp;A38,'PretestData (Submission)'!A:A,"=403",'PretestData (Submission)'!E:E,"&gt;0")</f>
        <v>0</v>
      </c>
      <c r="S38" s="13">
        <f>COUNTIFS('PretestData (Submission)'!D:D,"="&amp;A38,'PretestData (Submission)'!A:A,"=403",'PretestData (Submission)'!H:H,"&gt;0")</f>
        <v>0</v>
      </c>
      <c r="T38" s="13">
        <f>IFERROR(__xludf.DUMMYFUNCTION("IFERROR(MAX(FILTER('PretestData (Submission)'!I:I,'PretestData (Submission)'!D:D=A38,'PretestData (Submission)'!A:A=403,'PretestData (Submission)'!H:H&gt;0)),0)"),"0")</f>
        <v>0</v>
      </c>
      <c r="U38" s="8">
        <f>COUNTIFS('PretestData (ViewVPL)'!C:C,"="&amp;A38,'PretestData (ViewVPL)'!B:B,"=403")</f>
        <v>0</v>
      </c>
      <c r="V38" s="13">
        <f>IFERROR(__xludf.DUMMYFUNCTION("IFERROR(MAX(FILTER('PretestData (Loggedin)'!C:C,'PretestData (Loggedin)'!B:B=A38,'PretestData (Loggedin)'!C:C&lt;W38)),0)"),"0")</f>
        <v>0</v>
      </c>
      <c r="W38" s="13">
        <f>IFERROR(__xludf.DUMMYFUNCTION("IFERROR(MIN(FILTER({'PretestData (Submission)'!E:E}, 'PretestData (Submission)'!D:D=A38, 'PretestData (Submission)'!A:A=404, 'PretestData (Submission)'!E:E&gt;0)),0)"),"0")</f>
        <v>0</v>
      </c>
      <c r="X38" s="13">
        <f>IFERROR(__xludf.DUMMYFUNCTION("IFERROR(MIN(FILTER('PretestData (ViewVPL)'!D:D, 'PretestData (ViewVPL)'!C:C=A38, 'PretestData (ViewVPL)'!B:B=404,'PretestData (ViewVPL)'!D:D&gt;V38,'PretestData (ViewVPL)'!D:D&lt;W38)),0)"),"0")</f>
        <v>0</v>
      </c>
      <c r="Y38" s="13">
        <f>IFERROR(__xludf.DUMMYFUNCTION("IFERROR(MAX(FILTER({'PretestData (Submission)'!E:E}, 'PretestData (Submission)'!D:D=A38, 'PretestData (Submission)'!A:A=404))-X38,0)"),"0")</f>
        <v>0</v>
      </c>
      <c r="Z38" s="13">
        <f>COUNTIFS('PretestData (Submission)'!D:D,"="&amp;A38,'PretestData (Submission)'!A:A,"=404",'PretestData (Submission)'!E:E,"&gt;0")</f>
        <v>0</v>
      </c>
      <c r="AA38" s="13">
        <f>COUNTIFS('PretestData (Submission)'!D:D,"="&amp;A38,'PretestData (Submission)'!A:A,"=404",'PretestData (Submission)'!H:H,"&gt;0")</f>
        <v>0</v>
      </c>
      <c r="AB38" s="13">
        <f>IFERROR(__xludf.DUMMYFUNCTION("IFERROR(MAX(FILTER('PretestData (Submission)'!I:I,'PretestData (Submission)'!D:D=A38,'PretestData (Submission)'!A:A=404,'PretestData (Submission)'!H:H&gt;0)),0)"),"0")</f>
        <v>0</v>
      </c>
      <c r="AC38" s="13">
        <f>COUNTIFS('PretestData (ViewVPL)'!C:C,"="&amp;A38,'PretestData (ViewVPL)'!B:B,"=404")</f>
        <v>0</v>
      </c>
      <c r="AD38" s="13">
        <f>IFERROR(__xludf.DUMMYFUNCTION("IFERROR(MAX(FILTER('PretestData (Loggedin)'!C:C,'PretestData (Loggedin)'!B:B=A38,'PretestData (Loggedin)'!C:C&lt;AE38)),0)"),"0")</f>
        <v>0</v>
      </c>
      <c r="AE38" s="13">
        <f>IFERROR(__xludf.DUMMYFUNCTION("IFERROR(MIN(FILTER({'PretestData (Submission)'!E:E}, 'PretestData (Submission)'!D:D=A38, 'PretestData (Submission)'!A:A=405, 'PretestData (Submission)'!E:E&gt;0)),0)"),"0")</f>
        <v>0</v>
      </c>
      <c r="AF38" s="13">
        <f>IFERROR(__xludf.DUMMYFUNCTION("IFERROR(MIN(FILTER('PretestData (ViewVPL)'!D:D, 'PretestData (ViewVPL)'!C:C=A38, 'PretestData (ViewVPL)'!B:B=405,'PretestData (ViewVPL)'!D:D&gt;AD38,'PretestData (ViewVPL)'!D:D&lt;AE38)),0)"),"0")</f>
        <v>0</v>
      </c>
      <c r="AG38" s="8">
        <f>IFERROR(__xludf.DUMMYFUNCTION("IFERROR(MAX(FILTER({'PretestData (Submission)'!E:E}, 'PretestData (Submission)'!D:D=A38, 'PretestData (Submission)'!A:A=405))-AF38,0)"),"0")</f>
        <v>0</v>
      </c>
      <c r="AH38" s="8">
        <f>COUNTIFS('PretestData (Submission)'!D:D,"="&amp;A38,'PretestData (Submission)'!A:A,"=405",'PretestData (Submission)'!E:E,"&gt;0")</f>
        <v>0</v>
      </c>
      <c r="AI38" s="8">
        <f>COUNTIFS('PretestData (Submission)'!D:D,"="&amp;A38,'PretestData (Submission)'!A:A,"=405",'PretestData (Submission)'!H:H,"&gt;0")</f>
        <v>0</v>
      </c>
      <c r="AJ38" s="8">
        <f>IFERROR(__xludf.DUMMYFUNCTION("IFERROR(MAX(FILTER('PretestData (Submission)'!I:I,'PretestData (Submission)'!D:D=A38,'PretestData (Submission)'!A:A=405,'PretestData (Submission)'!H:H&gt;0)),0)"),"0")</f>
        <v>0</v>
      </c>
      <c r="AK38" s="8">
        <f>COUNTIFS('PretestData (ViewVPL)'!C:C,"="&amp;A38,'PretestData (ViewVPL)'!B:B,"=405")</f>
        <v>0</v>
      </c>
      <c r="AL38" s="8"/>
      <c r="AM38" s="11"/>
      <c r="AN38" s="11"/>
      <c r="AO38" s="8"/>
      <c r="AP38" s="8"/>
      <c r="AQ38" s="8"/>
      <c r="AR38" s="8"/>
      <c r="AS38" s="11"/>
      <c r="AT38" s="11"/>
      <c r="AU38" s="11"/>
    </row>
    <row r="39">
      <c r="A39" s="15">
        <v>10159.0</v>
      </c>
      <c r="B39" s="16" t="s">
        <v>104</v>
      </c>
      <c r="C39" s="16" t="s">
        <v>108</v>
      </c>
      <c r="D39" s="16" t="s">
        <v>63</v>
      </c>
      <c r="E39" s="16"/>
      <c r="F39" s="2">
        <f>IFERROR(__xludf.DUMMYFUNCTION("IFERROR(MAX(FILTER('PretestData (Loggedin)'!C:C,'PretestData (Loggedin)'!B:B=A39,'PretestData (Loggedin)'!C:C&lt;G39)),0)"),"0")</f>
        <v>0</v>
      </c>
      <c r="G39" s="2">
        <f>IFERROR(__xludf.DUMMYFUNCTION("IFERROR(MIN(FILTER({'PretestData (Submission)'!E:E}, 'PretestData (Submission)'!D:D=A39, 'PretestData (Submission)'!A:A=401, 'PretestData (Submission)'!E:E&gt;0)),0)"),"0")</f>
        <v>0</v>
      </c>
      <c r="H39" s="2">
        <f>IFERROR(__xludf.DUMMYFUNCTION("IFERROR(MIN(FILTER('PretestData (ViewVPL)'!D:D, 'PretestData (ViewVPL)'!C:C=A39, 'PretestData (ViewVPL)'!B:B=401,'PretestData (ViewVPL)'!D:D&gt;F39,'PretestData (ViewVPL)'!D:D&lt;G39)),0)"),"0")</f>
        <v>0</v>
      </c>
      <c r="I39" s="2">
        <f>IFERROR(__xludf.DUMMYFUNCTION("IFERROR(MAX(FILTER({'PretestData (Submission)'!E:E}, 'PretestData (Submission)'!D:D=A39, 'PretestData (Submission)'!A:A=401))-H39, 0)"),"0")</f>
        <v>0</v>
      </c>
      <c r="J39" s="2">
        <f>COUNTIFS('PretestData (Submission)'!D:D,"="&amp;A39,'PretestData (Submission)'!A:A,"=401",'PretestData (Submission)'!E:E,"&gt;0")</f>
        <v>0</v>
      </c>
      <c r="K39" s="2">
        <f>COUNTIFS('PretestData (Submission)'!D:D,"="&amp;A39,'PretestData (Submission)'!A:A,"=401",'PretestData (Submission)'!H:H,"&gt;0")</f>
        <v>0</v>
      </c>
      <c r="L39" s="2">
        <f>IFERROR(__xludf.DUMMYFUNCTION("IFERROR(MAX(FILTER('PretestData (Submission)'!I:I,'PretestData (Submission)'!D:D=A39,'PretestData (Submission)'!A:A=401,'PretestData (Submission)'!H:H&gt;0)),0)"),"0")</f>
        <v>0</v>
      </c>
      <c r="M39" s="8">
        <f>COUNTIFS('PretestData (ViewVPL)'!C:C,"="&amp;A39,'PretestData (ViewVPL)'!B:B,"=401")</f>
        <v>0</v>
      </c>
      <c r="N39" s="13">
        <f>IFERROR(__xludf.DUMMYFUNCTION("IFERROR(MAX(FILTER('PretestData (Loggedin)'!C:C,'PretestData (Loggedin)'!B:B=A39,'PretestData (Loggedin)'!C:C&lt;O39)),0)"),"0")</f>
        <v>0</v>
      </c>
      <c r="O39" s="13">
        <f>IFERROR(__xludf.DUMMYFUNCTION("IFERROR(MIN(FILTER({'PretestData (Submission)'!E:E}, 'PretestData (Submission)'!D:D=A39, 'PretestData (Submission)'!A:A=403, 'PretestData (Submission)'!E:E&gt;0)),0)"),"0")</f>
        <v>0</v>
      </c>
      <c r="P39" s="13">
        <f>IFERROR(__xludf.DUMMYFUNCTION("IFERROR(MIN(FILTER('PretestData (ViewVPL)'!D:D, 'PretestData (ViewVPL)'!C:C=A39, 'PretestData (ViewVPL)'!B:B=403,'PretestData (ViewVPL)'!D:D&gt;N39,'PretestData (ViewVPL)'!D:D&lt;O39)),0)"),"0")</f>
        <v>0</v>
      </c>
      <c r="Q39" s="13">
        <f>IFERROR(__xludf.DUMMYFUNCTION("IFERROR(MAX(FILTER({'PretestData (Submission)'!E:E}, 'PretestData (Submission)'!D:D=A39, 'PretestData (Submission)'!A:A=403))-P39,0)"),"0")</f>
        <v>0</v>
      </c>
      <c r="R39" s="13">
        <f>COUNTIFS('PretestData (Submission)'!D:D,"="&amp;A39,'PretestData (Submission)'!A:A,"=403",'PretestData (Submission)'!E:E,"&gt;0")</f>
        <v>0</v>
      </c>
      <c r="S39" s="13">
        <f>COUNTIFS('PretestData (Submission)'!D:D,"="&amp;A39,'PretestData (Submission)'!A:A,"=403",'PretestData (Submission)'!H:H,"&gt;0")</f>
        <v>0</v>
      </c>
      <c r="T39" s="13">
        <f>IFERROR(__xludf.DUMMYFUNCTION("IFERROR(MAX(FILTER('PretestData (Submission)'!I:I,'PretestData (Submission)'!D:D=A39,'PretestData (Submission)'!A:A=403,'PretestData (Submission)'!H:H&gt;0)),0)"),"0")</f>
        <v>0</v>
      </c>
      <c r="U39" s="8">
        <f>COUNTIFS('PretestData (ViewVPL)'!C:C,"="&amp;A39,'PretestData (ViewVPL)'!B:B,"=403")</f>
        <v>0</v>
      </c>
      <c r="V39" s="13">
        <f>IFERROR(__xludf.DUMMYFUNCTION("IFERROR(MAX(FILTER('PretestData (Loggedin)'!C:C,'PretestData (Loggedin)'!B:B=A39,'PretestData (Loggedin)'!C:C&lt;W39)),0)"),"0")</f>
        <v>0</v>
      </c>
      <c r="W39" s="13">
        <f>IFERROR(__xludf.DUMMYFUNCTION("IFERROR(MIN(FILTER({'PretestData (Submission)'!E:E}, 'PretestData (Submission)'!D:D=A39, 'PretestData (Submission)'!A:A=404, 'PretestData (Submission)'!E:E&gt;0)),0)"),"0")</f>
        <v>0</v>
      </c>
      <c r="X39" s="13">
        <f>IFERROR(__xludf.DUMMYFUNCTION("IFERROR(MIN(FILTER('PretestData (ViewVPL)'!D:D, 'PretestData (ViewVPL)'!C:C=A39, 'PretestData (ViewVPL)'!B:B=404,'PretestData (ViewVPL)'!D:D&gt;V39,'PretestData (ViewVPL)'!D:D&lt;W39)),0)"),"0")</f>
        <v>0</v>
      </c>
      <c r="Y39" s="13">
        <f>IFERROR(__xludf.DUMMYFUNCTION("IFERROR(MAX(FILTER({'PretestData (Submission)'!E:E}, 'PretestData (Submission)'!D:D=A39, 'PretestData (Submission)'!A:A=404))-X39,0)"),"0")</f>
        <v>0</v>
      </c>
      <c r="Z39" s="13">
        <f>COUNTIFS('PretestData (Submission)'!D:D,"="&amp;A39,'PretestData (Submission)'!A:A,"=404",'PretestData (Submission)'!E:E,"&gt;0")</f>
        <v>0</v>
      </c>
      <c r="AA39" s="13">
        <f>COUNTIFS('PretestData (Submission)'!D:D,"="&amp;A39,'PretestData (Submission)'!A:A,"=404",'PretestData (Submission)'!H:H,"&gt;0")</f>
        <v>0</v>
      </c>
      <c r="AB39" s="13">
        <f>IFERROR(__xludf.DUMMYFUNCTION("IFERROR(MAX(FILTER('PretestData (Submission)'!I:I,'PretestData (Submission)'!D:D=A39,'PretestData (Submission)'!A:A=404,'PretestData (Submission)'!H:H&gt;0)),0)"),"0")</f>
        <v>0</v>
      </c>
      <c r="AC39" s="13">
        <f>COUNTIFS('PretestData (ViewVPL)'!C:C,"="&amp;A39,'PretestData (ViewVPL)'!B:B,"=404")</f>
        <v>0</v>
      </c>
      <c r="AD39" s="13">
        <f>IFERROR(__xludf.DUMMYFUNCTION("IFERROR(MAX(FILTER('PretestData (Loggedin)'!C:C,'PretestData (Loggedin)'!B:B=A39,'PretestData (Loggedin)'!C:C&lt;AE39)),0)"),"0")</f>
        <v>0</v>
      </c>
      <c r="AE39" s="13">
        <f>IFERROR(__xludf.DUMMYFUNCTION("IFERROR(MIN(FILTER({'PretestData (Submission)'!E:E}, 'PretestData (Submission)'!D:D=A39, 'PretestData (Submission)'!A:A=405, 'PretestData (Submission)'!E:E&gt;0)),0)"),"0")</f>
        <v>0</v>
      </c>
      <c r="AF39" s="13">
        <f>IFERROR(__xludf.DUMMYFUNCTION("IFERROR(MIN(FILTER('PretestData (ViewVPL)'!D:D, 'PretestData (ViewVPL)'!C:C=A39, 'PretestData (ViewVPL)'!B:B=405,'PretestData (ViewVPL)'!D:D&gt;AD39,'PretestData (ViewVPL)'!D:D&lt;AE39)),0)"),"0")</f>
        <v>0</v>
      </c>
      <c r="AG39" s="8">
        <f>IFERROR(__xludf.DUMMYFUNCTION("IFERROR(MAX(FILTER({'PretestData (Submission)'!E:E}, 'PretestData (Submission)'!D:D=A39, 'PretestData (Submission)'!A:A=405))-AF39,0)"),"0")</f>
        <v>0</v>
      </c>
      <c r="AH39" s="8">
        <f>COUNTIFS('PretestData (Submission)'!D:D,"="&amp;A39,'PretestData (Submission)'!A:A,"=405",'PretestData (Submission)'!E:E,"&gt;0")</f>
        <v>0</v>
      </c>
      <c r="AI39" s="8">
        <f>COUNTIFS('PretestData (Submission)'!D:D,"="&amp;A39,'PretestData (Submission)'!A:A,"=405",'PretestData (Submission)'!H:H,"&gt;0")</f>
        <v>0</v>
      </c>
      <c r="AJ39" s="8">
        <f>IFERROR(__xludf.DUMMYFUNCTION("IFERROR(MAX(FILTER('PretestData (Submission)'!I:I,'PretestData (Submission)'!D:D=A39,'PretestData (Submission)'!A:A=405,'PretestData (Submission)'!H:H&gt;0)),0)"),"0")</f>
        <v>0</v>
      </c>
      <c r="AK39" s="8">
        <f>COUNTIFS('PretestData (ViewVPL)'!C:C,"="&amp;A39,'PretestData (ViewVPL)'!B:B,"=405")</f>
        <v>0</v>
      </c>
      <c r="AL39" s="8"/>
      <c r="AM39" s="11"/>
      <c r="AN39" s="11"/>
      <c r="AO39" s="8"/>
      <c r="AP39" s="8"/>
      <c r="AQ39" s="8"/>
      <c r="AR39" s="8"/>
      <c r="AS39" s="11"/>
      <c r="AT39" s="11"/>
      <c r="AU39" s="11"/>
    </row>
    <row r="40">
      <c r="A40" s="15">
        <v>10158.0</v>
      </c>
      <c r="B40" s="16" t="s">
        <v>104</v>
      </c>
      <c r="C40" s="16" t="s">
        <v>108</v>
      </c>
      <c r="D40" s="16" t="s">
        <v>63</v>
      </c>
      <c r="E40" s="16"/>
      <c r="F40" s="2">
        <f>IFERROR(__xludf.DUMMYFUNCTION("IFERROR(MAX(FILTER('PretestData (Loggedin)'!C:C,'PretestData (Loggedin)'!B:B=A40,'PretestData (Loggedin)'!C:C&lt;G40)),0)"),"0")</f>
        <v>0</v>
      </c>
      <c r="G40" s="2">
        <f>IFERROR(__xludf.DUMMYFUNCTION("IFERROR(MIN(FILTER({'PretestData (Submission)'!E:E}, 'PretestData (Submission)'!D:D=A40, 'PretestData (Submission)'!A:A=401, 'PretestData (Submission)'!E:E&gt;0)),0)"),"0")</f>
        <v>0</v>
      </c>
      <c r="H40" s="2">
        <f>IFERROR(__xludf.DUMMYFUNCTION("IFERROR(MIN(FILTER('PretestData (ViewVPL)'!D:D, 'PretestData (ViewVPL)'!C:C=A40, 'PretestData (ViewVPL)'!B:B=401,'PretestData (ViewVPL)'!D:D&gt;F40,'PretestData (ViewVPL)'!D:D&lt;G40)),0)"),"0")</f>
        <v>0</v>
      </c>
      <c r="I40" s="2">
        <f>IFERROR(__xludf.DUMMYFUNCTION("IFERROR(MAX(FILTER({'PretestData (Submission)'!E:E}, 'PretestData (Submission)'!D:D=A40, 'PretestData (Submission)'!A:A=401))-H40, 0)"),"0")</f>
        <v>0</v>
      </c>
      <c r="J40" s="2">
        <f>COUNTIFS('PretestData (Submission)'!D:D,"="&amp;A40,'PretestData (Submission)'!A:A,"=401",'PretestData (Submission)'!E:E,"&gt;0")</f>
        <v>0</v>
      </c>
      <c r="K40" s="2">
        <f>COUNTIFS('PretestData (Submission)'!D:D,"="&amp;A40,'PretestData (Submission)'!A:A,"=401",'PretestData (Submission)'!H:H,"&gt;0")</f>
        <v>0</v>
      </c>
      <c r="L40" s="2">
        <f>IFERROR(__xludf.DUMMYFUNCTION("IFERROR(MAX(FILTER('PretestData (Submission)'!I:I,'PretestData (Submission)'!D:D=A40,'PretestData (Submission)'!A:A=401,'PretestData (Submission)'!H:H&gt;0)),0)"),"0")</f>
        <v>0</v>
      </c>
      <c r="M40" s="8">
        <f>COUNTIFS('PretestData (ViewVPL)'!C:C,"="&amp;A40,'PretestData (ViewVPL)'!B:B,"=401")</f>
        <v>0</v>
      </c>
      <c r="N40" s="13">
        <f>IFERROR(__xludf.DUMMYFUNCTION("IFERROR(MAX(FILTER('PretestData (Loggedin)'!C:C,'PretestData (Loggedin)'!B:B=A40,'PretestData (Loggedin)'!C:C&lt;O40)),0)"),"0")</f>
        <v>0</v>
      </c>
      <c r="O40" s="13">
        <f>IFERROR(__xludf.DUMMYFUNCTION("IFERROR(MIN(FILTER({'PretestData (Submission)'!E:E}, 'PretestData (Submission)'!D:D=A40, 'PretestData (Submission)'!A:A=403, 'PretestData (Submission)'!E:E&gt;0)),0)"),"0")</f>
        <v>0</v>
      </c>
      <c r="P40" s="13">
        <f>IFERROR(__xludf.DUMMYFUNCTION("IFERROR(MIN(FILTER('PretestData (ViewVPL)'!D:D, 'PretestData (ViewVPL)'!C:C=A40, 'PretestData (ViewVPL)'!B:B=403,'PretestData (ViewVPL)'!D:D&gt;N40,'PretestData (ViewVPL)'!D:D&lt;O40)),0)"),"0")</f>
        <v>0</v>
      </c>
      <c r="Q40" s="13">
        <f>IFERROR(__xludf.DUMMYFUNCTION("IFERROR(MAX(FILTER({'PretestData (Submission)'!E:E}, 'PretestData (Submission)'!D:D=A40, 'PretestData (Submission)'!A:A=403))-P40,0)"),"0")</f>
        <v>0</v>
      </c>
      <c r="R40" s="13">
        <f>COUNTIFS('PretestData (Submission)'!D:D,"="&amp;A40,'PretestData (Submission)'!A:A,"=403",'PretestData (Submission)'!E:E,"&gt;0")</f>
        <v>0</v>
      </c>
      <c r="S40" s="13">
        <f>COUNTIFS('PretestData (Submission)'!D:D,"="&amp;A40,'PretestData (Submission)'!A:A,"=403",'PretestData (Submission)'!H:H,"&gt;0")</f>
        <v>0</v>
      </c>
      <c r="T40" s="13">
        <f>IFERROR(__xludf.DUMMYFUNCTION("IFERROR(MAX(FILTER('PretestData (Submission)'!I:I,'PretestData (Submission)'!D:D=A40,'PretestData (Submission)'!A:A=403,'PretestData (Submission)'!H:H&gt;0)),0)"),"0")</f>
        <v>0</v>
      </c>
      <c r="U40" s="8">
        <f>COUNTIFS('PretestData (ViewVPL)'!C:C,"="&amp;A40,'PretestData (ViewVPL)'!B:B,"=403")</f>
        <v>0</v>
      </c>
      <c r="V40" s="13">
        <f>IFERROR(__xludf.DUMMYFUNCTION("IFERROR(MAX(FILTER('PretestData (Loggedin)'!C:C,'PretestData (Loggedin)'!B:B=A40,'PretestData (Loggedin)'!C:C&lt;W40)),0)"),"0")</f>
        <v>0</v>
      </c>
      <c r="W40" s="13">
        <f>IFERROR(__xludf.DUMMYFUNCTION("IFERROR(MIN(FILTER({'PretestData (Submission)'!E:E}, 'PretestData (Submission)'!D:D=A40, 'PretestData (Submission)'!A:A=404, 'PretestData (Submission)'!E:E&gt;0)),0)"),"0")</f>
        <v>0</v>
      </c>
      <c r="X40" s="13">
        <f>IFERROR(__xludf.DUMMYFUNCTION("IFERROR(MIN(FILTER('PretestData (ViewVPL)'!D:D, 'PretestData (ViewVPL)'!C:C=A40, 'PretestData (ViewVPL)'!B:B=404,'PretestData (ViewVPL)'!D:D&gt;V40,'PretestData (ViewVPL)'!D:D&lt;W40)),0)"),"0")</f>
        <v>0</v>
      </c>
      <c r="Y40" s="13">
        <f>IFERROR(__xludf.DUMMYFUNCTION("IFERROR(MAX(FILTER({'PretestData (Submission)'!E:E}, 'PretestData (Submission)'!D:D=A40, 'PretestData (Submission)'!A:A=404))-X40,0)"),"0")</f>
        <v>0</v>
      </c>
      <c r="Z40" s="13">
        <f>COUNTIFS('PretestData (Submission)'!D:D,"="&amp;A40,'PretestData (Submission)'!A:A,"=404",'PretestData (Submission)'!E:E,"&gt;0")</f>
        <v>0</v>
      </c>
      <c r="AA40" s="13">
        <f>COUNTIFS('PretestData (Submission)'!D:D,"="&amp;A40,'PretestData (Submission)'!A:A,"=404",'PretestData (Submission)'!H:H,"&gt;0")</f>
        <v>0</v>
      </c>
      <c r="AB40" s="13">
        <f>IFERROR(__xludf.DUMMYFUNCTION("IFERROR(MAX(FILTER('PretestData (Submission)'!I:I,'PretestData (Submission)'!D:D=A40,'PretestData (Submission)'!A:A=404,'PretestData (Submission)'!H:H&gt;0)),0)"),"0")</f>
        <v>0</v>
      </c>
      <c r="AC40" s="13">
        <f>COUNTIFS('PretestData (ViewVPL)'!C:C,"="&amp;A40,'PretestData (ViewVPL)'!B:B,"=404")</f>
        <v>0</v>
      </c>
      <c r="AD40" s="13">
        <f>IFERROR(__xludf.DUMMYFUNCTION("IFERROR(MAX(FILTER('PretestData (Loggedin)'!C:C,'PretestData (Loggedin)'!B:B=A40,'PretestData (Loggedin)'!C:C&lt;AE40)),0)"),"0")</f>
        <v>0</v>
      </c>
      <c r="AE40" s="13">
        <f>IFERROR(__xludf.DUMMYFUNCTION("IFERROR(MIN(FILTER({'PretestData (Submission)'!E:E}, 'PretestData (Submission)'!D:D=A40, 'PretestData (Submission)'!A:A=405, 'PretestData (Submission)'!E:E&gt;0)),0)"),"0")</f>
        <v>0</v>
      </c>
      <c r="AF40" s="13">
        <f>IFERROR(__xludf.DUMMYFUNCTION("IFERROR(MIN(FILTER('PretestData (ViewVPL)'!D:D, 'PretestData (ViewVPL)'!C:C=A40, 'PretestData (ViewVPL)'!B:B=405,'PretestData (ViewVPL)'!D:D&gt;AD40,'PretestData (ViewVPL)'!D:D&lt;AE40)),0)"),"0")</f>
        <v>0</v>
      </c>
      <c r="AG40" s="8">
        <f>IFERROR(__xludf.DUMMYFUNCTION("IFERROR(MAX(FILTER({'PretestData (Submission)'!E:E}, 'PretestData (Submission)'!D:D=A40, 'PretestData (Submission)'!A:A=405))-AF40,0)"),"0")</f>
        <v>0</v>
      </c>
      <c r="AH40" s="8">
        <f>COUNTIFS('PretestData (Submission)'!D:D,"="&amp;A40,'PretestData (Submission)'!A:A,"=405",'PretestData (Submission)'!E:E,"&gt;0")</f>
        <v>0</v>
      </c>
      <c r="AI40" s="8">
        <f>COUNTIFS('PretestData (Submission)'!D:D,"="&amp;A40,'PretestData (Submission)'!A:A,"=405",'PretestData (Submission)'!H:H,"&gt;0")</f>
        <v>0</v>
      </c>
      <c r="AJ40" s="8">
        <f>IFERROR(__xludf.DUMMYFUNCTION("IFERROR(MAX(FILTER('PretestData (Submission)'!I:I,'PretestData (Submission)'!D:D=A40,'PretestData (Submission)'!A:A=405,'PretestData (Submission)'!H:H&gt;0)),0)"),"0")</f>
        <v>0</v>
      </c>
      <c r="AK40" s="8">
        <f>COUNTIFS('PretestData (ViewVPL)'!C:C,"="&amp;A40,'PretestData (ViewVPL)'!B:B,"=405")</f>
        <v>0</v>
      </c>
      <c r="AL40" s="8"/>
      <c r="AM40" s="11"/>
      <c r="AN40" s="11"/>
      <c r="AO40" s="8"/>
      <c r="AP40" s="8"/>
      <c r="AQ40" s="8"/>
      <c r="AR40" s="8"/>
      <c r="AS40" s="11"/>
      <c r="AT40" s="11"/>
      <c r="AU40" s="11"/>
    </row>
    <row r="41">
      <c r="A41" s="8"/>
      <c r="B41" s="8"/>
      <c r="C41" s="8"/>
      <c r="D41" s="8"/>
      <c r="E41" s="8"/>
      <c r="F41" s="2"/>
      <c r="G41" s="2"/>
      <c r="H41" s="2"/>
      <c r="I41" s="2"/>
      <c r="J41" s="2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11"/>
      <c r="AN41" s="11"/>
      <c r="AO41" s="8"/>
      <c r="AP41" s="8"/>
      <c r="AQ41" s="8"/>
      <c r="AR41" s="8"/>
      <c r="AS41" s="11"/>
      <c r="AT41" s="11"/>
      <c r="AU41" s="11"/>
    </row>
    <row r="42">
      <c r="A42" s="8"/>
      <c r="B42" s="8"/>
      <c r="C42" s="8"/>
      <c r="D42" s="8"/>
      <c r="E42" s="8"/>
      <c r="F42" s="2"/>
      <c r="G42" s="2"/>
      <c r="H42" s="2"/>
      <c r="I42" s="2"/>
      <c r="J42" s="2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1"/>
      <c r="AN42" s="11"/>
      <c r="AO42" s="8"/>
      <c r="AP42" s="8"/>
      <c r="AQ42" s="8"/>
      <c r="AR42" s="8"/>
      <c r="AS42" s="11"/>
      <c r="AT42" s="11"/>
      <c r="AU42" s="11"/>
    </row>
    <row r="43">
      <c r="A43" s="8"/>
      <c r="B43" s="8"/>
      <c r="C43" s="8"/>
      <c r="D43" s="8"/>
      <c r="E43" s="8"/>
      <c r="F43" s="2"/>
      <c r="G43" s="2"/>
      <c r="H43" s="2"/>
      <c r="I43" s="2"/>
      <c r="J43" s="2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11"/>
      <c r="AN43" s="11"/>
      <c r="AO43" s="8"/>
      <c r="AP43" s="8"/>
      <c r="AQ43" s="8"/>
      <c r="AR43" s="8"/>
      <c r="AS43" s="11"/>
      <c r="AT43" s="11"/>
      <c r="AU43" s="11"/>
    </row>
    <row r="44">
      <c r="A44" s="8"/>
      <c r="B44" s="8"/>
      <c r="C44" s="8"/>
      <c r="D44" s="8"/>
      <c r="E44" s="8"/>
      <c r="F44" s="2"/>
      <c r="G44" s="2"/>
      <c r="H44" s="2"/>
      <c r="I44" s="2"/>
      <c r="J44" s="2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1"/>
      <c r="AN44" s="11"/>
      <c r="AO44" s="8"/>
      <c r="AP44" s="8"/>
      <c r="AQ44" s="8"/>
      <c r="AR44" s="8"/>
      <c r="AS44" s="11"/>
      <c r="AT44" s="11"/>
      <c r="AU44" s="11"/>
    </row>
    <row r="45">
      <c r="A45" s="8"/>
      <c r="B45" s="8"/>
      <c r="C45" s="8"/>
      <c r="D45" s="8"/>
      <c r="E45" s="8"/>
      <c r="F45" s="2"/>
      <c r="G45" s="2"/>
      <c r="H45" s="2"/>
      <c r="I45" s="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11"/>
      <c r="AN45" s="11"/>
      <c r="AO45" s="8"/>
      <c r="AP45" s="8"/>
      <c r="AQ45" s="8"/>
      <c r="AR45" s="8"/>
      <c r="AS45" s="11"/>
      <c r="AT45" s="11"/>
      <c r="AU45" s="11"/>
    </row>
    <row r="46">
      <c r="A46" s="8"/>
      <c r="B46" s="8"/>
      <c r="C46" s="8"/>
      <c r="D46" s="8"/>
      <c r="E46" s="8"/>
      <c r="F46" s="2"/>
      <c r="G46" s="2"/>
      <c r="H46" s="2"/>
      <c r="I46" s="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11"/>
      <c r="AN46" s="11"/>
      <c r="AO46" s="8"/>
      <c r="AP46" s="8"/>
      <c r="AQ46" s="8"/>
      <c r="AR46" s="8"/>
      <c r="AS46" s="11"/>
      <c r="AT46" s="11"/>
      <c r="AU46" s="11"/>
    </row>
    <row r="47">
      <c r="A47" s="8"/>
      <c r="B47" s="8"/>
      <c r="C47" s="8"/>
      <c r="D47" s="8"/>
      <c r="E47" s="8"/>
      <c r="F47" s="2"/>
      <c r="G47" s="2"/>
      <c r="H47" s="2"/>
      <c r="I47" s="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11"/>
      <c r="AN47" s="11"/>
      <c r="AO47" s="8"/>
      <c r="AP47" s="8"/>
      <c r="AQ47" s="8"/>
      <c r="AR47" s="8"/>
      <c r="AS47" s="11"/>
      <c r="AT47" s="11"/>
      <c r="AU47" s="11"/>
    </row>
    <row r="48">
      <c r="A48" s="8"/>
      <c r="B48" s="8"/>
      <c r="C48" s="8"/>
      <c r="D48" s="8"/>
      <c r="E48" s="8"/>
      <c r="F48" s="2"/>
      <c r="G48" s="2"/>
      <c r="H48" s="2"/>
      <c r="I48" s="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11"/>
      <c r="AN48" s="11"/>
      <c r="AO48" s="8"/>
      <c r="AP48" s="8"/>
      <c r="AQ48" s="8"/>
      <c r="AR48" s="8"/>
      <c r="AS48" s="11"/>
      <c r="AT48" s="11"/>
      <c r="AU48" s="11"/>
    </row>
    <row r="49">
      <c r="A49" s="8"/>
      <c r="B49" s="8"/>
      <c r="C49" s="8"/>
      <c r="D49" s="8"/>
      <c r="E49" s="8"/>
      <c r="F49" s="2"/>
      <c r="G49" s="2"/>
      <c r="H49" s="2"/>
      <c r="I49" s="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11"/>
      <c r="AN49" s="11"/>
      <c r="AO49" s="8"/>
      <c r="AP49" s="8"/>
      <c r="AQ49" s="8"/>
      <c r="AR49" s="8"/>
      <c r="AS49" s="11"/>
      <c r="AT49" s="11"/>
      <c r="AU49" s="11"/>
    </row>
    <row r="50">
      <c r="A50" s="8"/>
      <c r="B50" s="8"/>
      <c r="C50" s="8"/>
      <c r="D50" s="8"/>
      <c r="E50" s="8"/>
      <c r="F50" s="2"/>
      <c r="G50" s="2"/>
      <c r="H50" s="2"/>
      <c r="I50" s="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11"/>
      <c r="AN50" s="11"/>
      <c r="AO50" s="8"/>
      <c r="AP50" s="8"/>
      <c r="AQ50" s="8"/>
      <c r="AR50" s="8"/>
      <c r="AS50" s="11"/>
      <c r="AT50" s="11"/>
      <c r="AU50" s="11"/>
    </row>
    <row r="51">
      <c r="A51" s="8"/>
      <c r="B51" s="8"/>
      <c r="C51" s="8"/>
      <c r="D51" s="8"/>
      <c r="E51" s="8"/>
      <c r="F51" s="2"/>
      <c r="G51" s="2"/>
      <c r="H51" s="2"/>
      <c r="I51" s="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11"/>
      <c r="AN51" s="11"/>
      <c r="AO51" s="8"/>
      <c r="AP51" s="8"/>
      <c r="AQ51" s="8"/>
      <c r="AR51" s="8"/>
      <c r="AS51" s="11"/>
      <c r="AT51" s="11"/>
      <c r="AU51" s="11"/>
    </row>
    <row r="52">
      <c r="A52" s="8"/>
      <c r="B52" s="8"/>
      <c r="C52" s="8"/>
      <c r="D52" s="8"/>
      <c r="E52" s="8"/>
      <c r="F52" s="2"/>
      <c r="G52" s="2"/>
      <c r="H52" s="2"/>
      <c r="I52" s="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11"/>
      <c r="AN52" s="11"/>
      <c r="AO52" s="8"/>
      <c r="AP52" s="8"/>
      <c r="AQ52" s="8"/>
      <c r="AR52" s="8"/>
      <c r="AS52" s="11"/>
      <c r="AT52" s="11"/>
      <c r="AU52" s="11"/>
    </row>
    <row r="53">
      <c r="A53" s="8"/>
      <c r="B53" s="8"/>
      <c r="C53" s="8"/>
      <c r="D53" s="8"/>
      <c r="E53" s="8"/>
      <c r="F53" s="2"/>
      <c r="G53" s="2"/>
      <c r="H53" s="2"/>
      <c r="I53" s="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11"/>
      <c r="AN53" s="11"/>
      <c r="AO53" s="8"/>
      <c r="AP53" s="8"/>
      <c r="AQ53" s="8"/>
      <c r="AR53" s="8"/>
      <c r="AS53" s="11"/>
      <c r="AT53" s="11"/>
      <c r="AU53" s="11"/>
    </row>
    <row r="54">
      <c r="A54" s="8"/>
      <c r="B54" s="8"/>
      <c r="C54" s="8"/>
      <c r="D54" s="8"/>
      <c r="E54" s="8"/>
      <c r="F54" s="2"/>
      <c r="G54" s="2"/>
      <c r="H54" s="2"/>
      <c r="I54" s="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"/>
      <c r="AN54" s="11"/>
      <c r="AO54" s="8"/>
      <c r="AP54" s="8"/>
      <c r="AQ54" s="8"/>
      <c r="AR54" s="8"/>
      <c r="AS54" s="11"/>
      <c r="AT54" s="11"/>
      <c r="AU54" s="11"/>
    </row>
    <row r="55">
      <c r="A55" s="8"/>
      <c r="B55" s="8"/>
      <c r="C55" s="8"/>
      <c r="D55" s="8"/>
      <c r="E55" s="8"/>
      <c r="F55" s="2"/>
      <c r="G55" s="2"/>
      <c r="H55" s="2"/>
      <c r="I55" s="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11"/>
      <c r="AN55" s="11"/>
      <c r="AO55" s="8"/>
      <c r="AP55" s="8"/>
      <c r="AQ55" s="8"/>
      <c r="AR55" s="8"/>
      <c r="AS55" s="11"/>
      <c r="AT55" s="11"/>
      <c r="AU55" s="11"/>
    </row>
    <row r="56">
      <c r="A56" s="8"/>
      <c r="B56" s="8"/>
      <c r="C56" s="8"/>
      <c r="D56" s="8"/>
      <c r="E56" s="8"/>
      <c r="F56" s="2"/>
      <c r="G56" s="2"/>
      <c r="H56" s="2"/>
      <c r="I56" s="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11"/>
      <c r="AN56" s="11"/>
      <c r="AO56" s="8"/>
      <c r="AP56" s="8"/>
      <c r="AQ56" s="8"/>
      <c r="AR56" s="8"/>
      <c r="AS56" s="11"/>
      <c r="AT56" s="11"/>
      <c r="AU56" s="11"/>
    </row>
    <row r="57">
      <c r="A57" s="8"/>
      <c r="B57" s="8"/>
      <c r="C57" s="8"/>
      <c r="D57" s="8"/>
      <c r="E57" s="8"/>
      <c r="F57" s="2"/>
      <c r="G57" s="2"/>
      <c r="H57" s="2"/>
      <c r="I57" s="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11"/>
      <c r="AN57" s="11"/>
      <c r="AO57" s="8"/>
      <c r="AP57" s="8"/>
      <c r="AQ57" s="8"/>
      <c r="AR57" s="8"/>
      <c r="AS57" s="11"/>
      <c r="AT57" s="11"/>
      <c r="AU57" s="11"/>
    </row>
    <row r="58">
      <c r="A58" s="8"/>
      <c r="B58" s="8"/>
      <c r="C58" s="8"/>
      <c r="D58" s="8"/>
      <c r="E58" s="8"/>
      <c r="F58" s="2"/>
      <c r="G58" s="2"/>
      <c r="H58" s="2"/>
      <c r="I58" s="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11"/>
      <c r="AN58" s="11"/>
      <c r="AO58" s="8"/>
      <c r="AP58" s="8"/>
      <c r="AQ58" s="8"/>
      <c r="AR58" s="8"/>
      <c r="AS58" s="11"/>
      <c r="AT58" s="11"/>
      <c r="AU58" s="11"/>
    </row>
    <row r="59">
      <c r="A59" s="8"/>
      <c r="B59" s="8"/>
      <c r="C59" s="8"/>
      <c r="D59" s="8"/>
      <c r="E59" s="8"/>
      <c r="F59" s="2"/>
      <c r="G59" s="2"/>
      <c r="H59" s="2"/>
      <c r="I59" s="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11"/>
      <c r="AN59" s="11"/>
      <c r="AO59" s="8"/>
      <c r="AP59" s="8"/>
      <c r="AQ59" s="8"/>
      <c r="AR59" s="8"/>
      <c r="AS59" s="11"/>
      <c r="AT59" s="11"/>
      <c r="AU59" s="11"/>
    </row>
    <row r="60">
      <c r="A60" s="8"/>
      <c r="B60" s="8"/>
      <c r="C60" s="8"/>
      <c r="D60" s="8"/>
      <c r="E60" s="8"/>
      <c r="F60" s="2"/>
      <c r="G60" s="2"/>
      <c r="H60" s="2"/>
      <c r="I60" s="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11"/>
      <c r="AN60" s="11"/>
      <c r="AO60" s="8"/>
      <c r="AP60" s="8"/>
      <c r="AQ60" s="8"/>
      <c r="AR60" s="8"/>
      <c r="AS60" s="11"/>
      <c r="AT60" s="11"/>
      <c r="AU60" s="11"/>
    </row>
    <row r="61">
      <c r="A61" s="8"/>
      <c r="B61" s="8"/>
      <c r="C61" s="8"/>
      <c r="D61" s="8"/>
      <c r="E61" s="8"/>
      <c r="F61" s="2"/>
      <c r="G61" s="2"/>
      <c r="H61" s="2"/>
      <c r="I61" s="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11"/>
      <c r="AN61" s="11"/>
      <c r="AO61" s="8"/>
      <c r="AP61" s="8"/>
      <c r="AQ61" s="8"/>
      <c r="AR61" s="8"/>
      <c r="AS61" s="11"/>
      <c r="AT61" s="11"/>
      <c r="AU61" s="11"/>
    </row>
    <row r="62">
      <c r="A62" s="8"/>
      <c r="B62" s="8"/>
      <c r="C62" s="8"/>
      <c r="D62" s="8"/>
      <c r="E62" s="8"/>
      <c r="F62" s="2"/>
      <c r="G62" s="2"/>
      <c r="H62" s="2"/>
      <c r="I62" s="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11"/>
      <c r="AN62" s="11"/>
      <c r="AO62" s="8"/>
      <c r="AP62" s="8"/>
      <c r="AQ62" s="8"/>
      <c r="AR62" s="8"/>
      <c r="AS62" s="11"/>
      <c r="AT62" s="11"/>
      <c r="AU62" s="11"/>
    </row>
    <row r="63">
      <c r="A63" s="8"/>
      <c r="B63" s="8"/>
      <c r="C63" s="8"/>
      <c r="D63" s="8"/>
      <c r="E63" s="8"/>
      <c r="F63" s="2"/>
      <c r="G63" s="2"/>
      <c r="H63" s="2"/>
      <c r="I63" s="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11"/>
      <c r="AN63" s="11"/>
      <c r="AO63" s="8"/>
      <c r="AP63" s="8"/>
      <c r="AQ63" s="8"/>
      <c r="AR63" s="8"/>
      <c r="AS63" s="11"/>
      <c r="AT63" s="11"/>
      <c r="AU63" s="11"/>
    </row>
    <row r="64">
      <c r="A64" s="8"/>
      <c r="B64" s="8"/>
      <c r="C64" s="8"/>
      <c r="D64" s="8"/>
      <c r="E64" s="8"/>
      <c r="F64" s="2"/>
      <c r="G64" s="2"/>
      <c r="H64" s="2"/>
      <c r="I64" s="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11"/>
      <c r="AN64" s="11"/>
      <c r="AO64" s="8"/>
      <c r="AP64" s="8"/>
      <c r="AQ64" s="8"/>
      <c r="AR64" s="8"/>
      <c r="AS64" s="11"/>
      <c r="AT64" s="11"/>
      <c r="AU64" s="11"/>
    </row>
    <row r="65">
      <c r="A65" s="8"/>
      <c r="B65" s="8"/>
      <c r="C65" s="8"/>
      <c r="D65" s="8"/>
      <c r="E65" s="8"/>
      <c r="F65" s="2"/>
      <c r="G65" s="2"/>
      <c r="H65" s="2"/>
      <c r="I65" s="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11"/>
      <c r="AN65" s="11"/>
      <c r="AO65" s="8"/>
      <c r="AP65" s="8"/>
      <c r="AQ65" s="8"/>
      <c r="AR65" s="8"/>
      <c r="AS65" s="11"/>
      <c r="AT65" s="11"/>
      <c r="AU65" s="11"/>
    </row>
    <row r="66">
      <c r="A66" s="8"/>
      <c r="B66" s="8"/>
      <c r="C66" s="8"/>
      <c r="D66" s="8"/>
      <c r="E66" s="8"/>
      <c r="F66" s="2"/>
      <c r="G66" s="2"/>
      <c r="H66" s="2"/>
      <c r="I66" s="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11"/>
      <c r="AN66" s="11"/>
      <c r="AO66" s="8"/>
      <c r="AP66" s="8"/>
      <c r="AQ66" s="8"/>
      <c r="AR66" s="8"/>
      <c r="AS66" s="11"/>
      <c r="AT66" s="11"/>
      <c r="AU66" s="11"/>
    </row>
    <row r="67">
      <c r="A67" s="8"/>
      <c r="B67" s="8"/>
      <c r="C67" s="8"/>
      <c r="D67" s="8"/>
      <c r="E67" s="8"/>
      <c r="F67" s="2"/>
      <c r="G67" s="2"/>
      <c r="H67" s="2"/>
      <c r="I67" s="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11"/>
      <c r="AN67" s="11"/>
      <c r="AO67" s="8"/>
      <c r="AP67" s="8"/>
      <c r="AQ67" s="8"/>
      <c r="AR67" s="8"/>
      <c r="AS67" s="11"/>
      <c r="AT67" s="11"/>
      <c r="AU67" s="11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11"/>
      <c r="AN68" s="11"/>
      <c r="AO68" s="8"/>
      <c r="AP68" s="8"/>
      <c r="AQ68" s="8"/>
      <c r="AR68" s="8"/>
      <c r="AS68" s="11"/>
      <c r="AT68" s="11"/>
      <c r="AU68" s="11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11"/>
      <c r="AN69" s="11"/>
      <c r="AO69" s="8"/>
      <c r="AP69" s="8"/>
      <c r="AQ69" s="8"/>
      <c r="AR69" s="8"/>
      <c r="AS69" s="11"/>
      <c r="AT69" s="11"/>
      <c r="AU69" s="11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11"/>
      <c r="AN70" s="11"/>
      <c r="AO70" s="8"/>
      <c r="AP70" s="8"/>
      <c r="AQ70" s="8"/>
      <c r="AR70" s="8"/>
      <c r="AS70" s="11"/>
      <c r="AT70" s="11"/>
      <c r="AU70" s="11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11"/>
      <c r="AN71" s="11"/>
      <c r="AO71" s="8"/>
      <c r="AP71" s="8"/>
      <c r="AQ71" s="8"/>
      <c r="AR71" s="8"/>
      <c r="AS71" s="11"/>
      <c r="AT71" s="11"/>
      <c r="AU71" s="11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11"/>
      <c r="AN72" s="11"/>
      <c r="AO72" s="8"/>
      <c r="AP72" s="8"/>
      <c r="AQ72" s="8"/>
      <c r="AR72" s="8"/>
      <c r="AS72" s="11"/>
      <c r="AT72" s="11"/>
      <c r="AU72" s="11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11"/>
      <c r="AN73" s="11"/>
      <c r="AO73" s="8"/>
      <c r="AP73" s="8"/>
      <c r="AQ73" s="8"/>
      <c r="AR73" s="8"/>
      <c r="AS73" s="11"/>
      <c r="AT73" s="11"/>
      <c r="AU73" s="11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11"/>
      <c r="AN74" s="11"/>
      <c r="AO74" s="8"/>
      <c r="AP74" s="8"/>
      <c r="AQ74" s="8"/>
      <c r="AR74" s="8"/>
      <c r="AS74" s="11"/>
      <c r="AT74" s="11"/>
      <c r="AU74" s="11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11"/>
      <c r="AN75" s="11"/>
      <c r="AO75" s="8"/>
      <c r="AP75" s="8"/>
      <c r="AQ75" s="8"/>
      <c r="AR75" s="8"/>
      <c r="AS75" s="11"/>
      <c r="AT75" s="11"/>
      <c r="AU75" s="11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11"/>
      <c r="AN76" s="11"/>
      <c r="AO76" s="8"/>
      <c r="AP76" s="8"/>
      <c r="AQ76" s="8"/>
      <c r="AR76" s="8"/>
      <c r="AS76" s="11"/>
      <c r="AT76" s="11"/>
      <c r="AU76" s="11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11"/>
      <c r="AN77" s="11"/>
      <c r="AO77" s="8"/>
      <c r="AP77" s="8"/>
      <c r="AQ77" s="8"/>
      <c r="AR77" s="8"/>
      <c r="AS77" s="11"/>
      <c r="AT77" s="11"/>
      <c r="AU77" s="11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11"/>
      <c r="AN78" s="11"/>
      <c r="AO78" s="8"/>
      <c r="AP78" s="8"/>
      <c r="AQ78" s="8"/>
      <c r="AR78" s="8"/>
      <c r="AS78" s="11"/>
      <c r="AT78" s="11"/>
      <c r="AU78" s="11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11"/>
      <c r="AN79" s="11"/>
      <c r="AO79" s="8"/>
      <c r="AP79" s="8"/>
      <c r="AQ79" s="8"/>
      <c r="AR79" s="8"/>
      <c r="AS79" s="11"/>
      <c r="AT79" s="11"/>
      <c r="AU79" s="11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11"/>
      <c r="AN80" s="11"/>
      <c r="AO80" s="8"/>
      <c r="AP80" s="8"/>
      <c r="AQ80" s="8"/>
      <c r="AR80" s="8"/>
      <c r="AS80" s="11"/>
      <c r="AT80" s="11"/>
      <c r="AU80" s="11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11"/>
      <c r="AN81" s="11"/>
      <c r="AO81" s="8"/>
      <c r="AP81" s="8"/>
      <c r="AQ81" s="8"/>
      <c r="AR81" s="8"/>
      <c r="AS81" s="11"/>
      <c r="AT81" s="11"/>
      <c r="AU81" s="11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11"/>
      <c r="AN82" s="11"/>
      <c r="AO82" s="8"/>
      <c r="AP82" s="8"/>
      <c r="AQ82" s="8"/>
      <c r="AR82" s="8"/>
      <c r="AS82" s="11"/>
      <c r="AT82" s="11"/>
      <c r="AU82" s="11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11"/>
      <c r="AN83" s="11"/>
      <c r="AO83" s="8"/>
      <c r="AP83" s="8"/>
      <c r="AQ83" s="8"/>
      <c r="AR83" s="8"/>
      <c r="AS83" s="11"/>
      <c r="AT83" s="11"/>
      <c r="AU83" s="11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11"/>
      <c r="AN84" s="11"/>
      <c r="AO84" s="8"/>
      <c r="AP84" s="8"/>
      <c r="AQ84" s="8"/>
      <c r="AR84" s="8"/>
      <c r="AS84" s="11"/>
      <c r="AT84" s="11"/>
      <c r="AU84" s="11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11"/>
      <c r="AN85" s="11"/>
      <c r="AO85" s="8"/>
      <c r="AP85" s="8"/>
      <c r="AQ85" s="8"/>
      <c r="AR85" s="8"/>
      <c r="AS85" s="11"/>
      <c r="AT85" s="11"/>
      <c r="AU85" s="11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11"/>
      <c r="AN86" s="11"/>
      <c r="AO86" s="8"/>
      <c r="AP86" s="8"/>
      <c r="AQ86" s="8"/>
      <c r="AR86" s="8"/>
      <c r="AS86" s="11"/>
      <c r="AT86" s="11"/>
      <c r="AU86" s="11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11"/>
      <c r="AN87" s="11"/>
      <c r="AO87" s="8"/>
      <c r="AP87" s="8"/>
      <c r="AQ87" s="8"/>
      <c r="AR87" s="8"/>
      <c r="AS87" s="11"/>
      <c r="AT87" s="11"/>
      <c r="AU87" s="11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11"/>
      <c r="AN88" s="11"/>
      <c r="AO88" s="8"/>
      <c r="AP88" s="8"/>
      <c r="AQ88" s="8"/>
      <c r="AR88" s="8"/>
      <c r="AS88" s="11"/>
      <c r="AT88" s="11"/>
      <c r="AU88" s="11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11"/>
      <c r="AN89" s="11"/>
      <c r="AO89" s="8"/>
      <c r="AP89" s="8"/>
      <c r="AQ89" s="8"/>
      <c r="AR89" s="8"/>
      <c r="AS89" s="11"/>
      <c r="AT89" s="11"/>
      <c r="AU89" s="11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11"/>
      <c r="AN90" s="11"/>
      <c r="AO90" s="8"/>
      <c r="AP90" s="8"/>
      <c r="AQ90" s="8"/>
      <c r="AR90" s="8"/>
      <c r="AS90" s="11"/>
      <c r="AT90" s="11"/>
      <c r="AU90" s="11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11"/>
      <c r="AN91" s="11"/>
      <c r="AO91" s="8"/>
      <c r="AP91" s="8"/>
      <c r="AQ91" s="8"/>
      <c r="AR91" s="8"/>
      <c r="AS91" s="11"/>
      <c r="AT91" s="11"/>
      <c r="AU91" s="11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11"/>
      <c r="AN92" s="11"/>
      <c r="AO92" s="8"/>
      <c r="AP92" s="8"/>
      <c r="AQ92" s="8"/>
      <c r="AR92" s="8"/>
      <c r="AS92" s="11"/>
      <c r="AT92" s="11"/>
      <c r="AU92" s="11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11"/>
      <c r="AN93" s="11"/>
      <c r="AO93" s="8"/>
      <c r="AP93" s="8"/>
      <c r="AQ93" s="8"/>
      <c r="AR93" s="8"/>
      <c r="AS93" s="11"/>
      <c r="AT93" s="11"/>
      <c r="AU93" s="11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11"/>
      <c r="AN94" s="11"/>
      <c r="AO94" s="8"/>
      <c r="AP94" s="8"/>
      <c r="AQ94" s="8"/>
      <c r="AR94" s="8"/>
      <c r="AS94" s="11"/>
      <c r="AT94" s="11"/>
      <c r="AU94" s="11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11"/>
      <c r="AN95" s="11"/>
      <c r="AO95" s="8"/>
      <c r="AP95" s="8"/>
      <c r="AQ95" s="8"/>
      <c r="AR95" s="8"/>
      <c r="AS95" s="11"/>
      <c r="AT95" s="11"/>
      <c r="AU95" s="11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11"/>
      <c r="AN96" s="11"/>
      <c r="AO96" s="8"/>
      <c r="AP96" s="8"/>
      <c r="AQ96" s="8"/>
      <c r="AR96" s="8"/>
      <c r="AS96" s="11"/>
      <c r="AT96" s="11"/>
      <c r="AU96" s="11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11"/>
      <c r="AN97" s="11"/>
      <c r="AO97" s="8"/>
      <c r="AP97" s="8"/>
      <c r="AQ97" s="8"/>
      <c r="AR97" s="8"/>
      <c r="AS97" s="11"/>
      <c r="AT97" s="11"/>
      <c r="AU97" s="11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11"/>
      <c r="AN98" s="11"/>
      <c r="AO98" s="8"/>
      <c r="AP98" s="8"/>
      <c r="AQ98" s="8"/>
      <c r="AR98" s="8"/>
      <c r="AS98" s="11"/>
      <c r="AT98" s="11"/>
      <c r="AU98" s="11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11"/>
      <c r="AN99" s="11"/>
      <c r="AO99" s="8"/>
      <c r="AP99" s="8"/>
      <c r="AQ99" s="8"/>
      <c r="AR99" s="8"/>
      <c r="AS99" s="11"/>
      <c r="AT99" s="11"/>
      <c r="AU99" s="11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11"/>
      <c r="AN100" s="11"/>
      <c r="AO100" s="8"/>
      <c r="AP100" s="8"/>
      <c r="AQ100" s="8"/>
      <c r="AR100" s="8"/>
      <c r="AS100" s="11"/>
      <c r="AT100" s="11"/>
      <c r="AU100" s="11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11"/>
      <c r="AN101" s="11"/>
      <c r="AO101" s="8"/>
      <c r="AP101" s="8"/>
      <c r="AQ101" s="8"/>
      <c r="AR101" s="8"/>
      <c r="AS101" s="11"/>
      <c r="AT101" s="11"/>
      <c r="AU101" s="11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11"/>
      <c r="AN102" s="11"/>
      <c r="AO102" s="8"/>
      <c r="AP102" s="8"/>
      <c r="AQ102" s="8"/>
      <c r="AR102" s="8"/>
      <c r="AS102" s="11"/>
      <c r="AT102" s="11"/>
      <c r="AU102" s="11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11"/>
      <c r="AN103" s="11"/>
      <c r="AO103" s="8"/>
      <c r="AP103" s="8"/>
      <c r="AQ103" s="8"/>
      <c r="AR103" s="8"/>
      <c r="AS103" s="11"/>
      <c r="AT103" s="11"/>
      <c r="AU103" s="11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11"/>
      <c r="AN104" s="11"/>
      <c r="AO104" s="8"/>
      <c r="AP104" s="8"/>
      <c r="AQ104" s="8"/>
      <c r="AR104" s="8"/>
      <c r="AS104" s="11"/>
      <c r="AT104" s="11"/>
      <c r="AU104" s="11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11"/>
      <c r="AN105" s="11"/>
      <c r="AO105" s="8"/>
      <c r="AP105" s="8"/>
      <c r="AQ105" s="8"/>
      <c r="AR105" s="8"/>
      <c r="AS105" s="11"/>
      <c r="AT105" s="11"/>
      <c r="AU105" s="11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11"/>
      <c r="AN106" s="11"/>
      <c r="AO106" s="8"/>
      <c r="AP106" s="8"/>
      <c r="AQ106" s="8"/>
      <c r="AR106" s="8"/>
      <c r="AS106" s="11"/>
      <c r="AT106" s="11"/>
      <c r="AU106" s="11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11"/>
      <c r="AN107" s="11"/>
      <c r="AO107" s="8"/>
      <c r="AP107" s="8"/>
      <c r="AQ107" s="8"/>
      <c r="AR107" s="8"/>
      <c r="AS107" s="11"/>
      <c r="AT107" s="11"/>
      <c r="AU107" s="11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11"/>
      <c r="AN108" s="11"/>
      <c r="AO108" s="8"/>
      <c r="AP108" s="8"/>
      <c r="AQ108" s="8"/>
      <c r="AR108" s="8"/>
      <c r="AS108" s="11"/>
      <c r="AT108" s="11"/>
      <c r="AU108" s="11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11"/>
      <c r="AN109" s="11"/>
      <c r="AO109" s="8"/>
      <c r="AP109" s="8"/>
      <c r="AQ109" s="8"/>
      <c r="AR109" s="8"/>
      <c r="AS109" s="11"/>
      <c r="AT109" s="11"/>
      <c r="AU109" s="11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11"/>
      <c r="AN110" s="11"/>
      <c r="AO110" s="8"/>
      <c r="AP110" s="8"/>
      <c r="AQ110" s="8"/>
      <c r="AR110" s="8"/>
      <c r="AS110" s="11"/>
      <c r="AT110" s="11"/>
      <c r="AU110" s="11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11"/>
      <c r="AN111" s="11"/>
      <c r="AO111" s="8"/>
      <c r="AP111" s="8"/>
      <c r="AQ111" s="8"/>
      <c r="AR111" s="8"/>
      <c r="AS111" s="11"/>
      <c r="AT111" s="11"/>
      <c r="AU111" s="11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11"/>
      <c r="AN112" s="11"/>
      <c r="AO112" s="8"/>
      <c r="AP112" s="8"/>
      <c r="AQ112" s="8"/>
      <c r="AR112" s="8"/>
      <c r="AS112" s="11"/>
      <c r="AT112" s="11"/>
      <c r="AU112" s="11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11"/>
      <c r="AN113" s="11"/>
      <c r="AO113" s="8"/>
      <c r="AP113" s="8"/>
      <c r="AQ113" s="8"/>
      <c r="AR113" s="8"/>
      <c r="AS113" s="11"/>
      <c r="AT113" s="11"/>
      <c r="AU113" s="11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11"/>
      <c r="AN114" s="11"/>
      <c r="AO114" s="8"/>
      <c r="AP114" s="8"/>
      <c r="AQ114" s="8"/>
      <c r="AR114" s="8"/>
      <c r="AS114" s="11"/>
      <c r="AT114" s="11"/>
      <c r="AU114" s="11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11"/>
      <c r="AN115" s="11"/>
      <c r="AO115" s="8"/>
      <c r="AP115" s="8"/>
      <c r="AQ115" s="8"/>
      <c r="AR115" s="8"/>
      <c r="AS115" s="11"/>
      <c r="AT115" s="11"/>
      <c r="AU115" s="11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11"/>
      <c r="AN116" s="11"/>
      <c r="AO116" s="8"/>
      <c r="AP116" s="8"/>
      <c r="AQ116" s="8"/>
      <c r="AR116" s="8"/>
      <c r="AS116" s="11"/>
      <c r="AT116" s="11"/>
      <c r="AU116" s="11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11"/>
      <c r="AN117" s="11"/>
      <c r="AO117" s="8"/>
      <c r="AP117" s="8"/>
      <c r="AQ117" s="8"/>
      <c r="AR117" s="8"/>
      <c r="AS117" s="11"/>
      <c r="AT117" s="11"/>
      <c r="AU117" s="11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11"/>
      <c r="AN118" s="11"/>
      <c r="AO118" s="8"/>
      <c r="AP118" s="8"/>
      <c r="AQ118" s="8"/>
      <c r="AR118" s="8"/>
      <c r="AS118" s="11"/>
      <c r="AT118" s="11"/>
      <c r="AU118" s="11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11"/>
      <c r="AN119" s="11"/>
      <c r="AO119" s="8"/>
      <c r="AP119" s="8"/>
      <c r="AQ119" s="8"/>
      <c r="AR119" s="8"/>
      <c r="AS119" s="11"/>
      <c r="AT119" s="11"/>
      <c r="AU119" s="11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11"/>
      <c r="AN120" s="11"/>
      <c r="AO120" s="8"/>
      <c r="AP120" s="8"/>
      <c r="AQ120" s="8"/>
      <c r="AR120" s="8"/>
      <c r="AS120" s="11"/>
      <c r="AT120" s="11"/>
      <c r="AU120" s="11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11"/>
      <c r="AN121" s="11"/>
      <c r="AO121" s="8"/>
      <c r="AP121" s="8"/>
      <c r="AQ121" s="8"/>
      <c r="AR121" s="8"/>
      <c r="AS121" s="11"/>
      <c r="AT121" s="11"/>
      <c r="AU121" s="11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11"/>
      <c r="AN122" s="11"/>
      <c r="AO122" s="8"/>
      <c r="AP122" s="8"/>
      <c r="AQ122" s="8"/>
      <c r="AR122" s="8"/>
      <c r="AS122" s="11"/>
      <c r="AT122" s="11"/>
      <c r="AU122" s="11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11"/>
      <c r="AN123" s="11"/>
      <c r="AO123" s="8"/>
      <c r="AP123" s="8"/>
      <c r="AQ123" s="8"/>
      <c r="AR123" s="8"/>
      <c r="AS123" s="11"/>
      <c r="AT123" s="11"/>
      <c r="AU123" s="11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11"/>
      <c r="AN124" s="11"/>
      <c r="AO124" s="8"/>
      <c r="AP124" s="8"/>
      <c r="AQ124" s="8"/>
      <c r="AR124" s="8"/>
      <c r="AS124" s="11"/>
      <c r="AT124" s="11"/>
      <c r="AU124" s="11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11"/>
      <c r="AN125" s="11"/>
      <c r="AO125" s="8"/>
      <c r="AP125" s="8"/>
      <c r="AQ125" s="8"/>
      <c r="AR125" s="8"/>
      <c r="AS125" s="11"/>
      <c r="AT125" s="11"/>
      <c r="AU125" s="11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11"/>
      <c r="AN126" s="11"/>
      <c r="AO126" s="8"/>
      <c r="AP126" s="8"/>
      <c r="AQ126" s="8"/>
      <c r="AR126" s="8"/>
      <c r="AS126" s="11"/>
      <c r="AT126" s="11"/>
      <c r="AU126" s="11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11"/>
      <c r="AN127" s="11"/>
      <c r="AO127" s="8"/>
      <c r="AP127" s="8"/>
      <c r="AQ127" s="8"/>
      <c r="AR127" s="8"/>
      <c r="AS127" s="11"/>
      <c r="AT127" s="11"/>
      <c r="AU127" s="11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11"/>
      <c r="AN128" s="11"/>
      <c r="AO128" s="8"/>
      <c r="AP128" s="8"/>
      <c r="AQ128" s="8"/>
      <c r="AR128" s="8"/>
      <c r="AS128" s="11"/>
      <c r="AT128" s="11"/>
      <c r="AU128" s="11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11"/>
      <c r="AN129" s="11"/>
      <c r="AO129" s="8"/>
      <c r="AP129" s="8"/>
      <c r="AQ129" s="8"/>
      <c r="AR129" s="8"/>
      <c r="AS129" s="11"/>
      <c r="AT129" s="11"/>
      <c r="AU129" s="11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11"/>
      <c r="AN130" s="11"/>
      <c r="AO130" s="8"/>
      <c r="AP130" s="8"/>
      <c r="AQ130" s="8"/>
      <c r="AR130" s="8"/>
      <c r="AS130" s="11"/>
      <c r="AT130" s="11"/>
      <c r="AU130" s="11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11"/>
      <c r="AN131" s="11"/>
      <c r="AO131" s="8"/>
      <c r="AP131" s="8"/>
      <c r="AQ131" s="8"/>
      <c r="AR131" s="8"/>
      <c r="AS131" s="11"/>
      <c r="AT131" s="11"/>
      <c r="AU131" s="11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11"/>
      <c r="AN132" s="11"/>
      <c r="AO132" s="8"/>
      <c r="AP132" s="8"/>
      <c r="AQ132" s="8"/>
      <c r="AR132" s="8"/>
      <c r="AS132" s="11"/>
      <c r="AT132" s="11"/>
      <c r="AU132" s="11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11"/>
      <c r="AN133" s="11"/>
      <c r="AO133" s="8"/>
      <c r="AP133" s="8"/>
      <c r="AQ133" s="8"/>
      <c r="AR133" s="8"/>
      <c r="AS133" s="11"/>
      <c r="AT133" s="11"/>
      <c r="AU133" s="11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11"/>
      <c r="AN134" s="11"/>
      <c r="AO134" s="8"/>
      <c r="AP134" s="8"/>
      <c r="AQ134" s="8"/>
      <c r="AR134" s="8"/>
      <c r="AS134" s="11"/>
      <c r="AT134" s="11"/>
      <c r="AU134" s="11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11"/>
      <c r="AN135" s="11"/>
      <c r="AO135" s="8"/>
      <c r="AP135" s="8"/>
      <c r="AQ135" s="8"/>
      <c r="AR135" s="8"/>
      <c r="AS135" s="11"/>
      <c r="AT135" s="11"/>
      <c r="AU135" s="11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11"/>
      <c r="AN136" s="11"/>
      <c r="AO136" s="8"/>
      <c r="AP136" s="8"/>
      <c r="AQ136" s="8"/>
      <c r="AR136" s="8"/>
      <c r="AS136" s="11"/>
      <c r="AT136" s="11"/>
      <c r="AU136" s="11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11"/>
      <c r="AN137" s="11"/>
      <c r="AO137" s="8"/>
      <c r="AP137" s="8"/>
      <c r="AQ137" s="8"/>
      <c r="AR137" s="8"/>
      <c r="AS137" s="11"/>
      <c r="AT137" s="11"/>
      <c r="AU137" s="11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11"/>
      <c r="AN138" s="11"/>
      <c r="AO138" s="8"/>
      <c r="AP138" s="8"/>
      <c r="AQ138" s="8"/>
      <c r="AR138" s="8"/>
      <c r="AS138" s="11"/>
      <c r="AT138" s="11"/>
      <c r="AU138" s="11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11"/>
      <c r="AN139" s="11"/>
      <c r="AO139" s="8"/>
      <c r="AP139" s="8"/>
      <c r="AQ139" s="8"/>
      <c r="AR139" s="8"/>
      <c r="AS139" s="11"/>
      <c r="AT139" s="11"/>
      <c r="AU139" s="11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11"/>
      <c r="AN140" s="11"/>
      <c r="AO140" s="8"/>
      <c r="AP140" s="8"/>
      <c r="AQ140" s="8"/>
      <c r="AR140" s="8"/>
      <c r="AS140" s="11"/>
      <c r="AT140" s="11"/>
      <c r="AU140" s="11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11"/>
      <c r="AN141" s="11"/>
      <c r="AO141" s="8"/>
      <c r="AP141" s="8"/>
      <c r="AQ141" s="8"/>
      <c r="AR141" s="8"/>
      <c r="AS141" s="11"/>
      <c r="AT141" s="11"/>
      <c r="AU141" s="11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11"/>
      <c r="AN142" s="11"/>
      <c r="AO142" s="8"/>
      <c r="AP142" s="8"/>
      <c r="AQ142" s="8"/>
      <c r="AR142" s="8"/>
      <c r="AS142" s="11"/>
      <c r="AT142" s="11"/>
      <c r="AU142" s="11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11"/>
      <c r="AN143" s="11"/>
      <c r="AO143" s="8"/>
      <c r="AP143" s="8"/>
      <c r="AQ143" s="8"/>
      <c r="AR143" s="8"/>
      <c r="AS143" s="11"/>
      <c r="AT143" s="11"/>
      <c r="AU143" s="11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11"/>
      <c r="AN144" s="11"/>
      <c r="AO144" s="8"/>
      <c r="AP144" s="8"/>
      <c r="AQ144" s="8"/>
      <c r="AR144" s="8"/>
      <c r="AS144" s="11"/>
      <c r="AT144" s="11"/>
      <c r="AU144" s="11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11"/>
      <c r="AN145" s="11"/>
      <c r="AO145" s="8"/>
      <c r="AP145" s="8"/>
      <c r="AQ145" s="8"/>
      <c r="AR145" s="8"/>
      <c r="AS145" s="11"/>
      <c r="AT145" s="11"/>
      <c r="AU145" s="11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11"/>
      <c r="AN146" s="11"/>
      <c r="AO146" s="8"/>
      <c r="AP146" s="8"/>
      <c r="AQ146" s="8"/>
      <c r="AR146" s="8"/>
      <c r="AS146" s="11"/>
      <c r="AT146" s="11"/>
      <c r="AU146" s="11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11"/>
      <c r="AN147" s="11"/>
      <c r="AO147" s="8"/>
      <c r="AP147" s="8"/>
      <c r="AQ147" s="8"/>
      <c r="AR147" s="8"/>
      <c r="AS147" s="11"/>
      <c r="AT147" s="11"/>
      <c r="AU147" s="11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11"/>
      <c r="AN148" s="11"/>
      <c r="AO148" s="8"/>
      <c r="AP148" s="8"/>
      <c r="AQ148" s="8"/>
      <c r="AR148" s="8"/>
      <c r="AS148" s="11"/>
      <c r="AT148" s="11"/>
      <c r="AU148" s="11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11"/>
      <c r="AN149" s="11"/>
      <c r="AO149" s="8"/>
      <c r="AP149" s="8"/>
      <c r="AQ149" s="8"/>
      <c r="AR149" s="8"/>
      <c r="AS149" s="11"/>
      <c r="AT149" s="11"/>
      <c r="AU149" s="11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11"/>
      <c r="AN150" s="11"/>
      <c r="AO150" s="8"/>
      <c r="AP150" s="8"/>
      <c r="AQ150" s="8"/>
      <c r="AR150" s="8"/>
      <c r="AS150" s="11"/>
      <c r="AT150" s="11"/>
      <c r="AU150" s="11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11"/>
      <c r="AN151" s="11"/>
      <c r="AO151" s="8"/>
      <c r="AP151" s="8"/>
      <c r="AQ151" s="8"/>
      <c r="AR151" s="8"/>
      <c r="AS151" s="11"/>
      <c r="AT151" s="11"/>
      <c r="AU151" s="11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11"/>
      <c r="AN152" s="11"/>
      <c r="AO152" s="8"/>
      <c r="AP152" s="8"/>
      <c r="AQ152" s="8"/>
      <c r="AR152" s="8"/>
      <c r="AS152" s="11"/>
      <c r="AT152" s="11"/>
      <c r="AU152" s="11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11"/>
      <c r="AN153" s="11"/>
      <c r="AO153" s="8"/>
      <c r="AP153" s="8"/>
      <c r="AQ153" s="8"/>
      <c r="AR153" s="8"/>
      <c r="AS153" s="11"/>
      <c r="AT153" s="11"/>
      <c r="AU153" s="11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11"/>
      <c r="AN154" s="11"/>
      <c r="AO154" s="8"/>
      <c r="AP154" s="8"/>
      <c r="AQ154" s="8"/>
      <c r="AR154" s="8"/>
      <c r="AS154" s="11"/>
      <c r="AT154" s="11"/>
      <c r="AU154" s="11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11"/>
      <c r="AN155" s="11"/>
      <c r="AO155" s="8"/>
      <c r="AP155" s="8"/>
      <c r="AQ155" s="8"/>
      <c r="AR155" s="8"/>
      <c r="AS155" s="11"/>
      <c r="AT155" s="11"/>
      <c r="AU155" s="11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11"/>
      <c r="AN156" s="11"/>
      <c r="AO156" s="8"/>
      <c r="AP156" s="8"/>
      <c r="AQ156" s="8"/>
      <c r="AR156" s="8"/>
      <c r="AS156" s="11"/>
      <c r="AT156" s="11"/>
      <c r="AU156" s="11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11"/>
      <c r="AN157" s="11"/>
      <c r="AO157" s="8"/>
      <c r="AP157" s="8"/>
      <c r="AQ157" s="8"/>
      <c r="AR157" s="8"/>
      <c r="AS157" s="11"/>
      <c r="AT157" s="11"/>
      <c r="AU157" s="11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11"/>
      <c r="AN158" s="11"/>
      <c r="AO158" s="8"/>
      <c r="AP158" s="8"/>
      <c r="AQ158" s="8"/>
      <c r="AR158" s="8"/>
      <c r="AS158" s="11"/>
      <c r="AT158" s="11"/>
      <c r="AU158" s="11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11"/>
      <c r="AN159" s="11"/>
      <c r="AO159" s="8"/>
      <c r="AP159" s="8"/>
      <c r="AQ159" s="8"/>
      <c r="AR159" s="8"/>
      <c r="AS159" s="11"/>
      <c r="AT159" s="11"/>
      <c r="AU159" s="11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11"/>
      <c r="AN160" s="11"/>
      <c r="AO160" s="8"/>
      <c r="AP160" s="8"/>
      <c r="AQ160" s="8"/>
      <c r="AR160" s="8"/>
      <c r="AS160" s="11"/>
      <c r="AT160" s="11"/>
      <c r="AU160" s="11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11"/>
      <c r="AN161" s="11"/>
      <c r="AO161" s="8"/>
      <c r="AP161" s="8"/>
      <c r="AQ161" s="8"/>
      <c r="AR161" s="8"/>
      <c r="AS161" s="11"/>
      <c r="AT161" s="11"/>
      <c r="AU161" s="11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11"/>
      <c r="AN162" s="11"/>
      <c r="AO162" s="8"/>
      <c r="AP162" s="8"/>
      <c r="AQ162" s="8"/>
      <c r="AR162" s="8"/>
      <c r="AS162" s="11"/>
      <c r="AT162" s="11"/>
      <c r="AU162" s="11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11"/>
      <c r="AN163" s="11"/>
      <c r="AO163" s="8"/>
      <c r="AP163" s="8"/>
      <c r="AQ163" s="8"/>
      <c r="AR163" s="8"/>
      <c r="AS163" s="11"/>
      <c r="AT163" s="11"/>
      <c r="AU163" s="11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11"/>
      <c r="AN164" s="11"/>
      <c r="AO164" s="8"/>
      <c r="AP164" s="8"/>
      <c r="AQ164" s="8"/>
      <c r="AR164" s="8"/>
      <c r="AS164" s="11"/>
      <c r="AT164" s="11"/>
      <c r="AU164" s="11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11"/>
      <c r="AN165" s="11"/>
      <c r="AO165" s="8"/>
      <c r="AP165" s="8"/>
      <c r="AQ165" s="8"/>
      <c r="AR165" s="8"/>
      <c r="AS165" s="11"/>
      <c r="AT165" s="11"/>
      <c r="AU165" s="11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11"/>
      <c r="AN166" s="11"/>
      <c r="AO166" s="8"/>
      <c r="AP166" s="8"/>
      <c r="AQ166" s="8"/>
      <c r="AR166" s="8"/>
      <c r="AS166" s="11"/>
      <c r="AT166" s="11"/>
      <c r="AU166" s="11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11"/>
      <c r="AN167" s="11"/>
      <c r="AO167" s="8"/>
      <c r="AP167" s="8"/>
      <c r="AQ167" s="8"/>
      <c r="AR167" s="8"/>
      <c r="AS167" s="11"/>
      <c r="AT167" s="11"/>
      <c r="AU167" s="11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11"/>
      <c r="AN168" s="11"/>
      <c r="AO168" s="8"/>
      <c r="AP168" s="8"/>
      <c r="AQ168" s="8"/>
      <c r="AR168" s="8"/>
      <c r="AS168" s="11"/>
      <c r="AT168" s="11"/>
      <c r="AU168" s="11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11"/>
      <c r="AN169" s="11"/>
      <c r="AO169" s="8"/>
      <c r="AP169" s="8"/>
      <c r="AQ169" s="8"/>
      <c r="AR169" s="8"/>
      <c r="AS169" s="11"/>
      <c r="AT169" s="11"/>
      <c r="AU169" s="11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11"/>
      <c r="AN170" s="11"/>
      <c r="AO170" s="8"/>
      <c r="AP170" s="8"/>
      <c r="AQ170" s="8"/>
      <c r="AR170" s="8"/>
      <c r="AS170" s="11"/>
      <c r="AT170" s="11"/>
      <c r="AU170" s="11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11"/>
      <c r="AN171" s="11"/>
      <c r="AO171" s="8"/>
      <c r="AP171" s="8"/>
      <c r="AQ171" s="8"/>
      <c r="AR171" s="8"/>
      <c r="AS171" s="11"/>
      <c r="AT171" s="11"/>
      <c r="AU171" s="11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11"/>
      <c r="AN172" s="11"/>
      <c r="AO172" s="8"/>
      <c r="AP172" s="8"/>
      <c r="AQ172" s="8"/>
      <c r="AR172" s="8"/>
      <c r="AS172" s="11"/>
      <c r="AT172" s="11"/>
      <c r="AU172" s="11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11"/>
      <c r="AN173" s="11"/>
      <c r="AO173" s="8"/>
      <c r="AP173" s="8"/>
      <c r="AQ173" s="8"/>
      <c r="AR173" s="8"/>
      <c r="AS173" s="11"/>
      <c r="AT173" s="11"/>
      <c r="AU173" s="11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11"/>
      <c r="AN174" s="11"/>
      <c r="AO174" s="8"/>
      <c r="AP174" s="8"/>
      <c r="AQ174" s="8"/>
      <c r="AR174" s="8"/>
      <c r="AS174" s="11"/>
      <c r="AT174" s="11"/>
      <c r="AU174" s="11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11"/>
      <c r="AN175" s="11"/>
      <c r="AO175" s="8"/>
      <c r="AP175" s="8"/>
      <c r="AQ175" s="8"/>
      <c r="AR175" s="8"/>
      <c r="AS175" s="11"/>
      <c r="AT175" s="11"/>
      <c r="AU175" s="11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11"/>
      <c r="AN176" s="11"/>
      <c r="AO176" s="8"/>
      <c r="AP176" s="8"/>
      <c r="AQ176" s="8"/>
      <c r="AR176" s="8"/>
      <c r="AS176" s="11"/>
      <c r="AT176" s="11"/>
      <c r="AU176" s="11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11"/>
      <c r="AN177" s="11"/>
      <c r="AO177" s="8"/>
      <c r="AP177" s="8"/>
      <c r="AQ177" s="8"/>
      <c r="AR177" s="8"/>
      <c r="AS177" s="11"/>
      <c r="AT177" s="11"/>
      <c r="AU177" s="11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11"/>
      <c r="AN178" s="11"/>
      <c r="AO178" s="8"/>
      <c r="AP178" s="8"/>
      <c r="AQ178" s="8"/>
      <c r="AR178" s="8"/>
      <c r="AS178" s="11"/>
      <c r="AT178" s="11"/>
      <c r="AU178" s="11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11"/>
      <c r="AN179" s="11"/>
      <c r="AO179" s="8"/>
      <c r="AP179" s="8"/>
      <c r="AQ179" s="8"/>
      <c r="AR179" s="8"/>
      <c r="AS179" s="11"/>
      <c r="AT179" s="11"/>
      <c r="AU179" s="11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11"/>
      <c r="AN180" s="11"/>
      <c r="AO180" s="8"/>
      <c r="AP180" s="8"/>
      <c r="AQ180" s="8"/>
      <c r="AR180" s="8"/>
      <c r="AS180" s="11"/>
      <c r="AT180" s="11"/>
      <c r="AU180" s="11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11"/>
      <c r="AN181" s="11"/>
      <c r="AO181" s="8"/>
      <c r="AP181" s="8"/>
      <c r="AQ181" s="8"/>
      <c r="AR181" s="8"/>
      <c r="AS181" s="11"/>
      <c r="AT181" s="11"/>
      <c r="AU181" s="11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11"/>
      <c r="AN182" s="11"/>
      <c r="AO182" s="8"/>
      <c r="AP182" s="8"/>
      <c r="AQ182" s="8"/>
      <c r="AR182" s="8"/>
      <c r="AS182" s="11"/>
      <c r="AT182" s="11"/>
      <c r="AU182" s="11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11"/>
      <c r="AN183" s="11"/>
      <c r="AO183" s="8"/>
      <c r="AP183" s="8"/>
      <c r="AQ183" s="8"/>
      <c r="AR183" s="8"/>
      <c r="AS183" s="11"/>
      <c r="AT183" s="11"/>
      <c r="AU183" s="11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11"/>
      <c r="AN184" s="11"/>
      <c r="AO184" s="8"/>
      <c r="AP184" s="8"/>
      <c r="AQ184" s="8"/>
      <c r="AR184" s="8"/>
      <c r="AS184" s="11"/>
      <c r="AT184" s="11"/>
      <c r="AU184" s="11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11"/>
      <c r="AN185" s="11"/>
      <c r="AO185" s="8"/>
      <c r="AP185" s="8"/>
      <c r="AQ185" s="8"/>
      <c r="AR185" s="8"/>
      <c r="AS185" s="11"/>
      <c r="AT185" s="11"/>
      <c r="AU185" s="11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11"/>
      <c r="AN186" s="11"/>
      <c r="AO186" s="8"/>
      <c r="AP186" s="8"/>
      <c r="AQ186" s="8"/>
      <c r="AR186" s="8"/>
      <c r="AS186" s="11"/>
      <c r="AT186" s="11"/>
      <c r="AU186" s="11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11"/>
      <c r="AN187" s="11"/>
      <c r="AO187" s="8"/>
      <c r="AP187" s="8"/>
      <c r="AQ187" s="8"/>
      <c r="AR187" s="8"/>
      <c r="AS187" s="11"/>
      <c r="AT187" s="11"/>
      <c r="AU187" s="11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11"/>
      <c r="AN188" s="11"/>
      <c r="AO188" s="8"/>
      <c r="AP188" s="8"/>
      <c r="AQ188" s="8"/>
      <c r="AR188" s="8"/>
      <c r="AS188" s="11"/>
      <c r="AT188" s="11"/>
      <c r="AU188" s="11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11"/>
      <c r="AN189" s="11"/>
      <c r="AO189" s="8"/>
      <c r="AP189" s="8"/>
      <c r="AQ189" s="8"/>
      <c r="AR189" s="8"/>
      <c r="AS189" s="11"/>
      <c r="AT189" s="11"/>
      <c r="AU189" s="11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11"/>
      <c r="AN190" s="11"/>
      <c r="AO190" s="8"/>
      <c r="AP190" s="8"/>
      <c r="AQ190" s="8"/>
      <c r="AR190" s="8"/>
      <c r="AS190" s="11"/>
      <c r="AT190" s="11"/>
      <c r="AU190" s="11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11"/>
      <c r="AN191" s="11"/>
      <c r="AO191" s="8"/>
      <c r="AP191" s="8"/>
      <c r="AQ191" s="8"/>
      <c r="AR191" s="8"/>
      <c r="AS191" s="11"/>
      <c r="AT191" s="11"/>
      <c r="AU191" s="11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11"/>
      <c r="AN192" s="11"/>
      <c r="AO192" s="8"/>
      <c r="AP192" s="8"/>
      <c r="AQ192" s="8"/>
      <c r="AR192" s="8"/>
      <c r="AS192" s="11"/>
      <c r="AT192" s="11"/>
      <c r="AU192" s="11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11"/>
      <c r="AN193" s="11"/>
      <c r="AO193" s="8"/>
      <c r="AP193" s="8"/>
      <c r="AQ193" s="8"/>
      <c r="AR193" s="8"/>
      <c r="AS193" s="11"/>
      <c r="AT193" s="11"/>
      <c r="AU193" s="11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11"/>
      <c r="AN194" s="11"/>
      <c r="AO194" s="8"/>
      <c r="AP194" s="8"/>
      <c r="AQ194" s="8"/>
      <c r="AR194" s="8"/>
      <c r="AS194" s="11"/>
      <c r="AT194" s="11"/>
      <c r="AU194" s="11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11"/>
      <c r="AN195" s="11"/>
      <c r="AO195" s="8"/>
      <c r="AP195" s="8"/>
      <c r="AQ195" s="8"/>
      <c r="AR195" s="8"/>
      <c r="AS195" s="11"/>
      <c r="AT195" s="11"/>
      <c r="AU195" s="11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11"/>
      <c r="AN196" s="11"/>
      <c r="AO196" s="8"/>
      <c r="AP196" s="8"/>
      <c r="AQ196" s="8"/>
      <c r="AR196" s="8"/>
      <c r="AS196" s="11"/>
      <c r="AT196" s="11"/>
      <c r="AU196" s="11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11"/>
      <c r="AN197" s="11"/>
      <c r="AO197" s="8"/>
      <c r="AP197" s="8"/>
      <c r="AQ197" s="8"/>
      <c r="AR197" s="8"/>
      <c r="AS197" s="11"/>
      <c r="AT197" s="11"/>
      <c r="AU197" s="11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11"/>
      <c r="AN198" s="11"/>
      <c r="AO198" s="8"/>
      <c r="AP198" s="8"/>
      <c r="AQ198" s="8"/>
      <c r="AR198" s="8"/>
      <c r="AS198" s="11"/>
      <c r="AT198" s="11"/>
      <c r="AU198" s="11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11"/>
      <c r="AN199" s="11"/>
      <c r="AO199" s="8"/>
      <c r="AP199" s="8"/>
      <c r="AQ199" s="8"/>
      <c r="AR199" s="8"/>
      <c r="AS199" s="11"/>
      <c r="AT199" s="11"/>
      <c r="AU199" s="11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11"/>
      <c r="AN200" s="11"/>
      <c r="AO200" s="8"/>
      <c r="AP200" s="8"/>
      <c r="AQ200" s="8"/>
      <c r="AR200" s="8"/>
      <c r="AS200" s="11"/>
      <c r="AT200" s="11"/>
      <c r="AU200" s="11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11"/>
      <c r="AN201" s="11"/>
      <c r="AO201" s="8"/>
      <c r="AP201" s="8"/>
      <c r="AQ201" s="8"/>
      <c r="AR201" s="8"/>
      <c r="AS201" s="11"/>
      <c r="AT201" s="11"/>
      <c r="AU201" s="11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11"/>
      <c r="AN202" s="11"/>
      <c r="AO202" s="8"/>
      <c r="AP202" s="8"/>
      <c r="AQ202" s="8"/>
      <c r="AR202" s="8"/>
      <c r="AS202" s="11"/>
      <c r="AT202" s="11"/>
      <c r="AU202" s="11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11"/>
      <c r="AN203" s="11"/>
      <c r="AO203" s="8"/>
      <c r="AP203" s="8"/>
      <c r="AQ203" s="8"/>
      <c r="AR203" s="8"/>
      <c r="AS203" s="11"/>
      <c r="AT203" s="11"/>
      <c r="AU203" s="11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11"/>
      <c r="AN204" s="11"/>
      <c r="AO204" s="8"/>
      <c r="AP204" s="8"/>
      <c r="AQ204" s="8"/>
      <c r="AR204" s="8"/>
      <c r="AS204" s="11"/>
      <c r="AT204" s="11"/>
      <c r="AU204" s="11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11"/>
      <c r="AN205" s="11"/>
      <c r="AO205" s="8"/>
      <c r="AP205" s="8"/>
      <c r="AQ205" s="8"/>
      <c r="AR205" s="8"/>
      <c r="AS205" s="11"/>
      <c r="AT205" s="11"/>
      <c r="AU205" s="11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11"/>
      <c r="AN206" s="11"/>
      <c r="AO206" s="8"/>
      <c r="AP206" s="8"/>
      <c r="AQ206" s="8"/>
      <c r="AR206" s="8"/>
      <c r="AS206" s="11"/>
      <c r="AT206" s="11"/>
      <c r="AU206" s="11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11"/>
      <c r="AN207" s="11"/>
      <c r="AO207" s="8"/>
      <c r="AP207" s="8"/>
      <c r="AQ207" s="8"/>
      <c r="AR207" s="8"/>
      <c r="AS207" s="11"/>
      <c r="AT207" s="11"/>
      <c r="AU207" s="11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11"/>
      <c r="AN208" s="11"/>
      <c r="AO208" s="8"/>
      <c r="AP208" s="8"/>
      <c r="AQ208" s="8"/>
      <c r="AR208" s="8"/>
      <c r="AS208" s="11"/>
      <c r="AT208" s="11"/>
      <c r="AU208" s="11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11"/>
      <c r="AN209" s="11"/>
      <c r="AO209" s="8"/>
      <c r="AP209" s="8"/>
      <c r="AQ209" s="8"/>
      <c r="AR209" s="8"/>
      <c r="AS209" s="11"/>
      <c r="AT209" s="11"/>
      <c r="AU209" s="11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11"/>
      <c r="AN210" s="11"/>
      <c r="AO210" s="8"/>
      <c r="AP210" s="8"/>
      <c r="AQ210" s="8"/>
      <c r="AR210" s="8"/>
      <c r="AS210" s="11"/>
      <c r="AT210" s="11"/>
      <c r="AU210" s="11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11"/>
      <c r="AN211" s="11"/>
      <c r="AO211" s="8"/>
      <c r="AP211" s="8"/>
      <c r="AQ211" s="8"/>
      <c r="AR211" s="8"/>
      <c r="AS211" s="11"/>
      <c r="AT211" s="11"/>
      <c r="AU211" s="11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11"/>
      <c r="AN212" s="11"/>
      <c r="AO212" s="8"/>
      <c r="AP212" s="8"/>
      <c r="AQ212" s="8"/>
      <c r="AR212" s="8"/>
      <c r="AS212" s="11"/>
      <c r="AT212" s="11"/>
      <c r="AU212" s="11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11"/>
      <c r="AN213" s="11"/>
      <c r="AO213" s="8"/>
      <c r="AP213" s="8"/>
      <c r="AQ213" s="8"/>
      <c r="AR213" s="8"/>
      <c r="AS213" s="11"/>
      <c r="AT213" s="11"/>
      <c r="AU213" s="11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11"/>
      <c r="AN214" s="11"/>
      <c r="AO214" s="8"/>
      <c r="AP214" s="8"/>
      <c r="AQ214" s="8"/>
      <c r="AR214" s="8"/>
      <c r="AS214" s="11"/>
      <c r="AT214" s="11"/>
      <c r="AU214" s="11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11"/>
      <c r="AN215" s="11"/>
      <c r="AO215" s="8"/>
      <c r="AP215" s="8"/>
      <c r="AQ215" s="8"/>
      <c r="AR215" s="8"/>
      <c r="AS215" s="11"/>
      <c r="AT215" s="11"/>
      <c r="AU215" s="11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11"/>
      <c r="AN216" s="11"/>
      <c r="AO216" s="8"/>
      <c r="AP216" s="8"/>
      <c r="AQ216" s="8"/>
      <c r="AR216" s="8"/>
      <c r="AS216" s="11"/>
      <c r="AT216" s="11"/>
      <c r="AU216" s="11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11"/>
      <c r="AN217" s="11"/>
      <c r="AO217" s="8"/>
      <c r="AP217" s="8"/>
      <c r="AQ217" s="8"/>
      <c r="AR217" s="8"/>
      <c r="AS217" s="11"/>
      <c r="AT217" s="11"/>
      <c r="AU217" s="11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11"/>
      <c r="AN218" s="11"/>
      <c r="AO218" s="8"/>
      <c r="AP218" s="8"/>
      <c r="AQ218" s="8"/>
      <c r="AR218" s="8"/>
      <c r="AS218" s="11"/>
      <c r="AT218" s="11"/>
      <c r="AU218" s="11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11"/>
      <c r="AN219" s="11"/>
      <c r="AO219" s="8"/>
      <c r="AP219" s="8"/>
      <c r="AQ219" s="8"/>
      <c r="AR219" s="8"/>
      <c r="AS219" s="11"/>
      <c r="AT219" s="11"/>
      <c r="AU219" s="11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11"/>
      <c r="AN220" s="11"/>
      <c r="AO220" s="8"/>
      <c r="AP220" s="8"/>
      <c r="AQ220" s="8"/>
      <c r="AR220" s="8"/>
      <c r="AS220" s="11"/>
      <c r="AT220" s="11"/>
      <c r="AU220" s="11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11"/>
      <c r="AN221" s="11"/>
      <c r="AO221" s="8"/>
      <c r="AP221" s="8"/>
      <c r="AQ221" s="8"/>
      <c r="AR221" s="8"/>
      <c r="AS221" s="11"/>
      <c r="AT221" s="11"/>
      <c r="AU221" s="11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11"/>
      <c r="AN222" s="11"/>
      <c r="AO222" s="8"/>
      <c r="AP222" s="8"/>
      <c r="AQ222" s="8"/>
      <c r="AR222" s="8"/>
      <c r="AS222" s="11"/>
      <c r="AT222" s="11"/>
      <c r="AU222" s="11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11"/>
      <c r="AN223" s="11"/>
      <c r="AO223" s="8"/>
      <c r="AP223" s="8"/>
      <c r="AQ223" s="8"/>
      <c r="AR223" s="8"/>
      <c r="AS223" s="11"/>
      <c r="AT223" s="11"/>
      <c r="AU223" s="11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11"/>
      <c r="AN224" s="11"/>
      <c r="AO224" s="8"/>
      <c r="AP224" s="8"/>
      <c r="AQ224" s="8"/>
      <c r="AR224" s="8"/>
      <c r="AS224" s="11"/>
      <c r="AT224" s="11"/>
      <c r="AU224" s="11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11"/>
      <c r="AN225" s="11"/>
      <c r="AO225" s="8"/>
      <c r="AP225" s="8"/>
      <c r="AQ225" s="8"/>
      <c r="AR225" s="8"/>
      <c r="AS225" s="11"/>
      <c r="AT225" s="11"/>
      <c r="AU225" s="11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11"/>
      <c r="AN226" s="11"/>
      <c r="AO226" s="8"/>
      <c r="AP226" s="8"/>
      <c r="AQ226" s="8"/>
      <c r="AR226" s="8"/>
      <c r="AS226" s="11"/>
      <c r="AT226" s="11"/>
      <c r="AU226" s="11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11"/>
      <c r="AN227" s="11"/>
      <c r="AO227" s="8"/>
      <c r="AP227" s="8"/>
      <c r="AQ227" s="8"/>
      <c r="AR227" s="8"/>
      <c r="AS227" s="11"/>
      <c r="AT227" s="11"/>
      <c r="AU227" s="11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11"/>
      <c r="AN228" s="11"/>
      <c r="AO228" s="8"/>
      <c r="AP228" s="8"/>
      <c r="AQ228" s="8"/>
      <c r="AR228" s="8"/>
      <c r="AS228" s="11"/>
      <c r="AT228" s="11"/>
      <c r="AU228" s="11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11"/>
      <c r="AN229" s="11"/>
      <c r="AO229" s="8"/>
      <c r="AP229" s="8"/>
      <c r="AQ229" s="8"/>
      <c r="AR229" s="8"/>
      <c r="AS229" s="11"/>
      <c r="AT229" s="11"/>
      <c r="AU229" s="11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11"/>
      <c r="AN230" s="11"/>
      <c r="AO230" s="8"/>
      <c r="AP230" s="8"/>
      <c r="AQ230" s="8"/>
      <c r="AR230" s="8"/>
      <c r="AS230" s="11"/>
      <c r="AT230" s="11"/>
      <c r="AU230" s="11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11"/>
      <c r="AN231" s="11"/>
      <c r="AO231" s="8"/>
      <c r="AP231" s="8"/>
      <c r="AQ231" s="8"/>
      <c r="AR231" s="8"/>
      <c r="AS231" s="11"/>
      <c r="AT231" s="11"/>
      <c r="AU231" s="11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11"/>
      <c r="AN232" s="11"/>
      <c r="AO232" s="8"/>
      <c r="AP232" s="8"/>
      <c r="AQ232" s="8"/>
      <c r="AR232" s="8"/>
      <c r="AS232" s="11"/>
      <c r="AT232" s="11"/>
      <c r="AU232" s="11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11"/>
      <c r="AN233" s="11"/>
      <c r="AO233" s="8"/>
      <c r="AP233" s="8"/>
      <c r="AQ233" s="8"/>
      <c r="AR233" s="8"/>
      <c r="AS233" s="11"/>
      <c r="AT233" s="11"/>
      <c r="AU233" s="11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11"/>
      <c r="AN234" s="11"/>
      <c r="AO234" s="8"/>
      <c r="AP234" s="8"/>
      <c r="AQ234" s="8"/>
      <c r="AR234" s="8"/>
      <c r="AS234" s="11"/>
      <c r="AT234" s="11"/>
      <c r="AU234" s="11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11"/>
      <c r="AN235" s="11"/>
      <c r="AO235" s="8"/>
      <c r="AP235" s="8"/>
      <c r="AQ235" s="8"/>
      <c r="AR235" s="8"/>
      <c r="AS235" s="11"/>
      <c r="AT235" s="11"/>
      <c r="AU235" s="11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11"/>
      <c r="AN236" s="11"/>
      <c r="AO236" s="8"/>
      <c r="AP236" s="8"/>
      <c r="AQ236" s="8"/>
      <c r="AR236" s="8"/>
      <c r="AS236" s="11"/>
      <c r="AT236" s="11"/>
      <c r="AU236" s="11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11"/>
      <c r="AN237" s="11"/>
      <c r="AO237" s="8"/>
      <c r="AP237" s="8"/>
      <c r="AQ237" s="8"/>
      <c r="AR237" s="8"/>
      <c r="AS237" s="11"/>
      <c r="AT237" s="11"/>
      <c r="AU237" s="11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11"/>
      <c r="AN238" s="11"/>
      <c r="AO238" s="8"/>
      <c r="AP238" s="8"/>
      <c r="AQ238" s="8"/>
      <c r="AR238" s="8"/>
      <c r="AS238" s="11"/>
      <c r="AT238" s="11"/>
      <c r="AU238" s="11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11"/>
      <c r="AN239" s="11"/>
      <c r="AO239" s="8"/>
      <c r="AP239" s="8"/>
      <c r="AQ239" s="8"/>
      <c r="AR239" s="8"/>
      <c r="AS239" s="11"/>
      <c r="AT239" s="11"/>
      <c r="AU239" s="11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11"/>
      <c r="AN240" s="11"/>
      <c r="AO240" s="8"/>
      <c r="AP240" s="8"/>
      <c r="AQ240" s="8"/>
      <c r="AR240" s="8"/>
      <c r="AS240" s="11"/>
      <c r="AT240" s="11"/>
      <c r="AU240" s="11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11"/>
      <c r="AN241" s="11"/>
      <c r="AO241" s="8"/>
      <c r="AP241" s="8"/>
      <c r="AQ241" s="8"/>
      <c r="AR241" s="8"/>
      <c r="AS241" s="11"/>
      <c r="AT241" s="11"/>
      <c r="AU241" s="11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11"/>
      <c r="AN242" s="11"/>
      <c r="AO242" s="8"/>
      <c r="AP242" s="8"/>
      <c r="AQ242" s="8"/>
      <c r="AR242" s="8"/>
      <c r="AS242" s="11"/>
      <c r="AT242" s="11"/>
      <c r="AU242" s="11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11"/>
      <c r="AN243" s="11"/>
      <c r="AO243" s="8"/>
      <c r="AP243" s="8"/>
      <c r="AQ243" s="8"/>
      <c r="AR243" s="8"/>
      <c r="AS243" s="11"/>
      <c r="AT243" s="11"/>
      <c r="AU243" s="11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11"/>
      <c r="AN244" s="11"/>
      <c r="AO244" s="8"/>
      <c r="AP244" s="8"/>
      <c r="AQ244" s="8"/>
      <c r="AR244" s="8"/>
      <c r="AS244" s="11"/>
      <c r="AT244" s="11"/>
      <c r="AU244" s="11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11"/>
      <c r="AN245" s="11"/>
      <c r="AO245" s="8"/>
      <c r="AP245" s="8"/>
      <c r="AQ245" s="8"/>
      <c r="AR245" s="8"/>
      <c r="AS245" s="11"/>
      <c r="AT245" s="11"/>
      <c r="AU245" s="11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11"/>
      <c r="AN246" s="11"/>
      <c r="AO246" s="8"/>
      <c r="AP246" s="8"/>
      <c r="AQ246" s="8"/>
      <c r="AR246" s="8"/>
      <c r="AS246" s="11"/>
      <c r="AT246" s="11"/>
      <c r="AU246" s="11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11"/>
      <c r="AN247" s="11"/>
      <c r="AO247" s="8"/>
      <c r="AP247" s="8"/>
      <c r="AQ247" s="8"/>
      <c r="AR247" s="8"/>
      <c r="AS247" s="11"/>
      <c r="AT247" s="11"/>
      <c r="AU247" s="11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11"/>
      <c r="AN248" s="11"/>
      <c r="AO248" s="8"/>
      <c r="AP248" s="8"/>
      <c r="AQ248" s="8"/>
      <c r="AR248" s="8"/>
      <c r="AS248" s="11"/>
      <c r="AT248" s="11"/>
      <c r="AU248" s="11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11"/>
      <c r="AN249" s="11"/>
      <c r="AO249" s="8"/>
      <c r="AP249" s="8"/>
      <c r="AQ249" s="8"/>
      <c r="AR249" s="8"/>
      <c r="AS249" s="11"/>
      <c r="AT249" s="11"/>
      <c r="AU249" s="11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11"/>
      <c r="AN250" s="11"/>
      <c r="AO250" s="8"/>
      <c r="AP250" s="8"/>
      <c r="AQ250" s="8"/>
      <c r="AR250" s="8"/>
      <c r="AS250" s="11"/>
      <c r="AT250" s="11"/>
      <c r="AU250" s="11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11"/>
      <c r="AN251" s="11"/>
      <c r="AO251" s="8"/>
      <c r="AP251" s="8"/>
      <c r="AQ251" s="8"/>
      <c r="AR251" s="8"/>
      <c r="AS251" s="11"/>
      <c r="AT251" s="11"/>
      <c r="AU251" s="11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11"/>
      <c r="AN252" s="11"/>
      <c r="AO252" s="8"/>
      <c r="AP252" s="8"/>
      <c r="AQ252" s="8"/>
      <c r="AR252" s="8"/>
      <c r="AS252" s="11"/>
      <c r="AT252" s="11"/>
      <c r="AU252" s="11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11"/>
      <c r="AN253" s="11"/>
      <c r="AO253" s="8"/>
      <c r="AP253" s="8"/>
      <c r="AQ253" s="8"/>
      <c r="AR253" s="8"/>
      <c r="AS253" s="11"/>
      <c r="AT253" s="11"/>
      <c r="AU253" s="11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11"/>
      <c r="AN254" s="11"/>
      <c r="AO254" s="8"/>
      <c r="AP254" s="8"/>
      <c r="AQ254" s="8"/>
      <c r="AR254" s="8"/>
      <c r="AS254" s="11"/>
      <c r="AT254" s="11"/>
      <c r="AU254" s="11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11"/>
      <c r="AN255" s="11"/>
      <c r="AO255" s="8"/>
      <c r="AP255" s="8"/>
      <c r="AQ255" s="8"/>
      <c r="AR255" s="8"/>
      <c r="AS255" s="11"/>
      <c r="AT255" s="11"/>
      <c r="AU255" s="11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11"/>
      <c r="AN256" s="11"/>
      <c r="AO256" s="8"/>
      <c r="AP256" s="8"/>
      <c r="AQ256" s="8"/>
      <c r="AR256" s="8"/>
      <c r="AS256" s="11"/>
      <c r="AT256" s="11"/>
      <c r="AU256" s="11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11"/>
      <c r="AN257" s="11"/>
      <c r="AO257" s="8"/>
      <c r="AP257" s="8"/>
      <c r="AQ257" s="8"/>
      <c r="AR257" s="8"/>
      <c r="AS257" s="11"/>
      <c r="AT257" s="11"/>
      <c r="AU257" s="11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11"/>
      <c r="AN258" s="11"/>
      <c r="AO258" s="8"/>
      <c r="AP258" s="8"/>
      <c r="AQ258" s="8"/>
      <c r="AR258" s="8"/>
      <c r="AS258" s="11"/>
      <c r="AT258" s="11"/>
      <c r="AU258" s="11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11"/>
      <c r="AN259" s="11"/>
      <c r="AO259" s="8"/>
      <c r="AP259" s="8"/>
      <c r="AQ259" s="8"/>
      <c r="AR259" s="8"/>
      <c r="AS259" s="11"/>
      <c r="AT259" s="11"/>
      <c r="AU259" s="11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11"/>
      <c r="AN260" s="11"/>
      <c r="AO260" s="8"/>
      <c r="AP260" s="8"/>
      <c r="AQ260" s="8"/>
      <c r="AR260" s="8"/>
      <c r="AS260" s="11"/>
      <c r="AT260" s="11"/>
      <c r="AU260" s="11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11"/>
      <c r="AN261" s="11"/>
      <c r="AO261" s="8"/>
      <c r="AP261" s="8"/>
      <c r="AQ261" s="8"/>
      <c r="AR261" s="8"/>
      <c r="AS261" s="11"/>
      <c r="AT261" s="11"/>
      <c r="AU261" s="11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11"/>
      <c r="AN262" s="11"/>
      <c r="AO262" s="8"/>
      <c r="AP262" s="8"/>
      <c r="AQ262" s="8"/>
      <c r="AR262" s="8"/>
      <c r="AS262" s="11"/>
      <c r="AT262" s="11"/>
      <c r="AU262" s="11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11"/>
      <c r="AN263" s="11"/>
      <c r="AO263" s="8"/>
      <c r="AP263" s="8"/>
      <c r="AQ263" s="8"/>
      <c r="AR263" s="8"/>
      <c r="AS263" s="11"/>
      <c r="AT263" s="11"/>
      <c r="AU263" s="11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11"/>
      <c r="AN264" s="11"/>
      <c r="AO264" s="8"/>
      <c r="AP264" s="8"/>
      <c r="AQ264" s="8"/>
      <c r="AR264" s="8"/>
      <c r="AS264" s="11"/>
      <c r="AT264" s="11"/>
      <c r="AU264" s="11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11"/>
      <c r="AN265" s="11"/>
      <c r="AO265" s="8"/>
      <c r="AP265" s="8"/>
      <c r="AQ265" s="8"/>
      <c r="AR265" s="8"/>
      <c r="AS265" s="11"/>
      <c r="AT265" s="11"/>
      <c r="AU265" s="11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11"/>
      <c r="AN266" s="11"/>
      <c r="AO266" s="8"/>
      <c r="AP266" s="8"/>
      <c r="AQ266" s="8"/>
      <c r="AR266" s="8"/>
      <c r="AS266" s="11"/>
      <c r="AT266" s="11"/>
      <c r="AU266" s="11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11"/>
      <c r="AN267" s="11"/>
      <c r="AO267" s="8"/>
      <c r="AP267" s="8"/>
      <c r="AQ267" s="8"/>
      <c r="AR267" s="8"/>
      <c r="AS267" s="11"/>
      <c r="AT267" s="11"/>
      <c r="AU267" s="11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11"/>
      <c r="AN268" s="11"/>
      <c r="AO268" s="8"/>
      <c r="AP268" s="8"/>
      <c r="AQ268" s="8"/>
      <c r="AR268" s="8"/>
      <c r="AS268" s="11"/>
      <c r="AT268" s="11"/>
      <c r="AU268" s="11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11"/>
      <c r="AN269" s="11"/>
      <c r="AO269" s="8"/>
      <c r="AP269" s="8"/>
      <c r="AQ269" s="8"/>
      <c r="AR269" s="8"/>
      <c r="AS269" s="11"/>
      <c r="AT269" s="11"/>
      <c r="AU269" s="11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11"/>
      <c r="AN270" s="11"/>
      <c r="AO270" s="8"/>
      <c r="AP270" s="8"/>
      <c r="AQ270" s="8"/>
      <c r="AR270" s="8"/>
      <c r="AS270" s="11"/>
      <c r="AT270" s="11"/>
      <c r="AU270" s="11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11"/>
      <c r="AN271" s="11"/>
      <c r="AO271" s="8"/>
      <c r="AP271" s="8"/>
      <c r="AQ271" s="8"/>
      <c r="AR271" s="8"/>
      <c r="AS271" s="11"/>
      <c r="AT271" s="11"/>
      <c r="AU271" s="11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11"/>
      <c r="AN272" s="11"/>
      <c r="AO272" s="8"/>
      <c r="AP272" s="8"/>
      <c r="AQ272" s="8"/>
      <c r="AR272" s="8"/>
      <c r="AS272" s="11"/>
      <c r="AT272" s="11"/>
      <c r="AU272" s="11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11"/>
      <c r="AN273" s="11"/>
      <c r="AO273" s="8"/>
      <c r="AP273" s="8"/>
      <c r="AQ273" s="8"/>
      <c r="AR273" s="8"/>
      <c r="AS273" s="11"/>
      <c r="AT273" s="11"/>
      <c r="AU273" s="11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11"/>
      <c r="AN274" s="11"/>
      <c r="AO274" s="8"/>
      <c r="AP274" s="8"/>
      <c r="AQ274" s="8"/>
      <c r="AR274" s="8"/>
      <c r="AS274" s="11"/>
      <c r="AT274" s="11"/>
      <c r="AU274" s="11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11"/>
      <c r="AN275" s="11"/>
      <c r="AO275" s="8"/>
      <c r="AP275" s="8"/>
      <c r="AQ275" s="8"/>
      <c r="AR275" s="8"/>
      <c r="AS275" s="11"/>
      <c r="AT275" s="11"/>
      <c r="AU275" s="11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11"/>
      <c r="AN276" s="11"/>
      <c r="AO276" s="8"/>
      <c r="AP276" s="8"/>
      <c r="AQ276" s="8"/>
      <c r="AR276" s="8"/>
      <c r="AS276" s="11"/>
      <c r="AT276" s="11"/>
      <c r="AU276" s="11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11"/>
      <c r="AN277" s="11"/>
      <c r="AO277" s="8"/>
      <c r="AP277" s="8"/>
      <c r="AQ277" s="8"/>
      <c r="AR277" s="8"/>
      <c r="AS277" s="11"/>
      <c r="AT277" s="11"/>
      <c r="AU277" s="11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11"/>
      <c r="AN278" s="11"/>
      <c r="AO278" s="8"/>
      <c r="AP278" s="8"/>
      <c r="AQ278" s="8"/>
      <c r="AR278" s="8"/>
      <c r="AS278" s="11"/>
      <c r="AT278" s="11"/>
      <c r="AU278" s="11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11"/>
      <c r="AN279" s="11"/>
      <c r="AO279" s="8"/>
      <c r="AP279" s="8"/>
      <c r="AQ279" s="8"/>
      <c r="AR279" s="8"/>
      <c r="AS279" s="11"/>
      <c r="AT279" s="11"/>
      <c r="AU279" s="11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11"/>
      <c r="AN280" s="11"/>
      <c r="AO280" s="8"/>
      <c r="AP280" s="8"/>
      <c r="AQ280" s="8"/>
      <c r="AR280" s="8"/>
      <c r="AS280" s="11"/>
      <c r="AT280" s="11"/>
      <c r="AU280" s="11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11"/>
      <c r="AN281" s="11"/>
      <c r="AO281" s="8"/>
      <c r="AP281" s="8"/>
      <c r="AQ281" s="8"/>
      <c r="AR281" s="8"/>
      <c r="AS281" s="11"/>
      <c r="AT281" s="11"/>
      <c r="AU281" s="11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11"/>
      <c r="AN282" s="11"/>
      <c r="AO282" s="8"/>
      <c r="AP282" s="8"/>
      <c r="AQ282" s="8"/>
      <c r="AR282" s="8"/>
      <c r="AS282" s="11"/>
      <c r="AT282" s="11"/>
      <c r="AU282" s="11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11"/>
      <c r="AN283" s="11"/>
      <c r="AO283" s="8"/>
      <c r="AP283" s="8"/>
      <c r="AQ283" s="8"/>
      <c r="AR283" s="8"/>
      <c r="AS283" s="11"/>
      <c r="AT283" s="11"/>
      <c r="AU283" s="11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11"/>
      <c r="AN284" s="11"/>
      <c r="AO284" s="8"/>
      <c r="AP284" s="8"/>
      <c r="AQ284" s="8"/>
      <c r="AR284" s="8"/>
      <c r="AS284" s="11"/>
      <c r="AT284" s="11"/>
      <c r="AU284" s="11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11"/>
      <c r="AN285" s="11"/>
      <c r="AO285" s="8"/>
      <c r="AP285" s="8"/>
      <c r="AQ285" s="8"/>
      <c r="AR285" s="8"/>
      <c r="AS285" s="11"/>
      <c r="AT285" s="11"/>
      <c r="AU285" s="11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11"/>
      <c r="AN286" s="11"/>
      <c r="AO286" s="8"/>
      <c r="AP286" s="8"/>
      <c r="AQ286" s="8"/>
      <c r="AR286" s="8"/>
      <c r="AS286" s="11"/>
      <c r="AT286" s="11"/>
      <c r="AU286" s="11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11"/>
      <c r="AN287" s="11"/>
      <c r="AO287" s="8"/>
      <c r="AP287" s="8"/>
      <c r="AQ287" s="8"/>
      <c r="AR287" s="8"/>
      <c r="AS287" s="11"/>
      <c r="AT287" s="11"/>
      <c r="AU287" s="11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11"/>
      <c r="AN288" s="11"/>
      <c r="AO288" s="8"/>
      <c r="AP288" s="8"/>
      <c r="AQ288" s="8"/>
      <c r="AR288" s="8"/>
      <c r="AS288" s="11"/>
      <c r="AT288" s="11"/>
      <c r="AU288" s="11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11"/>
      <c r="AN289" s="11"/>
      <c r="AO289" s="8"/>
      <c r="AP289" s="8"/>
      <c r="AQ289" s="8"/>
      <c r="AR289" s="8"/>
      <c r="AS289" s="11"/>
      <c r="AT289" s="11"/>
      <c r="AU289" s="11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11"/>
      <c r="AN290" s="11"/>
      <c r="AO290" s="8"/>
      <c r="AP290" s="8"/>
      <c r="AQ290" s="8"/>
      <c r="AR290" s="8"/>
      <c r="AS290" s="11"/>
      <c r="AT290" s="11"/>
      <c r="AU290" s="11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11"/>
      <c r="AN291" s="11"/>
      <c r="AO291" s="8"/>
      <c r="AP291" s="8"/>
      <c r="AQ291" s="8"/>
      <c r="AR291" s="8"/>
      <c r="AS291" s="11"/>
      <c r="AT291" s="11"/>
      <c r="AU291" s="11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11"/>
      <c r="AN292" s="11"/>
      <c r="AO292" s="8"/>
      <c r="AP292" s="8"/>
      <c r="AQ292" s="8"/>
      <c r="AR292" s="8"/>
      <c r="AS292" s="11"/>
      <c r="AT292" s="11"/>
      <c r="AU292" s="11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11"/>
      <c r="AN293" s="11"/>
      <c r="AO293" s="8"/>
      <c r="AP293" s="8"/>
      <c r="AQ293" s="8"/>
      <c r="AR293" s="8"/>
      <c r="AS293" s="11"/>
      <c r="AT293" s="11"/>
      <c r="AU293" s="11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11"/>
      <c r="AN294" s="11"/>
      <c r="AO294" s="8"/>
      <c r="AP294" s="8"/>
      <c r="AQ294" s="8"/>
      <c r="AR294" s="8"/>
      <c r="AS294" s="11"/>
      <c r="AT294" s="11"/>
      <c r="AU294" s="11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11"/>
      <c r="AN295" s="11"/>
      <c r="AO295" s="8"/>
      <c r="AP295" s="8"/>
      <c r="AQ295" s="8"/>
      <c r="AR295" s="8"/>
      <c r="AS295" s="11"/>
      <c r="AT295" s="11"/>
      <c r="AU295" s="11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11"/>
      <c r="AN296" s="11"/>
      <c r="AO296" s="8"/>
      <c r="AP296" s="8"/>
      <c r="AQ296" s="8"/>
      <c r="AR296" s="8"/>
      <c r="AS296" s="11"/>
      <c r="AT296" s="11"/>
      <c r="AU296" s="11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11"/>
      <c r="AN297" s="11"/>
      <c r="AO297" s="8"/>
      <c r="AP297" s="8"/>
      <c r="AQ297" s="8"/>
      <c r="AR297" s="8"/>
      <c r="AS297" s="11"/>
      <c r="AT297" s="11"/>
      <c r="AU297" s="11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11"/>
      <c r="AN298" s="11"/>
      <c r="AO298" s="8"/>
      <c r="AP298" s="8"/>
      <c r="AQ298" s="8"/>
      <c r="AR298" s="8"/>
      <c r="AS298" s="11"/>
      <c r="AT298" s="11"/>
      <c r="AU298" s="11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11"/>
      <c r="AN299" s="11"/>
      <c r="AO299" s="8"/>
      <c r="AP299" s="8"/>
      <c r="AQ299" s="8"/>
      <c r="AR299" s="8"/>
      <c r="AS299" s="11"/>
      <c r="AT299" s="11"/>
      <c r="AU299" s="11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11"/>
      <c r="AN300" s="11"/>
      <c r="AO300" s="8"/>
      <c r="AP300" s="8"/>
      <c r="AQ300" s="8"/>
      <c r="AR300" s="8"/>
      <c r="AS300" s="11"/>
      <c r="AT300" s="11"/>
      <c r="AU300" s="11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11"/>
      <c r="AN301" s="11"/>
      <c r="AO301" s="8"/>
      <c r="AP301" s="8"/>
      <c r="AQ301" s="8"/>
      <c r="AR301" s="8"/>
      <c r="AS301" s="11"/>
      <c r="AT301" s="11"/>
      <c r="AU301" s="11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11"/>
      <c r="AN302" s="11"/>
      <c r="AO302" s="8"/>
      <c r="AP302" s="8"/>
      <c r="AQ302" s="8"/>
      <c r="AR302" s="8"/>
      <c r="AS302" s="11"/>
      <c r="AT302" s="11"/>
      <c r="AU302" s="11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11"/>
      <c r="AN303" s="11"/>
      <c r="AO303" s="8"/>
      <c r="AP303" s="8"/>
      <c r="AQ303" s="8"/>
      <c r="AR303" s="8"/>
      <c r="AS303" s="11"/>
      <c r="AT303" s="11"/>
      <c r="AU303" s="11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11"/>
      <c r="AN304" s="11"/>
      <c r="AO304" s="8"/>
      <c r="AP304" s="8"/>
      <c r="AQ304" s="8"/>
      <c r="AR304" s="8"/>
      <c r="AS304" s="11"/>
      <c r="AT304" s="11"/>
      <c r="AU304" s="11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11"/>
      <c r="AN305" s="11"/>
      <c r="AO305" s="8"/>
      <c r="AP305" s="8"/>
      <c r="AQ305" s="8"/>
      <c r="AR305" s="8"/>
      <c r="AS305" s="11"/>
      <c r="AT305" s="11"/>
      <c r="AU305" s="11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11"/>
      <c r="AN306" s="11"/>
      <c r="AO306" s="8"/>
      <c r="AP306" s="8"/>
      <c r="AQ306" s="8"/>
      <c r="AR306" s="8"/>
      <c r="AS306" s="11"/>
      <c r="AT306" s="11"/>
      <c r="AU306" s="11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11"/>
      <c r="AN307" s="11"/>
      <c r="AO307" s="8"/>
      <c r="AP307" s="8"/>
      <c r="AQ307" s="8"/>
      <c r="AR307" s="8"/>
      <c r="AS307" s="11"/>
      <c r="AT307" s="11"/>
      <c r="AU307" s="11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11"/>
      <c r="AN308" s="11"/>
      <c r="AO308" s="8"/>
      <c r="AP308" s="8"/>
      <c r="AQ308" s="8"/>
      <c r="AR308" s="8"/>
      <c r="AS308" s="11"/>
      <c r="AT308" s="11"/>
      <c r="AU308" s="11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11"/>
      <c r="AN309" s="11"/>
      <c r="AO309" s="8"/>
      <c r="AP309" s="8"/>
      <c r="AQ309" s="8"/>
      <c r="AR309" s="8"/>
      <c r="AS309" s="11"/>
      <c r="AT309" s="11"/>
      <c r="AU309" s="11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11"/>
      <c r="AN310" s="11"/>
      <c r="AO310" s="8"/>
      <c r="AP310" s="8"/>
      <c r="AQ310" s="8"/>
      <c r="AR310" s="8"/>
      <c r="AS310" s="11"/>
      <c r="AT310" s="11"/>
      <c r="AU310" s="11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11"/>
      <c r="AN311" s="11"/>
      <c r="AO311" s="8"/>
      <c r="AP311" s="8"/>
      <c r="AQ311" s="8"/>
      <c r="AR311" s="8"/>
      <c r="AS311" s="11"/>
      <c r="AT311" s="11"/>
      <c r="AU311" s="11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11"/>
      <c r="AN312" s="11"/>
      <c r="AO312" s="8"/>
      <c r="AP312" s="8"/>
      <c r="AQ312" s="8"/>
      <c r="AR312" s="8"/>
      <c r="AS312" s="11"/>
      <c r="AT312" s="11"/>
      <c r="AU312" s="11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11"/>
      <c r="AN313" s="11"/>
      <c r="AO313" s="8"/>
      <c r="AP313" s="8"/>
      <c r="AQ313" s="8"/>
      <c r="AR313" s="8"/>
      <c r="AS313" s="11"/>
      <c r="AT313" s="11"/>
      <c r="AU313" s="11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11"/>
      <c r="AN314" s="11"/>
      <c r="AO314" s="8"/>
      <c r="AP314" s="8"/>
      <c r="AQ314" s="8"/>
      <c r="AR314" s="8"/>
      <c r="AS314" s="11"/>
      <c r="AT314" s="11"/>
      <c r="AU314" s="11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11"/>
      <c r="AN315" s="11"/>
      <c r="AO315" s="8"/>
      <c r="AP315" s="8"/>
      <c r="AQ315" s="8"/>
      <c r="AR315" s="8"/>
      <c r="AS315" s="11"/>
      <c r="AT315" s="11"/>
      <c r="AU315" s="11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11"/>
      <c r="AN316" s="11"/>
      <c r="AO316" s="8"/>
      <c r="AP316" s="8"/>
      <c r="AQ316" s="8"/>
      <c r="AR316" s="8"/>
      <c r="AS316" s="11"/>
      <c r="AT316" s="11"/>
      <c r="AU316" s="11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11"/>
      <c r="AN317" s="11"/>
      <c r="AO317" s="8"/>
      <c r="AP317" s="8"/>
      <c r="AQ317" s="8"/>
      <c r="AR317" s="8"/>
      <c r="AS317" s="11"/>
      <c r="AT317" s="11"/>
      <c r="AU317" s="11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11"/>
      <c r="AN318" s="11"/>
      <c r="AO318" s="8"/>
      <c r="AP318" s="8"/>
      <c r="AQ318" s="8"/>
      <c r="AR318" s="8"/>
      <c r="AS318" s="11"/>
      <c r="AT318" s="11"/>
      <c r="AU318" s="11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11"/>
      <c r="AN319" s="11"/>
      <c r="AO319" s="8"/>
      <c r="AP319" s="8"/>
      <c r="AQ319" s="8"/>
      <c r="AR319" s="8"/>
      <c r="AS319" s="11"/>
      <c r="AT319" s="11"/>
      <c r="AU319" s="11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11"/>
      <c r="AN320" s="11"/>
      <c r="AO320" s="8"/>
      <c r="AP320" s="8"/>
      <c r="AQ320" s="8"/>
      <c r="AR320" s="8"/>
      <c r="AS320" s="11"/>
      <c r="AT320" s="11"/>
      <c r="AU320" s="11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11"/>
      <c r="AN321" s="11"/>
      <c r="AO321" s="8"/>
      <c r="AP321" s="8"/>
      <c r="AQ321" s="8"/>
      <c r="AR321" s="8"/>
      <c r="AS321" s="11"/>
      <c r="AT321" s="11"/>
      <c r="AU321" s="11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11"/>
      <c r="AN322" s="11"/>
      <c r="AO322" s="8"/>
      <c r="AP322" s="8"/>
      <c r="AQ322" s="8"/>
      <c r="AR322" s="8"/>
      <c r="AS322" s="11"/>
      <c r="AT322" s="11"/>
      <c r="AU322" s="11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11"/>
      <c r="AN323" s="11"/>
      <c r="AO323" s="8"/>
      <c r="AP323" s="8"/>
      <c r="AQ323" s="8"/>
      <c r="AR323" s="8"/>
      <c r="AS323" s="11"/>
      <c r="AT323" s="11"/>
      <c r="AU323" s="11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11"/>
      <c r="AN324" s="11"/>
      <c r="AO324" s="8"/>
      <c r="AP324" s="8"/>
      <c r="AQ324" s="8"/>
      <c r="AR324" s="8"/>
      <c r="AS324" s="11"/>
      <c r="AT324" s="11"/>
      <c r="AU324" s="11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11"/>
      <c r="AN325" s="11"/>
      <c r="AO325" s="8"/>
      <c r="AP325" s="8"/>
      <c r="AQ325" s="8"/>
      <c r="AR325" s="8"/>
      <c r="AS325" s="11"/>
      <c r="AT325" s="11"/>
      <c r="AU325" s="11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11"/>
      <c r="AN326" s="11"/>
      <c r="AO326" s="8"/>
      <c r="AP326" s="8"/>
      <c r="AQ326" s="8"/>
      <c r="AR326" s="8"/>
      <c r="AS326" s="11"/>
      <c r="AT326" s="11"/>
      <c r="AU326" s="11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11"/>
      <c r="AN327" s="11"/>
      <c r="AO327" s="8"/>
      <c r="AP327" s="8"/>
      <c r="AQ327" s="8"/>
      <c r="AR327" s="8"/>
      <c r="AS327" s="11"/>
      <c r="AT327" s="11"/>
      <c r="AU327" s="11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11"/>
      <c r="AN328" s="11"/>
      <c r="AO328" s="8"/>
      <c r="AP328" s="8"/>
      <c r="AQ328" s="8"/>
      <c r="AR328" s="8"/>
      <c r="AS328" s="11"/>
      <c r="AT328" s="11"/>
      <c r="AU328" s="11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11"/>
      <c r="AN329" s="11"/>
      <c r="AO329" s="8"/>
      <c r="AP329" s="8"/>
      <c r="AQ329" s="8"/>
      <c r="AR329" s="8"/>
      <c r="AS329" s="11"/>
      <c r="AT329" s="11"/>
      <c r="AU329" s="11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11"/>
      <c r="AN330" s="11"/>
      <c r="AO330" s="8"/>
      <c r="AP330" s="8"/>
      <c r="AQ330" s="8"/>
      <c r="AR330" s="8"/>
      <c r="AS330" s="11"/>
      <c r="AT330" s="11"/>
      <c r="AU330" s="11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11"/>
      <c r="AN331" s="11"/>
      <c r="AO331" s="8"/>
      <c r="AP331" s="8"/>
      <c r="AQ331" s="8"/>
      <c r="AR331" s="8"/>
      <c r="AS331" s="11"/>
      <c r="AT331" s="11"/>
      <c r="AU331" s="11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11"/>
      <c r="AN332" s="11"/>
      <c r="AO332" s="8"/>
      <c r="AP332" s="8"/>
      <c r="AQ332" s="8"/>
      <c r="AR332" s="8"/>
      <c r="AS332" s="11"/>
      <c r="AT332" s="11"/>
      <c r="AU332" s="11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11"/>
      <c r="AN333" s="11"/>
      <c r="AO333" s="8"/>
      <c r="AP333" s="8"/>
      <c r="AQ333" s="8"/>
      <c r="AR333" s="8"/>
      <c r="AS333" s="11"/>
      <c r="AT333" s="11"/>
      <c r="AU333" s="11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11"/>
      <c r="AN334" s="11"/>
      <c r="AO334" s="8"/>
      <c r="AP334" s="8"/>
      <c r="AQ334" s="8"/>
      <c r="AR334" s="8"/>
      <c r="AS334" s="11"/>
      <c r="AT334" s="11"/>
      <c r="AU334" s="11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11"/>
      <c r="AN335" s="11"/>
      <c r="AO335" s="8"/>
      <c r="AP335" s="8"/>
      <c r="AQ335" s="8"/>
      <c r="AR335" s="8"/>
      <c r="AS335" s="11"/>
      <c r="AT335" s="11"/>
      <c r="AU335" s="11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11"/>
      <c r="AN336" s="11"/>
      <c r="AO336" s="8"/>
      <c r="AP336" s="8"/>
      <c r="AQ336" s="8"/>
      <c r="AR336" s="8"/>
      <c r="AS336" s="11"/>
      <c r="AT336" s="11"/>
      <c r="AU336" s="11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11"/>
      <c r="AN337" s="11"/>
      <c r="AO337" s="8"/>
      <c r="AP337" s="8"/>
      <c r="AQ337" s="8"/>
      <c r="AR337" s="8"/>
      <c r="AS337" s="11"/>
      <c r="AT337" s="11"/>
      <c r="AU337" s="11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11"/>
      <c r="AN338" s="11"/>
      <c r="AO338" s="8"/>
      <c r="AP338" s="8"/>
      <c r="AQ338" s="8"/>
      <c r="AR338" s="8"/>
      <c r="AS338" s="11"/>
      <c r="AT338" s="11"/>
      <c r="AU338" s="11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11"/>
      <c r="AN339" s="11"/>
      <c r="AO339" s="8"/>
      <c r="AP339" s="8"/>
      <c r="AQ339" s="8"/>
      <c r="AR339" s="8"/>
      <c r="AS339" s="11"/>
      <c r="AT339" s="11"/>
      <c r="AU339" s="11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11"/>
      <c r="AN340" s="11"/>
      <c r="AO340" s="8"/>
      <c r="AP340" s="8"/>
      <c r="AQ340" s="8"/>
      <c r="AR340" s="8"/>
      <c r="AS340" s="11"/>
      <c r="AT340" s="11"/>
      <c r="AU340" s="11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11"/>
      <c r="AN341" s="11"/>
      <c r="AO341" s="8"/>
      <c r="AP341" s="8"/>
      <c r="AQ341" s="8"/>
      <c r="AR341" s="8"/>
      <c r="AS341" s="11"/>
      <c r="AT341" s="11"/>
      <c r="AU341" s="11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11"/>
      <c r="AN342" s="11"/>
      <c r="AO342" s="8"/>
      <c r="AP342" s="8"/>
      <c r="AQ342" s="8"/>
      <c r="AR342" s="8"/>
      <c r="AS342" s="11"/>
      <c r="AT342" s="11"/>
      <c r="AU342" s="11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11"/>
      <c r="AN343" s="11"/>
      <c r="AO343" s="8"/>
      <c r="AP343" s="8"/>
      <c r="AQ343" s="8"/>
      <c r="AR343" s="8"/>
      <c r="AS343" s="11"/>
      <c r="AT343" s="11"/>
      <c r="AU343" s="11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11"/>
      <c r="AN344" s="11"/>
      <c r="AO344" s="8"/>
      <c r="AP344" s="8"/>
      <c r="AQ344" s="8"/>
      <c r="AR344" s="8"/>
      <c r="AS344" s="11"/>
      <c r="AT344" s="11"/>
      <c r="AU344" s="11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11"/>
      <c r="AN345" s="11"/>
      <c r="AO345" s="8"/>
      <c r="AP345" s="8"/>
      <c r="AQ345" s="8"/>
      <c r="AR345" s="8"/>
      <c r="AS345" s="11"/>
      <c r="AT345" s="11"/>
      <c r="AU345" s="11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11"/>
      <c r="AN346" s="11"/>
      <c r="AO346" s="8"/>
      <c r="AP346" s="8"/>
      <c r="AQ346" s="8"/>
      <c r="AR346" s="8"/>
      <c r="AS346" s="11"/>
      <c r="AT346" s="11"/>
      <c r="AU346" s="11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11"/>
      <c r="AN347" s="11"/>
      <c r="AO347" s="8"/>
      <c r="AP347" s="8"/>
      <c r="AQ347" s="8"/>
      <c r="AR347" s="8"/>
      <c r="AS347" s="11"/>
      <c r="AT347" s="11"/>
      <c r="AU347" s="11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11"/>
      <c r="AN348" s="11"/>
      <c r="AO348" s="8"/>
      <c r="AP348" s="8"/>
      <c r="AQ348" s="8"/>
      <c r="AR348" s="8"/>
      <c r="AS348" s="11"/>
      <c r="AT348" s="11"/>
      <c r="AU348" s="11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11"/>
      <c r="AN349" s="11"/>
      <c r="AO349" s="8"/>
      <c r="AP349" s="8"/>
      <c r="AQ349" s="8"/>
      <c r="AR349" s="8"/>
      <c r="AS349" s="11"/>
      <c r="AT349" s="11"/>
      <c r="AU349" s="11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11"/>
      <c r="AN350" s="11"/>
      <c r="AO350" s="8"/>
      <c r="AP350" s="8"/>
      <c r="AQ350" s="8"/>
      <c r="AR350" s="8"/>
      <c r="AS350" s="11"/>
      <c r="AT350" s="11"/>
      <c r="AU350" s="11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11"/>
      <c r="AN351" s="11"/>
      <c r="AO351" s="8"/>
      <c r="AP351" s="8"/>
      <c r="AQ351" s="8"/>
      <c r="AR351" s="8"/>
      <c r="AS351" s="11"/>
      <c r="AT351" s="11"/>
      <c r="AU351" s="11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11"/>
      <c r="AN352" s="11"/>
      <c r="AO352" s="8"/>
      <c r="AP352" s="8"/>
      <c r="AQ352" s="8"/>
      <c r="AR352" s="8"/>
      <c r="AS352" s="11"/>
      <c r="AT352" s="11"/>
      <c r="AU352" s="11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11"/>
      <c r="AN353" s="11"/>
      <c r="AO353" s="8"/>
      <c r="AP353" s="8"/>
      <c r="AQ353" s="8"/>
      <c r="AR353" s="8"/>
      <c r="AS353" s="11"/>
      <c r="AT353" s="11"/>
      <c r="AU353" s="11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11"/>
      <c r="AN354" s="11"/>
      <c r="AO354" s="8"/>
      <c r="AP354" s="8"/>
      <c r="AQ354" s="8"/>
      <c r="AR354" s="8"/>
      <c r="AS354" s="11"/>
      <c r="AT354" s="11"/>
      <c r="AU354" s="11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11"/>
      <c r="AN355" s="11"/>
      <c r="AO355" s="8"/>
      <c r="AP355" s="8"/>
      <c r="AQ355" s="8"/>
      <c r="AR355" s="8"/>
      <c r="AS355" s="11"/>
      <c r="AT355" s="11"/>
      <c r="AU355" s="11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11"/>
      <c r="AN356" s="11"/>
      <c r="AO356" s="8"/>
      <c r="AP356" s="8"/>
      <c r="AQ356" s="8"/>
      <c r="AR356" s="8"/>
      <c r="AS356" s="11"/>
      <c r="AT356" s="11"/>
      <c r="AU356" s="11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11"/>
      <c r="AN357" s="11"/>
      <c r="AO357" s="8"/>
      <c r="AP357" s="8"/>
      <c r="AQ357" s="8"/>
      <c r="AR357" s="8"/>
      <c r="AS357" s="11"/>
      <c r="AT357" s="11"/>
      <c r="AU357" s="11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11"/>
      <c r="AN358" s="11"/>
      <c r="AO358" s="8"/>
      <c r="AP358" s="8"/>
      <c r="AQ358" s="8"/>
      <c r="AR358" s="8"/>
      <c r="AS358" s="11"/>
      <c r="AT358" s="11"/>
      <c r="AU358" s="11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11"/>
      <c r="AN359" s="11"/>
      <c r="AO359" s="8"/>
      <c r="AP359" s="8"/>
      <c r="AQ359" s="8"/>
      <c r="AR359" s="8"/>
      <c r="AS359" s="11"/>
      <c r="AT359" s="11"/>
      <c r="AU359" s="11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11"/>
      <c r="AN360" s="11"/>
      <c r="AO360" s="8"/>
      <c r="AP360" s="8"/>
      <c r="AQ360" s="8"/>
      <c r="AR360" s="8"/>
      <c r="AS360" s="11"/>
      <c r="AT360" s="11"/>
      <c r="AU360" s="11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11"/>
      <c r="AN361" s="11"/>
      <c r="AO361" s="8"/>
      <c r="AP361" s="8"/>
      <c r="AQ361" s="8"/>
      <c r="AR361" s="8"/>
      <c r="AS361" s="11"/>
      <c r="AT361" s="11"/>
      <c r="AU361" s="11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11"/>
      <c r="AN362" s="11"/>
      <c r="AO362" s="8"/>
      <c r="AP362" s="8"/>
      <c r="AQ362" s="8"/>
      <c r="AR362" s="8"/>
      <c r="AS362" s="11"/>
      <c r="AT362" s="11"/>
      <c r="AU362" s="11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11"/>
      <c r="AN363" s="11"/>
      <c r="AO363" s="8"/>
      <c r="AP363" s="8"/>
      <c r="AQ363" s="8"/>
      <c r="AR363" s="8"/>
      <c r="AS363" s="11"/>
      <c r="AT363" s="11"/>
      <c r="AU363" s="11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11"/>
      <c r="AN364" s="11"/>
      <c r="AO364" s="8"/>
      <c r="AP364" s="8"/>
      <c r="AQ364" s="8"/>
      <c r="AR364" s="8"/>
      <c r="AS364" s="11"/>
      <c r="AT364" s="11"/>
      <c r="AU364" s="11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11"/>
      <c r="AN365" s="11"/>
      <c r="AO365" s="8"/>
      <c r="AP365" s="8"/>
      <c r="AQ365" s="8"/>
      <c r="AR365" s="8"/>
      <c r="AS365" s="11"/>
      <c r="AT365" s="11"/>
      <c r="AU365" s="11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11"/>
      <c r="AN366" s="11"/>
      <c r="AO366" s="8"/>
      <c r="AP366" s="8"/>
      <c r="AQ366" s="8"/>
      <c r="AR366" s="8"/>
      <c r="AS366" s="11"/>
      <c r="AT366" s="11"/>
      <c r="AU366" s="11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11"/>
      <c r="AN367" s="11"/>
      <c r="AO367" s="8"/>
      <c r="AP367" s="8"/>
      <c r="AQ367" s="8"/>
      <c r="AR367" s="8"/>
      <c r="AS367" s="11"/>
      <c r="AT367" s="11"/>
      <c r="AU367" s="11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11"/>
      <c r="AN368" s="11"/>
      <c r="AO368" s="8"/>
      <c r="AP368" s="8"/>
      <c r="AQ368" s="8"/>
      <c r="AR368" s="8"/>
      <c r="AS368" s="11"/>
      <c r="AT368" s="11"/>
      <c r="AU368" s="11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11"/>
      <c r="AN369" s="11"/>
      <c r="AO369" s="8"/>
      <c r="AP369" s="8"/>
      <c r="AQ369" s="8"/>
      <c r="AR369" s="8"/>
      <c r="AS369" s="11"/>
      <c r="AT369" s="11"/>
      <c r="AU369" s="11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11"/>
      <c r="AN370" s="11"/>
      <c r="AO370" s="8"/>
      <c r="AP370" s="8"/>
      <c r="AQ370" s="8"/>
      <c r="AR370" s="8"/>
      <c r="AS370" s="11"/>
      <c r="AT370" s="11"/>
      <c r="AU370" s="11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11"/>
      <c r="AN371" s="11"/>
      <c r="AO371" s="8"/>
      <c r="AP371" s="8"/>
      <c r="AQ371" s="8"/>
      <c r="AR371" s="8"/>
      <c r="AS371" s="11"/>
      <c r="AT371" s="11"/>
      <c r="AU371" s="11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11"/>
      <c r="AN372" s="11"/>
      <c r="AO372" s="8"/>
      <c r="AP372" s="8"/>
      <c r="AQ372" s="8"/>
      <c r="AR372" s="8"/>
      <c r="AS372" s="11"/>
      <c r="AT372" s="11"/>
      <c r="AU372" s="11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11"/>
      <c r="AN373" s="11"/>
      <c r="AO373" s="8"/>
      <c r="AP373" s="8"/>
      <c r="AQ373" s="8"/>
      <c r="AR373" s="8"/>
      <c r="AS373" s="11"/>
      <c r="AT373" s="11"/>
      <c r="AU373" s="11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11"/>
      <c r="AN374" s="11"/>
      <c r="AO374" s="8"/>
      <c r="AP374" s="8"/>
      <c r="AQ374" s="8"/>
      <c r="AR374" s="8"/>
      <c r="AS374" s="11"/>
      <c r="AT374" s="11"/>
      <c r="AU374" s="11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11"/>
      <c r="AN375" s="11"/>
      <c r="AO375" s="8"/>
      <c r="AP375" s="8"/>
      <c r="AQ375" s="8"/>
      <c r="AR375" s="8"/>
      <c r="AS375" s="11"/>
      <c r="AT375" s="11"/>
      <c r="AU375" s="11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11"/>
      <c r="AN376" s="11"/>
      <c r="AO376" s="8"/>
      <c r="AP376" s="8"/>
      <c r="AQ376" s="8"/>
      <c r="AR376" s="8"/>
      <c r="AS376" s="11"/>
      <c r="AT376" s="11"/>
      <c r="AU376" s="11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11"/>
      <c r="AN377" s="11"/>
      <c r="AO377" s="8"/>
      <c r="AP377" s="8"/>
      <c r="AQ377" s="8"/>
      <c r="AR377" s="8"/>
      <c r="AS377" s="11"/>
      <c r="AT377" s="11"/>
      <c r="AU377" s="11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11"/>
      <c r="AN378" s="11"/>
      <c r="AO378" s="8"/>
      <c r="AP378" s="8"/>
      <c r="AQ378" s="8"/>
      <c r="AR378" s="8"/>
      <c r="AS378" s="11"/>
      <c r="AT378" s="11"/>
      <c r="AU378" s="11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11"/>
      <c r="AN379" s="11"/>
      <c r="AO379" s="8"/>
      <c r="AP379" s="8"/>
      <c r="AQ379" s="8"/>
      <c r="AR379" s="8"/>
      <c r="AS379" s="11"/>
      <c r="AT379" s="11"/>
      <c r="AU379" s="11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11"/>
      <c r="AN380" s="11"/>
      <c r="AO380" s="8"/>
      <c r="AP380" s="8"/>
      <c r="AQ380" s="8"/>
      <c r="AR380" s="8"/>
      <c r="AS380" s="11"/>
      <c r="AT380" s="11"/>
      <c r="AU380" s="11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11"/>
      <c r="AN381" s="11"/>
      <c r="AO381" s="8"/>
      <c r="AP381" s="8"/>
      <c r="AQ381" s="8"/>
      <c r="AR381" s="8"/>
      <c r="AS381" s="11"/>
      <c r="AT381" s="11"/>
      <c r="AU381" s="11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11"/>
      <c r="AN382" s="11"/>
      <c r="AO382" s="8"/>
      <c r="AP382" s="8"/>
      <c r="AQ382" s="8"/>
      <c r="AR382" s="8"/>
      <c r="AS382" s="11"/>
      <c r="AT382" s="11"/>
      <c r="AU382" s="11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11"/>
      <c r="AN383" s="11"/>
      <c r="AO383" s="8"/>
      <c r="AP383" s="8"/>
      <c r="AQ383" s="8"/>
      <c r="AR383" s="8"/>
      <c r="AS383" s="11"/>
      <c r="AT383" s="11"/>
      <c r="AU383" s="11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11"/>
      <c r="AN384" s="11"/>
      <c r="AO384" s="8"/>
      <c r="AP384" s="8"/>
      <c r="AQ384" s="8"/>
      <c r="AR384" s="8"/>
      <c r="AS384" s="11"/>
      <c r="AT384" s="11"/>
      <c r="AU384" s="11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11"/>
      <c r="AN385" s="11"/>
      <c r="AO385" s="8"/>
      <c r="AP385" s="8"/>
      <c r="AQ385" s="8"/>
      <c r="AR385" s="8"/>
      <c r="AS385" s="11"/>
      <c r="AT385" s="11"/>
      <c r="AU385" s="11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11"/>
      <c r="AN386" s="11"/>
      <c r="AO386" s="8"/>
      <c r="AP386" s="8"/>
      <c r="AQ386" s="8"/>
      <c r="AR386" s="8"/>
      <c r="AS386" s="11"/>
      <c r="AT386" s="11"/>
      <c r="AU386" s="11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11"/>
      <c r="AN387" s="11"/>
      <c r="AO387" s="8"/>
      <c r="AP387" s="8"/>
      <c r="AQ387" s="8"/>
      <c r="AR387" s="8"/>
      <c r="AS387" s="11"/>
      <c r="AT387" s="11"/>
      <c r="AU387" s="11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11"/>
      <c r="AN388" s="11"/>
      <c r="AO388" s="8"/>
      <c r="AP388" s="8"/>
      <c r="AQ388" s="8"/>
      <c r="AR388" s="8"/>
      <c r="AS388" s="11"/>
      <c r="AT388" s="11"/>
      <c r="AU388" s="11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11"/>
      <c r="AN389" s="11"/>
      <c r="AO389" s="8"/>
      <c r="AP389" s="8"/>
      <c r="AQ389" s="8"/>
      <c r="AR389" s="8"/>
      <c r="AS389" s="11"/>
      <c r="AT389" s="11"/>
      <c r="AU389" s="11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11"/>
      <c r="AN390" s="11"/>
      <c r="AO390" s="8"/>
      <c r="AP390" s="8"/>
      <c r="AQ390" s="8"/>
      <c r="AR390" s="8"/>
      <c r="AS390" s="11"/>
      <c r="AT390" s="11"/>
      <c r="AU390" s="11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11"/>
      <c r="AN391" s="11"/>
      <c r="AO391" s="8"/>
      <c r="AP391" s="8"/>
      <c r="AQ391" s="8"/>
      <c r="AR391" s="8"/>
      <c r="AS391" s="11"/>
      <c r="AT391" s="11"/>
      <c r="AU391" s="11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11"/>
      <c r="AN392" s="11"/>
      <c r="AO392" s="8"/>
      <c r="AP392" s="8"/>
      <c r="AQ392" s="8"/>
      <c r="AR392" s="8"/>
      <c r="AS392" s="11"/>
      <c r="AT392" s="11"/>
      <c r="AU392" s="11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11"/>
      <c r="AN393" s="11"/>
      <c r="AO393" s="8"/>
      <c r="AP393" s="8"/>
      <c r="AQ393" s="8"/>
      <c r="AR393" s="8"/>
      <c r="AS393" s="11"/>
      <c r="AT393" s="11"/>
      <c r="AU393" s="11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11"/>
      <c r="AN394" s="11"/>
      <c r="AO394" s="8"/>
      <c r="AP394" s="8"/>
      <c r="AQ394" s="8"/>
      <c r="AR394" s="8"/>
      <c r="AS394" s="11"/>
      <c r="AT394" s="11"/>
      <c r="AU394" s="11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11"/>
      <c r="AN395" s="11"/>
      <c r="AO395" s="8"/>
      <c r="AP395" s="8"/>
      <c r="AQ395" s="8"/>
      <c r="AR395" s="8"/>
      <c r="AS395" s="11"/>
      <c r="AT395" s="11"/>
      <c r="AU395" s="11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11"/>
      <c r="AN396" s="11"/>
      <c r="AO396" s="8"/>
      <c r="AP396" s="8"/>
      <c r="AQ396" s="8"/>
      <c r="AR396" s="8"/>
      <c r="AS396" s="11"/>
      <c r="AT396" s="11"/>
      <c r="AU396" s="11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11"/>
      <c r="AN397" s="11"/>
      <c r="AO397" s="8"/>
      <c r="AP397" s="8"/>
      <c r="AQ397" s="8"/>
      <c r="AR397" s="8"/>
      <c r="AS397" s="11"/>
      <c r="AT397" s="11"/>
      <c r="AU397" s="11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11"/>
      <c r="AN398" s="11"/>
      <c r="AO398" s="8"/>
      <c r="AP398" s="8"/>
      <c r="AQ398" s="8"/>
      <c r="AR398" s="8"/>
      <c r="AS398" s="11"/>
      <c r="AT398" s="11"/>
      <c r="AU398" s="11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11"/>
      <c r="AN399" s="11"/>
      <c r="AO399" s="8"/>
      <c r="AP399" s="8"/>
      <c r="AQ399" s="8"/>
      <c r="AR399" s="8"/>
      <c r="AS399" s="11"/>
      <c r="AT399" s="11"/>
      <c r="AU399" s="11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11"/>
      <c r="AN400" s="11"/>
      <c r="AO400" s="8"/>
      <c r="AP400" s="8"/>
      <c r="AQ400" s="8"/>
      <c r="AR400" s="8"/>
      <c r="AS400" s="11"/>
      <c r="AT400" s="11"/>
      <c r="AU400" s="11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11"/>
      <c r="AN401" s="11"/>
      <c r="AO401" s="8"/>
      <c r="AP401" s="8"/>
      <c r="AQ401" s="8"/>
      <c r="AR401" s="8"/>
      <c r="AS401" s="11"/>
      <c r="AT401" s="11"/>
      <c r="AU401" s="11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11"/>
      <c r="AN402" s="11"/>
      <c r="AO402" s="8"/>
      <c r="AP402" s="8"/>
      <c r="AQ402" s="8"/>
      <c r="AR402" s="8"/>
      <c r="AS402" s="11"/>
      <c r="AT402" s="11"/>
      <c r="AU402" s="11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11"/>
      <c r="AN403" s="11"/>
      <c r="AO403" s="8"/>
      <c r="AP403" s="8"/>
      <c r="AQ403" s="8"/>
      <c r="AR403" s="8"/>
      <c r="AS403" s="11"/>
      <c r="AT403" s="11"/>
      <c r="AU403" s="11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11"/>
      <c r="AN404" s="11"/>
      <c r="AO404" s="8"/>
      <c r="AP404" s="8"/>
      <c r="AQ404" s="8"/>
      <c r="AR404" s="8"/>
      <c r="AS404" s="11"/>
      <c r="AT404" s="11"/>
      <c r="AU404" s="11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11"/>
      <c r="AN405" s="11"/>
      <c r="AO405" s="8"/>
      <c r="AP405" s="8"/>
      <c r="AQ405" s="8"/>
      <c r="AR405" s="8"/>
      <c r="AS405" s="11"/>
      <c r="AT405" s="11"/>
      <c r="AU405" s="11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11"/>
      <c r="AN406" s="11"/>
      <c r="AO406" s="8"/>
      <c r="AP406" s="8"/>
      <c r="AQ406" s="8"/>
      <c r="AR406" s="8"/>
      <c r="AS406" s="11"/>
      <c r="AT406" s="11"/>
      <c r="AU406" s="11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11"/>
      <c r="AN407" s="11"/>
      <c r="AO407" s="8"/>
      <c r="AP407" s="8"/>
      <c r="AQ407" s="8"/>
      <c r="AR407" s="8"/>
      <c r="AS407" s="11"/>
      <c r="AT407" s="11"/>
      <c r="AU407" s="11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11"/>
      <c r="AN408" s="11"/>
      <c r="AO408" s="8"/>
      <c r="AP408" s="8"/>
      <c r="AQ408" s="8"/>
      <c r="AR408" s="8"/>
      <c r="AS408" s="11"/>
      <c r="AT408" s="11"/>
      <c r="AU408" s="11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11"/>
      <c r="AN409" s="11"/>
      <c r="AO409" s="8"/>
      <c r="AP409" s="8"/>
      <c r="AQ409" s="8"/>
      <c r="AR409" s="8"/>
      <c r="AS409" s="11"/>
      <c r="AT409" s="11"/>
      <c r="AU409" s="11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11"/>
      <c r="AN410" s="11"/>
      <c r="AO410" s="8"/>
      <c r="AP410" s="8"/>
      <c r="AQ410" s="8"/>
      <c r="AR410" s="8"/>
      <c r="AS410" s="11"/>
      <c r="AT410" s="11"/>
      <c r="AU410" s="11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11"/>
      <c r="AN411" s="11"/>
      <c r="AO411" s="8"/>
      <c r="AP411" s="8"/>
      <c r="AQ411" s="8"/>
      <c r="AR411" s="8"/>
      <c r="AS411" s="11"/>
      <c r="AT411" s="11"/>
      <c r="AU411" s="11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11"/>
      <c r="AN412" s="11"/>
      <c r="AO412" s="8"/>
      <c r="AP412" s="8"/>
      <c r="AQ412" s="8"/>
      <c r="AR412" s="8"/>
      <c r="AS412" s="11"/>
      <c r="AT412" s="11"/>
      <c r="AU412" s="11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11"/>
      <c r="AN413" s="11"/>
      <c r="AO413" s="8"/>
      <c r="AP413" s="8"/>
      <c r="AQ413" s="8"/>
      <c r="AR413" s="8"/>
      <c r="AS413" s="11"/>
      <c r="AT413" s="11"/>
      <c r="AU413" s="11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11"/>
      <c r="AN414" s="11"/>
      <c r="AO414" s="8"/>
      <c r="AP414" s="8"/>
      <c r="AQ414" s="8"/>
      <c r="AR414" s="8"/>
      <c r="AS414" s="11"/>
      <c r="AT414" s="11"/>
      <c r="AU414" s="11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11"/>
      <c r="AN415" s="11"/>
      <c r="AO415" s="8"/>
      <c r="AP415" s="8"/>
      <c r="AQ415" s="8"/>
      <c r="AR415" s="8"/>
      <c r="AS415" s="11"/>
      <c r="AT415" s="11"/>
      <c r="AU415" s="11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11"/>
      <c r="AN416" s="11"/>
      <c r="AO416" s="8"/>
      <c r="AP416" s="8"/>
      <c r="AQ416" s="8"/>
      <c r="AR416" s="8"/>
      <c r="AS416" s="11"/>
      <c r="AT416" s="11"/>
      <c r="AU416" s="11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11"/>
      <c r="AN417" s="11"/>
      <c r="AO417" s="8"/>
      <c r="AP417" s="8"/>
      <c r="AQ417" s="8"/>
      <c r="AR417" s="8"/>
      <c r="AS417" s="11"/>
      <c r="AT417" s="11"/>
      <c r="AU417" s="11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11"/>
      <c r="AN418" s="11"/>
      <c r="AO418" s="8"/>
      <c r="AP418" s="8"/>
      <c r="AQ418" s="8"/>
      <c r="AR418" s="8"/>
      <c r="AS418" s="11"/>
      <c r="AT418" s="11"/>
      <c r="AU418" s="11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11"/>
      <c r="AN419" s="11"/>
      <c r="AO419" s="8"/>
      <c r="AP419" s="8"/>
      <c r="AQ419" s="8"/>
      <c r="AR419" s="8"/>
      <c r="AS419" s="11"/>
      <c r="AT419" s="11"/>
      <c r="AU419" s="11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11"/>
      <c r="AN420" s="11"/>
      <c r="AO420" s="8"/>
      <c r="AP420" s="8"/>
      <c r="AQ420" s="8"/>
      <c r="AR420" s="8"/>
      <c r="AS420" s="11"/>
      <c r="AT420" s="11"/>
      <c r="AU420" s="11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11"/>
      <c r="AN421" s="11"/>
      <c r="AO421" s="8"/>
      <c r="AP421" s="8"/>
      <c r="AQ421" s="8"/>
      <c r="AR421" s="8"/>
      <c r="AS421" s="11"/>
      <c r="AT421" s="11"/>
      <c r="AU421" s="11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11"/>
      <c r="AN422" s="11"/>
      <c r="AO422" s="8"/>
      <c r="AP422" s="8"/>
      <c r="AQ422" s="8"/>
      <c r="AR422" s="8"/>
      <c r="AS422" s="11"/>
      <c r="AT422" s="11"/>
      <c r="AU422" s="11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11"/>
      <c r="AN423" s="11"/>
      <c r="AO423" s="8"/>
      <c r="AP423" s="8"/>
      <c r="AQ423" s="8"/>
      <c r="AR423" s="8"/>
      <c r="AS423" s="11"/>
      <c r="AT423" s="11"/>
      <c r="AU423" s="11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11"/>
      <c r="AN424" s="11"/>
      <c r="AO424" s="8"/>
      <c r="AP424" s="8"/>
      <c r="AQ424" s="8"/>
      <c r="AR424" s="8"/>
      <c r="AS424" s="11"/>
      <c r="AT424" s="11"/>
      <c r="AU424" s="11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11"/>
      <c r="AN425" s="11"/>
      <c r="AO425" s="8"/>
      <c r="AP425" s="8"/>
      <c r="AQ425" s="8"/>
      <c r="AR425" s="8"/>
      <c r="AS425" s="11"/>
      <c r="AT425" s="11"/>
      <c r="AU425" s="11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11"/>
      <c r="AN426" s="11"/>
      <c r="AO426" s="8"/>
      <c r="AP426" s="8"/>
      <c r="AQ426" s="8"/>
      <c r="AR426" s="8"/>
      <c r="AS426" s="11"/>
      <c r="AT426" s="11"/>
      <c r="AU426" s="11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11"/>
      <c r="AN427" s="11"/>
      <c r="AO427" s="8"/>
      <c r="AP427" s="8"/>
      <c r="AQ427" s="8"/>
      <c r="AR427" s="8"/>
      <c r="AS427" s="11"/>
      <c r="AT427" s="11"/>
      <c r="AU427" s="11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11"/>
      <c r="AN428" s="11"/>
      <c r="AO428" s="8"/>
      <c r="AP428" s="8"/>
      <c r="AQ428" s="8"/>
      <c r="AR428" s="8"/>
      <c r="AS428" s="11"/>
      <c r="AT428" s="11"/>
      <c r="AU428" s="11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11"/>
      <c r="AN429" s="11"/>
      <c r="AO429" s="8"/>
      <c r="AP429" s="8"/>
      <c r="AQ429" s="8"/>
      <c r="AR429" s="8"/>
      <c r="AS429" s="11"/>
      <c r="AT429" s="11"/>
      <c r="AU429" s="11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11"/>
      <c r="AN430" s="11"/>
      <c r="AO430" s="8"/>
      <c r="AP430" s="8"/>
      <c r="AQ430" s="8"/>
      <c r="AR430" s="8"/>
      <c r="AS430" s="11"/>
      <c r="AT430" s="11"/>
      <c r="AU430" s="11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11"/>
      <c r="AN431" s="11"/>
      <c r="AO431" s="8"/>
      <c r="AP431" s="8"/>
      <c r="AQ431" s="8"/>
      <c r="AR431" s="8"/>
      <c r="AS431" s="11"/>
      <c r="AT431" s="11"/>
      <c r="AU431" s="11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11"/>
      <c r="AN432" s="11"/>
      <c r="AO432" s="8"/>
      <c r="AP432" s="8"/>
      <c r="AQ432" s="8"/>
      <c r="AR432" s="8"/>
      <c r="AS432" s="11"/>
      <c r="AT432" s="11"/>
      <c r="AU432" s="11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11"/>
      <c r="AN433" s="11"/>
      <c r="AO433" s="8"/>
      <c r="AP433" s="8"/>
      <c r="AQ433" s="8"/>
      <c r="AR433" s="8"/>
      <c r="AS433" s="11"/>
      <c r="AT433" s="11"/>
      <c r="AU433" s="11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11"/>
      <c r="AN434" s="11"/>
      <c r="AO434" s="8"/>
      <c r="AP434" s="8"/>
      <c r="AQ434" s="8"/>
      <c r="AR434" s="8"/>
      <c r="AS434" s="11"/>
      <c r="AT434" s="11"/>
      <c r="AU434" s="11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11"/>
      <c r="AN435" s="11"/>
      <c r="AO435" s="8"/>
      <c r="AP435" s="8"/>
      <c r="AQ435" s="8"/>
      <c r="AR435" s="8"/>
      <c r="AS435" s="11"/>
      <c r="AT435" s="11"/>
      <c r="AU435" s="11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11"/>
      <c r="AN436" s="11"/>
      <c r="AO436" s="8"/>
      <c r="AP436" s="8"/>
      <c r="AQ436" s="8"/>
      <c r="AR436" s="8"/>
      <c r="AS436" s="11"/>
      <c r="AT436" s="11"/>
      <c r="AU436" s="11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11"/>
      <c r="AN437" s="11"/>
      <c r="AO437" s="8"/>
      <c r="AP437" s="8"/>
      <c r="AQ437" s="8"/>
      <c r="AR437" s="8"/>
      <c r="AS437" s="11"/>
      <c r="AT437" s="11"/>
      <c r="AU437" s="11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11"/>
      <c r="AN438" s="11"/>
      <c r="AO438" s="8"/>
      <c r="AP438" s="8"/>
      <c r="AQ438" s="8"/>
      <c r="AR438" s="8"/>
      <c r="AS438" s="11"/>
      <c r="AT438" s="11"/>
      <c r="AU438" s="11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11"/>
      <c r="AN439" s="11"/>
      <c r="AO439" s="8"/>
      <c r="AP439" s="8"/>
      <c r="AQ439" s="8"/>
      <c r="AR439" s="8"/>
      <c r="AS439" s="11"/>
      <c r="AT439" s="11"/>
      <c r="AU439" s="11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11"/>
      <c r="AN440" s="11"/>
      <c r="AO440" s="8"/>
      <c r="AP440" s="8"/>
      <c r="AQ440" s="8"/>
      <c r="AR440" s="8"/>
      <c r="AS440" s="11"/>
      <c r="AT440" s="11"/>
      <c r="AU440" s="11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11"/>
      <c r="AN441" s="11"/>
      <c r="AO441" s="8"/>
      <c r="AP441" s="8"/>
      <c r="AQ441" s="8"/>
      <c r="AR441" s="8"/>
      <c r="AS441" s="11"/>
      <c r="AT441" s="11"/>
      <c r="AU441" s="11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11"/>
      <c r="AN442" s="11"/>
      <c r="AO442" s="8"/>
      <c r="AP442" s="8"/>
      <c r="AQ442" s="8"/>
      <c r="AR442" s="8"/>
      <c r="AS442" s="11"/>
      <c r="AT442" s="11"/>
      <c r="AU442" s="11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11"/>
      <c r="AN443" s="11"/>
      <c r="AO443" s="8"/>
      <c r="AP443" s="8"/>
      <c r="AQ443" s="8"/>
      <c r="AR443" s="8"/>
      <c r="AS443" s="11"/>
      <c r="AT443" s="11"/>
      <c r="AU443" s="11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11"/>
      <c r="AN444" s="11"/>
      <c r="AO444" s="8"/>
      <c r="AP444" s="8"/>
      <c r="AQ444" s="8"/>
      <c r="AR444" s="8"/>
      <c r="AS444" s="11"/>
      <c r="AT444" s="11"/>
      <c r="AU444" s="11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11"/>
      <c r="AN445" s="11"/>
      <c r="AO445" s="8"/>
      <c r="AP445" s="8"/>
      <c r="AQ445" s="8"/>
      <c r="AR445" s="8"/>
      <c r="AS445" s="11"/>
      <c r="AT445" s="11"/>
      <c r="AU445" s="11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11"/>
      <c r="AN446" s="11"/>
      <c r="AO446" s="8"/>
      <c r="AP446" s="8"/>
      <c r="AQ446" s="8"/>
      <c r="AR446" s="8"/>
      <c r="AS446" s="11"/>
      <c r="AT446" s="11"/>
      <c r="AU446" s="11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11"/>
      <c r="AN447" s="11"/>
      <c r="AO447" s="8"/>
      <c r="AP447" s="8"/>
      <c r="AQ447" s="8"/>
      <c r="AR447" s="8"/>
      <c r="AS447" s="11"/>
      <c r="AT447" s="11"/>
      <c r="AU447" s="11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11"/>
      <c r="AN448" s="11"/>
      <c r="AO448" s="8"/>
      <c r="AP448" s="8"/>
      <c r="AQ448" s="8"/>
      <c r="AR448" s="8"/>
      <c r="AS448" s="11"/>
      <c r="AT448" s="11"/>
      <c r="AU448" s="11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11"/>
      <c r="AN449" s="11"/>
      <c r="AO449" s="8"/>
      <c r="AP449" s="8"/>
      <c r="AQ449" s="8"/>
      <c r="AR449" s="8"/>
      <c r="AS449" s="11"/>
      <c r="AT449" s="11"/>
      <c r="AU449" s="11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11"/>
      <c r="AN450" s="11"/>
      <c r="AO450" s="8"/>
      <c r="AP450" s="8"/>
      <c r="AQ450" s="8"/>
      <c r="AR450" s="8"/>
      <c r="AS450" s="11"/>
      <c r="AT450" s="11"/>
      <c r="AU450" s="11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11"/>
      <c r="AN451" s="11"/>
      <c r="AO451" s="8"/>
      <c r="AP451" s="8"/>
      <c r="AQ451" s="8"/>
      <c r="AR451" s="8"/>
      <c r="AS451" s="11"/>
      <c r="AT451" s="11"/>
      <c r="AU451" s="11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11"/>
      <c r="AN452" s="11"/>
      <c r="AO452" s="8"/>
      <c r="AP452" s="8"/>
      <c r="AQ452" s="8"/>
      <c r="AR452" s="8"/>
      <c r="AS452" s="11"/>
      <c r="AT452" s="11"/>
      <c r="AU452" s="11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11"/>
      <c r="AN453" s="11"/>
      <c r="AO453" s="8"/>
      <c r="AP453" s="8"/>
      <c r="AQ453" s="8"/>
      <c r="AR453" s="8"/>
      <c r="AS453" s="11"/>
      <c r="AT453" s="11"/>
      <c r="AU453" s="11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11"/>
      <c r="AN454" s="11"/>
      <c r="AO454" s="8"/>
      <c r="AP454" s="8"/>
      <c r="AQ454" s="8"/>
      <c r="AR454" s="8"/>
      <c r="AS454" s="11"/>
      <c r="AT454" s="11"/>
      <c r="AU454" s="11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11"/>
      <c r="AN455" s="11"/>
      <c r="AO455" s="8"/>
      <c r="AP455" s="8"/>
      <c r="AQ455" s="8"/>
      <c r="AR455" s="8"/>
      <c r="AS455" s="11"/>
      <c r="AT455" s="11"/>
      <c r="AU455" s="11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11"/>
      <c r="AN456" s="11"/>
      <c r="AO456" s="8"/>
      <c r="AP456" s="8"/>
      <c r="AQ456" s="8"/>
      <c r="AR456" s="8"/>
      <c r="AS456" s="11"/>
      <c r="AT456" s="11"/>
      <c r="AU456" s="11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11"/>
      <c r="AN457" s="11"/>
      <c r="AO457" s="8"/>
      <c r="AP457" s="8"/>
      <c r="AQ457" s="8"/>
      <c r="AR457" s="8"/>
      <c r="AS457" s="11"/>
      <c r="AT457" s="11"/>
      <c r="AU457" s="11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11"/>
      <c r="AN458" s="11"/>
      <c r="AO458" s="8"/>
      <c r="AP458" s="8"/>
      <c r="AQ458" s="8"/>
      <c r="AR458" s="8"/>
      <c r="AS458" s="11"/>
      <c r="AT458" s="11"/>
      <c r="AU458" s="11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11"/>
      <c r="AN459" s="11"/>
      <c r="AO459" s="8"/>
      <c r="AP459" s="8"/>
      <c r="AQ459" s="8"/>
      <c r="AR459" s="8"/>
      <c r="AS459" s="11"/>
      <c r="AT459" s="11"/>
      <c r="AU459" s="11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11"/>
      <c r="AN460" s="11"/>
      <c r="AO460" s="8"/>
      <c r="AP460" s="8"/>
      <c r="AQ460" s="8"/>
      <c r="AR460" s="8"/>
      <c r="AS460" s="11"/>
      <c r="AT460" s="11"/>
      <c r="AU460" s="11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11"/>
      <c r="AN461" s="11"/>
      <c r="AO461" s="8"/>
      <c r="AP461" s="8"/>
      <c r="AQ461" s="8"/>
      <c r="AR461" s="8"/>
      <c r="AS461" s="11"/>
      <c r="AT461" s="11"/>
      <c r="AU461" s="11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11"/>
      <c r="AN462" s="11"/>
      <c r="AO462" s="8"/>
      <c r="AP462" s="8"/>
      <c r="AQ462" s="8"/>
      <c r="AR462" s="8"/>
      <c r="AS462" s="11"/>
      <c r="AT462" s="11"/>
      <c r="AU462" s="11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11"/>
      <c r="AN463" s="11"/>
      <c r="AO463" s="8"/>
      <c r="AP463" s="8"/>
      <c r="AQ463" s="8"/>
      <c r="AR463" s="8"/>
      <c r="AS463" s="11"/>
      <c r="AT463" s="11"/>
      <c r="AU463" s="11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11"/>
      <c r="AN464" s="11"/>
      <c r="AO464" s="8"/>
      <c r="AP464" s="8"/>
      <c r="AQ464" s="8"/>
      <c r="AR464" s="8"/>
      <c r="AS464" s="11"/>
      <c r="AT464" s="11"/>
      <c r="AU464" s="11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11"/>
      <c r="AN465" s="11"/>
      <c r="AO465" s="8"/>
      <c r="AP465" s="8"/>
      <c r="AQ465" s="8"/>
      <c r="AR465" s="8"/>
      <c r="AS465" s="11"/>
      <c r="AT465" s="11"/>
      <c r="AU465" s="11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11"/>
      <c r="AN466" s="11"/>
      <c r="AO466" s="8"/>
      <c r="AP466" s="8"/>
      <c r="AQ466" s="8"/>
      <c r="AR466" s="8"/>
      <c r="AS466" s="11"/>
      <c r="AT466" s="11"/>
      <c r="AU466" s="11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11"/>
      <c r="AN467" s="11"/>
      <c r="AO467" s="8"/>
      <c r="AP467" s="8"/>
      <c r="AQ467" s="8"/>
      <c r="AR467" s="8"/>
      <c r="AS467" s="11"/>
      <c r="AT467" s="11"/>
      <c r="AU467" s="11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11"/>
      <c r="AN468" s="11"/>
      <c r="AO468" s="8"/>
      <c r="AP468" s="8"/>
      <c r="AQ468" s="8"/>
      <c r="AR468" s="8"/>
      <c r="AS468" s="11"/>
      <c r="AT468" s="11"/>
      <c r="AU468" s="11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11"/>
      <c r="AN469" s="11"/>
      <c r="AO469" s="8"/>
      <c r="AP469" s="8"/>
      <c r="AQ469" s="8"/>
      <c r="AR469" s="8"/>
      <c r="AS469" s="11"/>
      <c r="AT469" s="11"/>
      <c r="AU469" s="11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11"/>
      <c r="AN470" s="11"/>
      <c r="AO470" s="8"/>
      <c r="AP470" s="8"/>
      <c r="AQ470" s="8"/>
      <c r="AR470" s="8"/>
      <c r="AS470" s="11"/>
      <c r="AT470" s="11"/>
      <c r="AU470" s="11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11"/>
      <c r="AN471" s="11"/>
      <c r="AO471" s="8"/>
      <c r="AP471" s="8"/>
      <c r="AQ471" s="8"/>
      <c r="AR471" s="8"/>
      <c r="AS471" s="11"/>
      <c r="AT471" s="11"/>
      <c r="AU471" s="11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11"/>
      <c r="AN472" s="11"/>
      <c r="AO472" s="8"/>
      <c r="AP472" s="8"/>
      <c r="AQ472" s="8"/>
      <c r="AR472" s="8"/>
      <c r="AS472" s="11"/>
      <c r="AT472" s="11"/>
      <c r="AU472" s="11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11"/>
      <c r="AN473" s="11"/>
      <c r="AO473" s="8"/>
      <c r="AP473" s="8"/>
      <c r="AQ473" s="8"/>
      <c r="AR473" s="8"/>
      <c r="AS473" s="11"/>
      <c r="AT473" s="11"/>
      <c r="AU473" s="11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11"/>
      <c r="AN474" s="11"/>
      <c r="AO474" s="8"/>
      <c r="AP474" s="8"/>
      <c r="AQ474" s="8"/>
      <c r="AR474" s="8"/>
      <c r="AS474" s="11"/>
      <c r="AT474" s="11"/>
      <c r="AU474" s="11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11"/>
      <c r="AN475" s="11"/>
      <c r="AO475" s="8"/>
      <c r="AP475" s="8"/>
      <c r="AQ475" s="8"/>
      <c r="AR475" s="8"/>
      <c r="AS475" s="11"/>
      <c r="AT475" s="11"/>
      <c r="AU475" s="11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11"/>
      <c r="AN476" s="11"/>
      <c r="AO476" s="8"/>
      <c r="AP476" s="8"/>
      <c r="AQ476" s="8"/>
      <c r="AR476" s="8"/>
      <c r="AS476" s="11"/>
      <c r="AT476" s="11"/>
      <c r="AU476" s="11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11"/>
      <c r="AN477" s="11"/>
      <c r="AO477" s="8"/>
      <c r="AP477" s="8"/>
      <c r="AQ477" s="8"/>
      <c r="AR477" s="8"/>
      <c r="AS477" s="11"/>
      <c r="AT477" s="11"/>
      <c r="AU477" s="11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11"/>
      <c r="AN478" s="11"/>
      <c r="AO478" s="8"/>
      <c r="AP478" s="8"/>
      <c r="AQ478" s="8"/>
      <c r="AR478" s="8"/>
      <c r="AS478" s="11"/>
      <c r="AT478" s="11"/>
      <c r="AU478" s="11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11"/>
      <c r="AN479" s="11"/>
      <c r="AO479" s="8"/>
      <c r="AP479" s="8"/>
      <c r="AQ479" s="8"/>
      <c r="AR479" s="8"/>
      <c r="AS479" s="11"/>
      <c r="AT479" s="11"/>
      <c r="AU479" s="11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11"/>
      <c r="AN480" s="11"/>
      <c r="AO480" s="8"/>
      <c r="AP480" s="8"/>
      <c r="AQ480" s="8"/>
      <c r="AR480" s="8"/>
      <c r="AS480" s="11"/>
      <c r="AT480" s="11"/>
      <c r="AU480" s="11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11"/>
      <c r="AN481" s="11"/>
      <c r="AO481" s="8"/>
      <c r="AP481" s="8"/>
      <c r="AQ481" s="8"/>
      <c r="AR481" s="8"/>
      <c r="AS481" s="11"/>
      <c r="AT481" s="11"/>
      <c r="AU481" s="11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11"/>
      <c r="AN482" s="11"/>
      <c r="AO482" s="8"/>
      <c r="AP482" s="8"/>
      <c r="AQ482" s="8"/>
      <c r="AR482" s="8"/>
      <c r="AS482" s="11"/>
      <c r="AT482" s="11"/>
      <c r="AU482" s="11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11"/>
      <c r="AN483" s="11"/>
      <c r="AO483" s="8"/>
      <c r="AP483" s="8"/>
      <c r="AQ483" s="8"/>
      <c r="AR483" s="8"/>
      <c r="AS483" s="11"/>
      <c r="AT483" s="11"/>
      <c r="AU483" s="11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11"/>
      <c r="AN484" s="11"/>
      <c r="AO484" s="8"/>
      <c r="AP484" s="8"/>
      <c r="AQ484" s="8"/>
      <c r="AR484" s="8"/>
      <c r="AS484" s="11"/>
      <c r="AT484" s="11"/>
      <c r="AU484" s="11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11"/>
      <c r="AN485" s="11"/>
      <c r="AO485" s="8"/>
      <c r="AP485" s="8"/>
      <c r="AQ485" s="8"/>
      <c r="AR485" s="8"/>
      <c r="AS485" s="11"/>
      <c r="AT485" s="11"/>
      <c r="AU485" s="11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11"/>
      <c r="AN486" s="11"/>
      <c r="AO486" s="8"/>
      <c r="AP486" s="8"/>
      <c r="AQ486" s="8"/>
      <c r="AR486" s="8"/>
      <c r="AS486" s="11"/>
      <c r="AT486" s="11"/>
      <c r="AU486" s="11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11"/>
      <c r="AN487" s="11"/>
      <c r="AO487" s="8"/>
      <c r="AP487" s="8"/>
      <c r="AQ487" s="8"/>
      <c r="AR487" s="8"/>
      <c r="AS487" s="11"/>
      <c r="AT487" s="11"/>
      <c r="AU487" s="11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11"/>
      <c r="AN488" s="11"/>
      <c r="AO488" s="8"/>
      <c r="AP488" s="8"/>
      <c r="AQ488" s="8"/>
      <c r="AR488" s="8"/>
      <c r="AS488" s="11"/>
      <c r="AT488" s="11"/>
      <c r="AU488" s="11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11"/>
      <c r="AN489" s="11"/>
      <c r="AO489" s="8"/>
      <c r="AP489" s="8"/>
      <c r="AQ489" s="8"/>
      <c r="AR489" s="8"/>
      <c r="AS489" s="11"/>
      <c r="AT489" s="11"/>
      <c r="AU489" s="11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11"/>
      <c r="AN490" s="11"/>
      <c r="AO490" s="8"/>
      <c r="AP490" s="8"/>
      <c r="AQ490" s="8"/>
      <c r="AR490" s="8"/>
      <c r="AS490" s="11"/>
      <c r="AT490" s="11"/>
      <c r="AU490" s="11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11"/>
      <c r="AN491" s="11"/>
      <c r="AO491" s="8"/>
      <c r="AP491" s="8"/>
      <c r="AQ491" s="8"/>
      <c r="AR491" s="8"/>
      <c r="AS491" s="11"/>
      <c r="AT491" s="11"/>
      <c r="AU491" s="11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11"/>
      <c r="AN492" s="11"/>
      <c r="AO492" s="8"/>
      <c r="AP492" s="8"/>
      <c r="AQ492" s="8"/>
      <c r="AR492" s="8"/>
      <c r="AS492" s="11"/>
      <c r="AT492" s="11"/>
      <c r="AU492" s="11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11"/>
      <c r="AN493" s="11"/>
      <c r="AO493" s="8"/>
      <c r="AP493" s="8"/>
      <c r="AQ493" s="8"/>
      <c r="AR493" s="8"/>
      <c r="AS493" s="11"/>
      <c r="AT493" s="11"/>
      <c r="AU493" s="11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11"/>
      <c r="AN494" s="11"/>
      <c r="AO494" s="8"/>
      <c r="AP494" s="8"/>
      <c r="AQ494" s="8"/>
      <c r="AR494" s="8"/>
      <c r="AS494" s="11"/>
      <c r="AT494" s="11"/>
      <c r="AU494" s="11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11"/>
      <c r="AN495" s="11"/>
      <c r="AO495" s="8"/>
      <c r="AP495" s="8"/>
      <c r="AQ495" s="8"/>
      <c r="AR495" s="8"/>
      <c r="AS495" s="11"/>
      <c r="AT495" s="11"/>
      <c r="AU495" s="11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11"/>
      <c r="AN496" s="11"/>
      <c r="AO496" s="8"/>
      <c r="AP496" s="8"/>
      <c r="AQ496" s="8"/>
      <c r="AR496" s="8"/>
      <c r="AS496" s="11"/>
      <c r="AT496" s="11"/>
      <c r="AU496" s="11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11"/>
      <c r="AN497" s="11"/>
      <c r="AO497" s="8"/>
      <c r="AP497" s="8"/>
      <c r="AQ497" s="8"/>
      <c r="AR497" s="8"/>
      <c r="AS497" s="11"/>
      <c r="AT497" s="11"/>
      <c r="AU497" s="11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11"/>
      <c r="AN498" s="11"/>
      <c r="AO498" s="8"/>
      <c r="AP498" s="8"/>
      <c r="AQ498" s="8"/>
      <c r="AR498" s="8"/>
      <c r="AS498" s="11"/>
      <c r="AT498" s="11"/>
      <c r="AU498" s="11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11"/>
      <c r="AN499" s="11"/>
      <c r="AO499" s="8"/>
      <c r="AP499" s="8"/>
      <c r="AQ499" s="8"/>
      <c r="AR499" s="8"/>
      <c r="AS499" s="11"/>
      <c r="AT499" s="11"/>
      <c r="AU499" s="11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11"/>
      <c r="AN500" s="11"/>
      <c r="AO500" s="8"/>
      <c r="AP500" s="8"/>
      <c r="AQ500" s="8"/>
      <c r="AR500" s="8"/>
      <c r="AS500" s="11"/>
      <c r="AT500" s="11"/>
      <c r="AU500" s="11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11"/>
      <c r="AN501" s="11"/>
      <c r="AO501" s="8"/>
      <c r="AP501" s="8"/>
      <c r="AQ501" s="8"/>
      <c r="AR501" s="8"/>
      <c r="AS501" s="11"/>
      <c r="AT501" s="11"/>
      <c r="AU501" s="11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11"/>
      <c r="AN502" s="11"/>
      <c r="AO502" s="8"/>
      <c r="AP502" s="8"/>
      <c r="AQ502" s="8"/>
      <c r="AR502" s="8"/>
      <c r="AS502" s="11"/>
      <c r="AT502" s="11"/>
      <c r="AU502" s="11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11"/>
      <c r="AN503" s="11"/>
      <c r="AO503" s="8"/>
      <c r="AP503" s="8"/>
      <c r="AQ503" s="8"/>
      <c r="AR503" s="8"/>
      <c r="AS503" s="11"/>
      <c r="AT503" s="11"/>
      <c r="AU503" s="11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11"/>
      <c r="AN504" s="11"/>
      <c r="AO504" s="8"/>
      <c r="AP504" s="8"/>
      <c r="AQ504" s="8"/>
      <c r="AR504" s="8"/>
      <c r="AS504" s="11"/>
      <c r="AT504" s="11"/>
      <c r="AU504" s="11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11"/>
      <c r="AN505" s="11"/>
      <c r="AO505" s="8"/>
      <c r="AP505" s="8"/>
      <c r="AQ505" s="8"/>
      <c r="AR505" s="8"/>
      <c r="AS505" s="11"/>
      <c r="AT505" s="11"/>
      <c r="AU505" s="11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11"/>
      <c r="AN506" s="11"/>
      <c r="AO506" s="8"/>
      <c r="AP506" s="8"/>
      <c r="AQ506" s="8"/>
      <c r="AR506" s="8"/>
      <c r="AS506" s="11"/>
      <c r="AT506" s="11"/>
      <c r="AU506" s="11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11"/>
      <c r="AN507" s="11"/>
      <c r="AO507" s="8"/>
      <c r="AP507" s="8"/>
      <c r="AQ507" s="8"/>
      <c r="AR507" s="8"/>
      <c r="AS507" s="11"/>
      <c r="AT507" s="11"/>
      <c r="AU507" s="11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11"/>
      <c r="AN508" s="11"/>
      <c r="AO508" s="8"/>
      <c r="AP508" s="8"/>
      <c r="AQ508" s="8"/>
      <c r="AR508" s="8"/>
      <c r="AS508" s="11"/>
      <c r="AT508" s="11"/>
      <c r="AU508" s="11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11"/>
      <c r="AN509" s="11"/>
      <c r="AO509" s="8"/>
      <c r="AP509" s="8"/>
      <c r="AQ509" s="8"/>
      <c r="AR509" s="8"/>
      <c r="AS509" s="11"/>
      <c r="AT509" s="11"/>
      <c r="AU509" s="11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11"/>
      <c r="AN510" s="11"/>
      <c r="AO510" s="8"/>
      <c r="AP510" s="8"/>
      <c r="AQ510" s="8"/>
      <c r="AR510" s="8"/>
      <c r="AS510" s="11"/>
      <c r="AT510" s="11"/>
      <c r="AU510" s="11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11"/>
      <c r="AN511" s="11"/>
      <c r="AO511" s="8"/>
      <c r="AP511" s="8"/>
      <c r="AQ511" s="8"/>
      <c r="AR511" s="8"/>
      <c r="AS511" s="11"/>
      <c r="AT511" s="11"/>
      <c r="AU511" s="11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11"/>
      <c r="AN512" s="11"/>
      <c r="AO512" s="8"/>
      <c r="AP512" s="8"/>
      <c r="AQ512" s="8"/>
      <c r="AR512" s="8"/>
      <c r="AS512" s="11"/>
      <c r="AT512" s="11"/>
      <c r="AU512" s="11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11"/>
      <c r="AN513" s="11"/>
      <c r="AO513" s="8"/>
      <c r="AP513" s="8"/>
      <c r="AQ513" s="8"/>
      <c r="AR513" s="8"/>
      <c r="AS513" s="11"/>
      <c r="AT513" s="11"/>
      <c r="AU513" s="11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11"/>
      <c r="AN514" s="11"/>
      <c r="AO514" s="8"/>
      <c r="AP514" s="8"/>
      <c r="AQ514" s="8"/>
      <c r="AR514" s="8"/>
      <c r="AS514" s="11"/>
      <c r="AT514" s="11"/>
      <c r="AU514" s="11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11"/>
      <c r="AN515" s="11"/>
      <c r="AO515" s="8"/>
      <c r="AP515" s="8"/>
      <c r="AQ515" s="8"/>
      <c r="AR515" s="8"/>
      <c r="AS515" s="11"/>
      <c r="AT515" s="11"/>
      <c r="AU515" s="11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11"/>
      <c r="AN516" s="11"/>
      <c r="AO516" s="8"/>
      <c r="AP516" s="8"/>
      <c r="AQ516" s="8"/>
      <c r="AR516" s="8"/>
      <c r="AS516" s="11"/>
      <c r="AT516" s="11"/>
      <c r="AU516" s="11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11"/>
      <c r="AN517" s="11"/>
      <c r="AO517" s="8"/>
      <c r="AP517" s="8"/>
      <c r="AQ517" s="8"/>
      <c r="AR517" s="8"/>
      <c r="AS517" s="11"/>
      <c r="AT517" s="11"/>
      <c r="AU517" s="11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11"/>
      <c r="AN518" s="11"/>
      <c r="AO518" s="8"/>
      <c r="AP518" s="8"/>
      <c r="AQ518" s="8"/>
      <c r="AR518" s="8"/>
      <c r="AS518" s="11"/>
      <c r="AT518" s="11"/>
      <c r="AU518" s="11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11"/>
      <c r="AN519" s="11"/>
      <c r="AO519" s="8"/>
      <c r="AP519" s="8"/>
      <c r="AQ519" s="8"/>
      <c r="AR519" s="8"/>
      <c r="AS519" s="11"/>
      <c r="AT519" s="11"/>
      <c r="AU519" s="11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11"/>
      <c r="AN520" s="11"/>
      <c r="AO520" s="8"/>
      <c r="AP520" s="8"/>
      <c r="AQ520" s="8"/>
      <c r="AR520" s="8"/>
      <c r="AS520" s="11"/>
      <c r="AT520" s="11"/>
      <c r="AU520" s="11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11"/>
      <c r="AN521" s="11"/>
      <c r="AO521" s="8"/>
      <c r="AP521" s="8"/>
      <c r="AQ521" s="8"/>
      <c r="AR521" s="8"/>
      <c r="AS521" s="11"/>
      <c r="AT521" s="11"/>
      <c r="AU521" s="11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11"/>
      <c r="AN522" s="11"/>
      <c r="AO522" s="8"/>
      <c r="AP522" s="8"/>
      <c r="AQ522" s="8"/>
      <c r="AR522" s="8"/>
      <c r="AS522" s="11"/>
      <c r="AT522" s="11"/>
      <c r="AU522" s="11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11"/>
      <c r="AN523" s="11"/>
      <c r="AO523" s="8"/>
      <c r="AP523" s="8"/>
      <c r="AQ523" s="8"/>
      <c r="AR523" s="8"/>
      <c r="AS523" s="11"/>
      <c r="AT523" s="11"/>
      <c r="AU523" s="11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11"/>
      <c r="AN524" s="11"/>
      <c r="AO524" s="8"/>
      <c r="AP524" s="8"/>
      <c r="AQ524" s="8"/>
      <c r="AR524" s="8"/>
      <c r="AS524" s="11"/>
      <c r="AT524" s="11"/>
      <c r="AU524" s="11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11"/>
      <c r="AN525" s="11"/>
      <c r="AO525" s="8"/>
      <c r="AP525" s="8"/>
      <c r="AQ525" s="8"/>
      <c r="AR525" s="8"/>
      <c r="AS525" s="11"/>
      <c r="AT525" s="11"/>
      <c r="AU525" s="11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11"/>
      <c r="AN526" s="11"/>
      <c r="AO526" s="8"/>
      <c r="AP526" s="8"/>
      <c r="AQ526" s="8"/>
      <c r="AR526" s="8"/>
      <c r="AS526" s="11"/>
      <c r="AT526" s="11"/>
      <c r="AU526" s="11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11"/>
      <c r="AN527" s="11"/>
      <c r="AO527" s="8"/>
      <c r="AP527" s="8"/>
      <c r="AQ527" s="8"/>
      <c r="AR527" s="8"/>
      <c r="AS527" s="11"/>
      <c r="AT527" s="11"/>
      <c r="AU527" s="11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11"/>
      <c r="AN528" s="11"/>
      <c r="AO528" s="8"/>
      <c r="AP528" s="8"/>
      <c r="AQ528" s="8"/>
      <c r="AR528" s="8"/>
      <c r="AS528" s="11"/>
      <c r="AT528" s="11"/>
      <c r="AU528" s="11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11"/>
      <c r="AN529" s="11"/>
      <c r="AO529" s="8"/>
      <c r="AP529" s="8"/>
      <c r="AQ529" s="8"/>
      <c r="AR529" s="8"/>
      <c r="AS529" s="11"/>
      <c r="AT529" s="11"/>
      <c r="AU529" s="11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11"/>
      <c r="AN530" s="11"/>
      <c r="AO530" s="8"/>
      <c r="AP530" s="8"/>
      <c r="AQ530" s="8"/>
      <c r="AR530" s="8"/>
      <c r="AS530" s="11"/>
      <c r="AT530" s="11"/>
      <c r="AU530" s="11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11"/>
      <c r="AN531" s="11"/>
      <c r="AO531" s="8"/>
      <c r="AP531" s="8"/>
      <c r="AQ531" s="8"/>
      <c r="AR531" s="8"/>
      <c r="AS531" s="11"/>
      <c r="AT531" s="11"/>
      <c r="AU531" s="11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11"/>
      <c r="AN532" s="11"/>
      <c r="AO532" s="8"/>
      <c r="AP532" s="8"/>
      <c r="AQ532" s="8"/>
      <c r="AR532" s="8"/>
      <c r="AS532" s="11"/>
      <c r="AT532" s="11"/>
      <c r="AU532" s="11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11"/>
      <c r="AN533" s="11"/>
      <c r="AO533" s="8"/>
      <c r="AP533" s="8"/>
      <c r="AQ533" s="8"/>
      <c r="AR533" s="8"/>
      <c r="AS533" s="11"/>
      <c r="AT533" s="11"/>
      <c r="AU533" s="11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11"/>
      <c r="AN534" s="11"/>
      <c r="AO534" s="8"/>
      <c r="AP534" s="8"/>
      <c r="AQ534" s="8"/>
      <c r="AR534" s="8"/>
      <c r="AS534" s="11"/>
      <c r="AT534" s="11"/>
      <c r="AU534" s="11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11"/>
      <c r="AN535" s="11"/>
      <c r="AO535" s="8"/>
      <c r="AP535" s="8"/>
      <c r="AQ535" s="8"/>
      <c r="AR535" s="8"/>
      <c r="AS535" s="11"/>
      <c r="AT535" s="11"/>
      <c r="AU535" s="11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11"/>
      <c r="AN536" s="11"/>
      <c r="AO536" s="8"/>
      <c r="AP536" s="8"/>
      <c r="AQ536" s="8"/>
      <c r="AR536" s="8"/>
      <c r="AS536" s="11"/>
      <c r="AT536" s="11"/>
      <c r="AU536" s="11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11"/>
      <c r="AN537" s="11"/>
      <c r="AO537" s="8"/>
      <c r="AP537" s="8"/>
      <c r="AQ537" s="8"/>
      <c r="AR537" s="8"/>
      <c r="AS537" s="11"/>
      <c r="AT537" s="11"/>
      <c r="AU537" s="11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11"/>
      <c r="AN538" s="11"/>
      <c r="AO538" s="8"/>
      <c r="AP538" s="8"/>
      <c r="AQ538" s="8"/>
      <c r="AR538" s="8"/>
      <c r="AS538" s="11"/>
      <c r="AT538" s="11"/>
      <c r="AU538" s="11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11"/>
      <c r="AN539" s="11"/>
      <c r="AO539" s="8"/>
      <c r="AP539" s="8"/>
      <c r="AQ539" s="8"/>
      <c r="AR539" s="8"/>
      <c r="AS539" s="11"/>
      <c r="AT539" s="11"/>
      <c r="AU539" s="11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11"/>
      <c r="AN540" s="11"/>
      <c r="AO540" s="8"/>
      <c r="AP540" s="8"/>
      <c r="AQ540" s="8"/>
      <c r="AR540" s="8"/>
      <c r="AS540" s="11"/>
      <c r="AT540" s="11"/>
      <c r="AU540" s="11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11"/>
      <c r="AN541" s="11"/>
      <c r="AO541" s="8"/>
      <c r="AP541" s="8"/>
      <c r="AQ541" s="8"/>
      <c r="AR541" s="8"/>
      <c r="AS541" s="11"/>
      <c r="AT541" s="11"/>
      <c r="AU541" s="11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11"/>
      <c r="AN542" s="11"/>
      <c r="AO542" s="8"/>
      <c r="AP542" s="8"/>
      <c r="AQ542" s="8"/>
      <c r="AR542" s="8"/>
      <c r="AS542" s="11"/>
      <c r="AT542" s="11"/>
      <c r="AU542" s="11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11"/>
      <c r="AN543" s="11"/>
      <c r="AO543" s="8"/>
      <c r="AP543" s="8"/>
      <c r="AQ543" s="8"/>
      <c r="AR543" s="8"/>
      <c r="AS543" s="11"/>
      <c r="AT543" s="11"/>
      <c r="AU543" s="11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11"/>
      <c r="AN544" s="11"/>
      <c r="AO544" s="8"/>
      <c r="AP544" s="8"/>
      <c r="AQ544" s="8"/>
      <c r="AR544" s="8"/>
      <c r="AS544" s="11"/>
      <c r="AT544" s="11"/>
      <c r="AU544" s="11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11"/>
      <c r="AN545" s="11"/>
      <c r="AO545" s="8"/>
      <c r="AP545" s="8"/>
      <c r="AQ545" s="8"/>
      <c r="AR545" s="8"/>
      <c r="AS545" s="11"/>
      <c r="AT545" s="11"/>
      <c r="AU545" s="11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11"/>
      <c r="AN546" s="11"/>
      <c r="AO546" s="8"/>
      <c r="AP546" s="8"/>
      <c r="AQ546" s="8"/>
      <c r="AR546" s="8"/>
      <c r="AS546" s="11"/>
      <c r="AT546" s="11"/>
      <c r="AU546" s="11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11"/>
      <c r="AN547" s="11"/>
      <c r="AO547" s="8"/>
      <c r="AP547" s="8"/>
      <c r="AQ547" s="8"/>
      <c r="AR547" s="8"/>
      <c r="AS547" s="11"/>
      <c r="AT547" s="11"/>
      <c r="AU547" s="11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11"/>
      <c r="AN548" s="11"/>
      <c r="AO548" s="8"/>
      <c r="AP548" s="8"/>
      <c r="AQ548" s="8"/>
      <c r="AR548" s="8"/>
      <c r="AS548" s="11"/>
      <c r="AT548" s="11"/>
      <c r="AU548" s="11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11"/>
      <c r="AN549" s="11"/>
      <c r="AO549" s="8"/>
      <c r="AP549" s="8"/>
      <c r="AQ549" s="8"/>
      <c r="AR549" s="8"/>
      <c r="AS549" s="11"/>
      <c r="AT549" s="11"/>
      <c r="AU549" s="11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11"/>
      <c r="AN550" s="11"/>
      <c r="AO550" s="8"/>
      <c r="AP550" s="8"/>
      <c r="AQ550" s="8"/>
      <c r="AR550" s="8"/>
      <c r="AS550" s="11"/>
      <c r="AT550" s="11"/>
      <c r="AU550" s="11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11"/>
      <c r="AN551" s="11"/>
      <c r="AO551" s="8"/>
      <c r="AP551" s="8"/>
      <c r="AQ551" s="8"/>
      <c r="AR551" s="8"/>
      <c r="AS551" s="11"/>
      <c r="AT551" s="11"/>
      <c r="AU551" s="11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11"/>
      <c r="AN552" s="11"/>
      <c r="AO552" s="8"/>
      <c r="AP552" s="8"/>
      <c r="AQ552" s="8"/>
      <c r="AR552" s="8"/>
      <c r="AS552" s="11"/>
      <c r="AT552" s="11"/>
      <c r="AU552" s="11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11"/>
      <c r="AN553" s="11"/>
      <c r="AO553" s="8"/>
      <c r="AP553" s="8"/>
      <c r="AQ553" s="8"/>
      <c r="AR553" s="8"/>
      <c r="AS553" s="11"/>
      <c r="AT553" s="11"/>
      <c r="AU553" s="11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11"/>
      <c r="AN554" s="11"/>
      <c r="AO554" s="8"/>
      <c r="AP554" s="8"/>
      <c r="AQ554" s="8"/>
      <c r="AR554" s="8"/>
      <c r="AS554" s="11"/>
      <c r="AT554" s="11"/>
      <c r="AU554" s="11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11"/>
      <c r="AN555" s="11"/>
      <c r="AO555" s="8"/>
      <c r="AP555" s="8"/>
      <c r="AQ555" s="8"/>
      <c r="AR555" s="8"/>
      <c r="AS555" s="11"/>
      <c r="AT555" s="11"/>
      <c r="AU555" s="11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11"/>
      <c r="AN556" s="11"/>
      <c r="AO556" s="8"/>
      <c r="AP556" s="8"/>
      <c r="AQ556" s="8"/>
      <c r="AR556" s="8"/>
      <c r="AS556" s="11"/>
      <c r="AT556" s="11"/>
      <c r="AU556" s="11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11"/>
      <c r="AN557" s="11"/>
      <c r="AO557" s="8"/>
      <c r="AP557" s="8"/>
      <c r="AQ557" s="8"/>
      <c r="AR557" s="8"/>
      <c r="AS557" s="11"/>
      <c r="AT557" s="11"/>
      <c r="AU557" s="11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11"/>
      <c r="AN558" s="11"/>
      <c r="AO558" s="8"/>
      <c r="AP558" s="8"/>
      <c r="AQ558" s="8"/>
      <c r="AR558" s="8"/>
      <c r="AS558" s="11"/>
      <c r="AT558" s="11"/>
      <c r="AU558" s="11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11"/>
      <c r="AN559" s="11"/>
      <c r="AO559" s="8"/>
      <c r="AP559" s="8"/>
      <c r="AQ559" s="8"/>
      <c r="AR559" s="8"/>
      <c r="AS559" s="11"/>
      <c r="AT559" s="11"/>
      <c r="AU559" s="11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11"/>
      <c r="AN560" s="11"/>
      <c r="AO560" s="8"/>
      <c r="AP560" s="8"/>
      <c r="AQ560" s="8"/>
      <c r="AR560" s="8"/>
      <c r="AS560" s="11"/>
      <c r="AT560" s="11"/>
      <c r="AU560" s="11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11"/>
      <c r="AN561" s="11"/>
      <c r="AO561" s="8"/>
      <c r="AP561" s="8"/>
      <c r="AQ561" s="8"/>
      <c r="AR561" s="8"/>
      <c r="AS561" s="11"/>
      <c r="AT561" s="11"/>
      <c r="AU561" s="11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11"/>
      <c r="AN562" s="11"/>
      <c r="AO562" s="8"/>
      <c r="AP562" s="8"/>
      <c r="AQ562" s="8"/>
      <c r="AR562" s="8"/>
      <c r="AS562" s="11"/>
      <c r="AT562" s="11"/>
      <c r="AU562" s="11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11"/>
      <c r="AN563" s="11"/>
      <c r="AO563" s="8"/>
      <c r="AP563" s="8"/>
      <c r="AQ563" s="8"/>
      <c r="AR563" s="8"/>
      <c r="AS563" s="11"/>
      <c r="AT563" s="11"/>
      <c r="AU563" s="11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11"/>
      <c r="AN564" s="11"/>
      <c r="AO564" s="8"/>
      <c r="AP564" s="8"/>
      <c r="AQ564" s="8"/>
      <c r="AR564" s="8"/>
      <c r="AS564" s="11"/>
      <c r="AT564" s="11"/>
      <c r="AU564" s="11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11"/>
      <c r="AN565" s="11"/>
      <c r="AO565" s="8"/>
      <c r="AP565" s="8"/>
      <c r="AQ565" s="8"/>
      <c r="AR565" s="8"/>
      <c r="AS565" s="11"/>
      <c r="AT565" s="11"/>
      <c r="AU565" s="11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11"/>
      <c r="AN566" s="11"/>
      <c r="AO566" s="8"/>
      <c r="AP566" s="8"/>
      <c r="AQ566" s="8"/>
      <c r="AR566" s="8"/>
      <c r="AS566" s="11"/>
      <c r="AT566" s="11"/>
      <c r="AU566" s="11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11"/>
      <c r="AN567" s="11"/>
      <c r="AO567" s="8"/>
      <c r="AP567" s="8"/>
      <c r="AQ567" s="8"/>
      <c r="AR567" s="8"/>
      <c r="AS567" s="11"/>
      <c r="AT567" s="11"/>
      <c r="AU567" s="11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11"/>
      <c r="AN568" s="11"/>
      <c r="AO568" s="8"/>
      <c r="AP568" s="8"/>
      <c r="AQ568" s="8"/>
      <c r="AR568" s="8"/>
      <c r="AS568" s="11"/>
      <c r="AT568" s="11"/>
      <c r="AU568" s="11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11"/>
      <c r="AN569" s="11"/>
      <c r="AO569" s="8"/>
      <c r="AP569" s="8"/>
      <c r="AQ569" s="8"/>
      <c r="AR569" s="8"/>
      <c r="AS569" s="11"/>
      <c r="AT569" s="11"/>
      <c r="AU569" s="11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11"/>
      <c r="AN570" s="11"/>
      <c r="AO570" s="8"/>
      <c r="AP570" s="8"/>
      <c r="AQ570" s="8"/>
      <c r="AR570" s="8"/>
      <c r="AS570" s="11"/>
      <c r="AT570" s="11"/>
      <c r="AU570" s="11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11"/>
      <c r="AN571" s="11"/>
      <c r="AO571" s="8"/>
      <c r="AP571" s="8"/>
      <c r="AQ571" s="8"/>
      <c r="AR571" s="8"/>
      <c r="AS571" s="11"/>
      <c r="AT571" s="11"/>
      <c r="AU571" s="11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11"/>
      <c r="AN572" s="11"/>
      <c r="AO572" s="8"/>
      <c r="AP572" s="8"/>
      <c r="AQ572" s="8"/>
      <c r="AR572" s="8"/>
      <c r="AS572" s="11"/>
      <c r="AT572" s="11"/>
      <c r="AU572" s="11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11"/>
      <c r="AN573" s="11"/>
      <c r="AO573" s="8"/>
      <c r="AP573" s="8"/>
      <c r="AQ573" s="8"/>
      <c r="AR573" s="8"/>
      <c r="AS573" s="11"/>
      <c r="AT573" s="11"/>
      <c r="AU573" s="11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11"/>
      <c r="AN574" s="11"/>
      <c r="AO574" s="8"/>
      <c r="AP574" s="8"/>
      <c r="AQ574" s="8"/>
      <c r="AR574" s="8"/>
      <c r="AS574" s="11"/>
      <c r="AT574" s="11"/>
      <c r="AU574" s="11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11"/>
      <c r="AN575" s="11"/>
      <c r="AO575" s="8"/>
      <c r="AP575" s="8"/>
      <c r="AQ575" s="8"/>
      <c r="AR575" s="8"/>
      <c r="AS575" s="11"/>
      <c r="AT575" s="11"/>
      <c r="AU575" s="11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11"/>
      <c r="AN576" s="11"/>
      <c r="AO576" s="8"/>
      <c r="AP576" s="8"/>
      <c r="AQ576" s="8"/>
      <c r="AR576" s="8"/>
      <c r="AS576" s="11"/>
      <c r="AT576" s="11"/>
      <c r="AU576" s="11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11"/>
      <c r="AN577" s="11"/>
      <c r="AO577" s="8"/>
      <c r="AP577" s="8"/>
      <c r="AQ577" s="8"/>
      <c r="AR577" s="8"/>
      <c r="AS577" s="11"/>
      <c r="AT577" s="11"/>
      <c r="AU577" s="11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11"/>
      <c r="AN578" s="11"/>
      <c r="AO578" s="8"/>
      <c r="AP578" s="8"/>
      <c r="AQ578" s="8"/>
      <c r="AR578" s="8"/>
      <c r="AS578" s="11"/>
      <c r="AT578" s="11"/>
      <c r="AU578" s="11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11"/>
      <c r="AN579" s="11"/>
      <c r="AO579" s="8"/>
      <c r="AP579" s="8"/>
      <c r="AQ579" s="8"/>
      <c r="AR579" s="8"/>
      <c r="AS579" s="11"/>
      <c r="AT579" s="11"/>
      <c r="AU579" s="11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11"/>
      <c r="AN580" s="11"/>
      <c r="AO580" s="8"/>
      <c r="AP580" s="8"/>
      <c r="AQ580" s="8"/>
      <c r="AR580" s="8"/>
      <c r="AS580" s="11"/>
      <c r="AT580" s="11"/>
      <c r="AU580" s="11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11"/>
      <c r="AN581" s="11"/>
      <c r="AO581" s="8"/>
      <c r="AP581" s="8"/>
      <c r="AQ581" s="8"/>
      <c r="AR581" s="8"/>
      <c r="AS581" s="11"/>
      <c r="AT581" s="11"/>
      <c r="AU581" s="11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11"/>
      <c r="AN582" s="11"/>
      <c r="AO582" s="8"/>
      <c r="AP582" s="8"/>
      <c r="AQ582" s="8"/>
      <c r="AR582" s="8"/>
      <c r="AS582" s="11"/>
      <c r="AT582" s="11"/>
      <c r="AU582" s="11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11"/>
      <c r="AN583" s="11"/>
      <c r="AO583" s="8"/>
      <c r="AP583" s="8"/>
      <c r="AQ583" s="8"/>
      <c r="AR583" s="8"/>
      <c r="AS583" s="11"/>
      <c r="AT583" s="11"/>
      <c r="AU583" s="11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11"/>
      <c r="AN584" s="11"/>
      <c r="AO584" s="8"/>
      <c r="AP584" s="8"/>
      <c r="AQ584" s="8"/>
      <c r="AR584" s="8"/>
      <c r="AS584" s="11"/>
      <c r="AT584" s="11"/>
      <c r="AU584" s="11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11"/>
      <c r="AN585" s="11"/>
      <c r="AO585" s="8"/>
      <c r="AP585" s="8"/>
      <c r="AQ585" s="8"/>
      <c r="AR585" s="8"/>
      <c r="AS585" s="11"/>
      <c r="AT585" s="11"/>
      <c r="AU585" s="11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11"/>
      <c r="AN586" s="11"/>
      <c r="AO586" s="8"/>
      <c r="AP586" s="8"/>
      <c r="AQ586" s="8"/>
      <c r="AR586" s="8"/>
      <c r="AS586" s="11"/>
      <c r="AT586" s="11"/>
      <c r="AU586" s="11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11"/>
      <c r="AN587" s="11"/>
      <c r="AO587" s="8"/>
      <c r="AP587" s="8"/>
      <c r="AQ587" s="8"/>
      <c r="AR587" s="8"/>
      <c r="AS587" s="11"/>
      <c r="AT587" s="11"/>
      <c r="AU587" s="11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11"/>
      <c r="AN588" s="11"/>
      <c r="AO588" s="8"/>
      <c r="AP588" s="8"/>
      <c r="AQ588" s="8"/>
      <c r="AR588" s="8"/>
      <c r="AS588" s="11"/>
      <c r="AT588" s="11"/>
      <c r="AU588" s="11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11"/>
      <c r="AN589" s="11"/>
      <c r="AO589" s="8"/>
      <c r="AP589" s="8"/>
      <c r="AQ589" s="8"/>
      <c r="AR589" s="8"/>
      <c r="AS589" s="11"/>
      <c r="AT589" s="11"/>
      <c r="AU589" s="11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11"/>
      <c r="AN590" s="11"/>
      <c r="AO590" s="8"/>
      <c r="AP590" s="8"/>
      <c r="AQ590" s="8"/>
      <c r="AR590" s="8"/>
      <c r="AS590" s="11"/>
      <c r="AT590" s="11"/>
      <c r="AU590" s="11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11"/>
      <c r="AN591" s="11"/>
      <c r="AO591" s="8"/>
      <c r="AP591" s="8"/>
      <c r="AQ591" s="8"/>
      <c r="AR591" s="8"/>
      <c r="AS591" s="11"/>
      <c r="AT591" s="11"/>
      <c r="AU591" s="11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11"/>
      <c r="AN592" s="11"/>
      <c r="AO592" s="8"/>
      <c r="AP592" s="8"/>
      <c r="AQ592" s="8"/>
      <c r="AR592" s="8"/>
      <c r="AS592" s="11"/>
      <c r="AT592" s="11"/>
      <c r="AU592" s="11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11"/>
      <c r="AN593" s="11"/>
      <c r="AO593" s="8"/>
      <c r="AP593" s="8"/>
      <c r="AQ593" s="8"/>
      <c r="AR593" s="8"/>
      <c r="AS593" s="11"/>
      <c r="AT593" s="11"/>
      <c r="AU593" s="11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11"/>
      <c r="AN594" s="11"/>
      <c r="AO594" s="8"/>
      <c r="AP594" s="8"/>
      <c r="AQ594" s="8"/>
      <c r="AR594" s="8"/>
      <c r="AS594" s="11"/>
      <c r="AT594" s="11"/>
      <c r="AU594" s="11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11"/>
      <c r="AN595" s="11"/>
      <c r="AO595" s="8"/>
      <c r="AP595" s="8"/>
      <c r="AQ595" s="8"/>
      <c r="AR595" s="8"/>
      <c r="AS595" s="11"/>
      <c r="AT595" s="11"/>
      <c r="AU595" s="11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11"/>
      <c r="AN596" s="11"/>
      <c r="AO596" s="8"/>
      <c r="AP596" s="8"/>
      <c r="AQ596" s="8"/>
      <c r="AR596" s="8"/>
      <c r="AS596" s="11"/>
      <c r="AT596" s="11"/>
      <c r="AU596" s="11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11"/>
      <c r="AN597" s="11"/>
      <c r="AO597" s="8"/>
      <c r="AP597" s="8"/>
      <c r="AQ597" s="8"/>
      <c r="AR597" s="8"/>
      <c r="AS597" s="11"/>
      <c r="AT597" s="11"/>
      <c r="AU597" s="11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11"/>
      <c r="AN598" s="11"/>
      <c r="AO598" s="8"/>
      <c r="AP598" s="8"/>
      <c r="AQ598" s="8"/>
      <c r="AR598" s="8"/>
      <c r="AS598" s="11"/>
      <c r="AT598" s="11"/>
      <c r="AU598" s="11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11"/>
      <c r="AN599" s="11"/>
      <c r="AO599" s="8"/>
      <c r="AP599" s="8"/>
      <c r="AQ599" s="8"/>
      <c r="AR599" s="8"/>
      <c r="AS599" s="11"/>
      <c r="AT599" s="11"/>
      <c r="AU599" s="11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11"/>
      <c r="AN600" s="11"/>
      <c r="AO600" s="8"/>
      <c r="AP600" s="8"/>
      <c r="AQ600" s="8"/>
      <c r="AR600" s="8"/>
      <c r="AS600" s="11"/>
      <c r="AT600" s="11"/>
      <c r="AU600" s="11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11"/>
      <c r="AN601" s="11"/>
      <c r="AO601" s="8"/>
      <c r="AP601" s="8"/>
      <c r="AQ601" s="8"/>
      <c r="AR601" s="8"/>
      <c r="AS601" s="11"/>
      <c r="AT601" s="11"/>
      <c r="AU601" s="11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11"/>
      <c r="AN602" s="11"/>
      <c r="AO602" s="8"/>
      <c r="AP602" s="8"/>
      <c r="AQ602" s="8"/>
      <c r="AR602" s="8"/>
      <c r="AS602" s="11"/>
      <c r="AT602" s="11"/>
      <c r="AU602" s="11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11"/>
      <c r="AN603" s="11"/>
      <c r="AO603" s="8"/>
      <c r="AP603" s="8"/>
      <c r="AQ603" s="8"/>
      <c r="AR603" s="8"/>
      <c r="AS603" s="11"/>
      <c r="AT603" s="11"/>
      <c r="AU603" s="11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11"/>
      <c r="AN604" s="11"/>
      <c r="AO604" s="8"/>
      <c r="AP604" s="8"/>
      <c r="AQ604" s="8"/>
      <c r="AR604" s="8"/>
      <c r="AS604" s="11"/>
      <c r="AT604" s="11"/>
      <c r="AU604" s="11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11"/>
      <c r="AN605" s="11"/>
      <c r="AO605" s="8"/>
      <c r="AP605" s="8"/>
      <c r="AQ605" s="8"/>
      <c r="AR605" s="8"/>
      <c r="AS605" s="11"/>
      <c r="AT605" s="11"/>
      <c r="AU605" s="11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11"/>
      <c r="AN606" s="11"/>
      <c r="AO606" s="8"/>
      <c r="AP606" s="8"/>
      <c r="AQ606" s="8"/>
      <c r="AR606" s="8"/>
      <c r="AS606" s="11"/>
      <c r="AT606" s="11"/>
      <c r="AU606" s="11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11"/>
      <c r="AN607" s="11"/>
      <c r="AO607" s="8"/>
      <c r="AP607" s="8"/>
      <c r="AQ607" s="8"/>
      <c r="AR607" s="8"/>
      <c r="AS607" s="11"/>
      <c r="AT607" s="11"/>
      <c r="AU607" s="11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11"/>
      <c r="AN608" s="11"/>
      <c r="AO608" s="8"/>
      <c r="AP608" s="8"/>
      <c r="AQ608" s="8"/>
      <c r="AR608" s="8"/>
      <c r="AS608" s="11"/>
      <c r="AT608" s="11"/>
      <c r="AU608" s="11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11"/>
      <c r="AN609" s="11"/>
      <c r="AO609" s="8"/>
      <c r="AP609" s="8"/>
      <c r="AQ609" s="8"/>
      <c r="AR609" s="8"/>
      <c r="AS609" s="11"/>
      <c r="AT609" s="11"/>
      <c r="AU609" s="11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11"/>
      <c r="AN610" s="11"/>
      <c r="AO610" s="8"/>
      <c r="AP610" s="8"/>
      <c r="AQ610" s="8"/>
      <c r="AR610" s="8"/>
      <c r="AS610" s="11"/>
      <c r="AT610" s="11"/>
      <c r="AU610" s="11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11"/>
      <c r="AN611" s="11"/>
      <c r="AO611" s="8"/>
      <c r="AP611" s="8"/>
      <c r="AQ611" s="8"/>
      <c r="AR611" s="8"/>
      <c r="AS611" s="11"/>
      <c r="AT611" s="11"/>
      <c r="AU611" s="11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11"/>
      <c r="AN612" s="11"/>
      <c r="AO612" s="8"/>
      <c r="AP612" s="8"/>
      <c r="AQ612" s="8"/>
      <c r="AR612" s="8"/>
      <c r="AS612" s="11"/>
      <c r="AT612" s="11"/>
      <c r="AU612" s="11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11"/>
      <c r="AN613" s="11"/>
      <c r="AO613" s="8"/>
      <c r="AP613" s="8"/>
      <c r="AQ613" s="8"/>
      <c r="AR613" s="8"/>
      <c r="AS613" s="11"/>
      <c r="AT613" s="11"/>
      <c r="AU613" s="11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11"/>
      <c r="AN614" s="11"/>
      <c r="AO614" s="8"/>
      <c r="AP614" s="8"/>
      <c r="AQ614" s="8"/>
      <c r="AR614" s="8"/>
      <c r="AS614" s="11"/>
      <c r="AT614" s="11"/>
      <c r="AU614" s="11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11"/>
      <c r="AN615" s="11"/>
      <c r="AO615" s="8"/>
      <c r="AP615" s="8"/>
      <c r="AQ615" s="8"/>
      <c r="AR615" s="8"/>
      <c r="AS615" s="11"/>
      <c r="AT615" s="11"/>
      <c r="AU615" s="11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11"/>
      <c r="AN616" s="11"/>
      <c r="AO616" s="8"/>
      <c r="AP616" s="8"/>
      <c r="AQ616" s="8"/>
      <c r="AR616" s="8"/>
      <c r="AS616" s="11"/>
      <c r="AT616" s="11"/>
      <c r="AU616" s="11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11"/>
      <c r="AN617" s="11"/>
      <c r="AO617" s="8"/>
      <c r="AP617" s="8"/>
      <c r="AQ617" s="8"/>
      <c r="AR617" s="8"/>
      <c r="AS617" s="11"/>
      <c r="AT617" s="11"/>
      <c r="AU617" s="11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11"/>
      <c r="AN618" s="11"/>
      <c r="AO618" s="8"/>
      <c r="AP618" s="8"/>
      <c r="AQ618" s="8"/>
      <c r="AR618" s="8"/>
      <c r="AS618" s="11"/>
      <c r="AT618" s="11"/>
      <c r="AU618" s="11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11"/>
      <c r="AN619" s="11"/>
      <c r="AO619" s="8"/>
      <c r="AP619" s="8"/>
      <c r="AQ619" s="8"/>
      <c r="AR619" s="8"/>
      <c r="AS619" s="11"/>
      <c r="AT619" s="11"/>
      <c r="AU619" s="11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11"/>
      <c r="AN620" s="11"/>
      <c r="AO620" s="8"/>
      <c r="AP620" s="8"/>
      <c r="AQ620" s="8"/>
      <c r="AR620" s="8"/>
      <c r="AS620" s="11"/>
      <c r="AT620" s="11"/>
      <c r="AU620" s="11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11"/>
      <c r="AN621" s="11"/>
      <c r="AO621" s="8"/>
      <c r="AP621" s="8"/>
      <c r="AQ621" s="8"/>
      <c r="AR621" s="8"/>
      <c r="AS621" s="11"/>
      <c r="AT621" s="11"/>
      <c r="AU621" s="11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11"/>
      <c r="AN622" s="11"/>
      <c r="AO622" s="8"/>
      <c r="AP622" s="8"/>
      <c r="AQ622" s="8"/>
      <c r="AR622" s="8"/>
      <c r="AS622" s="11"/>
      <c r="AT622" s="11"/>
      <c r="AU622" s="11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11"/>
      <c r="AN623" s="11"/>
      <c r="AO623" s="8"/>
      <c r="AP623" s="8"/>
      <c r="AQ623" s="8"/>
      <c r="AR623" s="8"/>
      <c r="AS623" s="11"/>
      <c r="AT623" s="11"/>
      <c r="AU623" s="11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11"/>
      <c r="AN624" s="11"/>
      <c r="AO624" s="8"/>
      <c r="AP624" s="8"/>
      <c r="AQ624" s="8"/>
      <c r="AR624" s="8"/>
      <c r="AS624" s="11"/>
      <c r="AT624" s="11"/>
      <c r="AU624" s="11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11"/>
      <c r="AN625" s="11"/>
      <c r="AO625" s="8"/>
      <c r="AP625" s="8"/>
      <c r="AQ625" s="8"/>
      <c r="AR625" s="8"/>
      <c r="AS625" s="11"/>
      <c r="AT625" s="11"/>
      <c r="AU625" s="11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11"/>
      <c r="AN626" s="11"/>
      <c r="AO626" s="8"/>
      <c r="AP626" s="8"/>
      <c r="AQ626" s="8"/>
      <c r="AR626" s="8"/>
      <c r="AS626" s="11"/>
      <c r="AT626" s="11"/>
      <c r="AU626" s="11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11"/>
      <c r="AN627" s="11"/>
      <c r="AO627" s="8"/>
      <c r="AP627" s="8"/>
      <c r="AQ627" s="8"/>
      <c r="AR627" s="8"/>
      <c r="AS627" s="11"/>
      <c r="AT627" s="11"/>
      <c r="AU627" s="11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11"/>
      <c r="AN628" s="11"/>
      <c r="AO628" s="8"/>
      <c r="AP628" s="8"/>
      <c r="AQ628" s="8"/>
      <c r="AR628" s="8"/>
      <c r="AS628" s="11"/>
      <c r="AT628" s="11"/>
      <c r="AU628" s="11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11"/>
      <c r="AN629" s="11"/>
      <c r="AO629" s="8"/>
      <c r="AP629" s="8"/>
      <c r="AQ629" s="8"/>
      <c r="AR629" s="8"/>
      <c r="AS629" s="11"/>
      <c r="AT629" s="11"/>
      <c r="AU629" s="11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11"/>
      <c r="AN630" s="11"/>
      <c r="AO630" s="8"/>
      <c r="AP630" s="8"/>
      <c r="AQ630" s="8"/>
      <c r="AR630" s="8"/>
      <c r="AS630" s="11"/>
      <c r="AT630" s="11"/>
      <c r="AU630" s="11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11"/>
      <c r="AN631" s="11"/>
      <c r="AO631" s="8"/>
      <c r="AP631" s="8"/>
      <c r="AQ631" s="8"/>
      <c r="AR631" s="8"/>
      <c r="AS631" s="11"/>
      <c r="AT631" s="11"/>
      <c r="AU631" s="11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11"/>
      <c r="AN632" s="11"/>
      <c r="AO632" s="8"/>
      <c r="AP632" s="8"/>
      <c r="AQ632" s="8"/>
      <c r="AR632" s="8"/>
      <c r="AS632" s="11"/>
      <c r="AT632" s="11"/>
      <c r="AU632" s="11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11"/>
      <c r="AN633" s="11"/>
      <c r="AO633" s="8"/>
      <c r="AP633" s="8"/>
      <c r="AQ633" s="8"/>
      <c r="AR633" s="8"/>
      <c r="AS633" s="11"/>
      <c r="AT633" s="11"/>
      <c r="AU633" s="11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11"/>
      <c r="AN634" s="11"/>
      <c r="AO634" s="8"/>
      <c r="AP634" s="8"/>
      <c r="AQ634" s="8"/>
      <c r="AR634" s="8"/>
      <c r="AS634" s="11"/>
      <c r="AT634" s="11"/>
      <c r="AU634" s="11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11"/>
      <c r="AN635" s="11"/>
      <c r="AO635" s="8"/>
      <c r="AP635" s="8"/>
      <c r="AQ635" s="8"/>
      <c r="AR635" s="8"/>
      <c r="AS635" s="11"/>
      <c r="AT635" s="11"/>
      <c r="AU635" s="11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11"/>
      <c r="AN636" s="11"/>
      <c r="AO636" s="8"/>
      <c r="AP636" s="8"/>
      <c r="AQ636" s="8"/>
      <c r="AR636" s="8"/>
      <c r="AS636" s="11"/>
      <c r="AT636" s="11"/>
      <c r="AU636" s="11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11"/>
      <c r="AN637" s="11"/>
      <c r="AO637" s="8"/>
      <c r="AP637" s="8"/>
      <c r="AQ637" s="8"/>
      <c r="AR637" s="8"/>
      <c r="AS637" s="11"/>
      <c r="AT637" s="11"/>
      <c r="AU637" s="11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11"/>
      <c r="AN638" s="11"/>
      <c r="AO638" s="8"/>
      <c r="AP638" s="8"/>
      <c r="AQ638" s="8"/>
      <c r="AR638" s="8"/>
      <c r="AS638" s="11"/>
      <c r="AT638" s="11"/>
      <c r="AU638" s="11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11"/>
      <c r="AN639" s="11"/>
      <c r="AO639" s="8"/>
      <c r="AP639" s="8"/>
      <c r="AQ639" s="8"/>
      <c r="AR639" s="8"/>
      <c r="AS639" s="11"/>
      <c r="AT639" s="11"/>
      <c r="AU639" s="11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11"/>
      <c r="AN640" s="11"/>
      <c r="AO640" s="8"/>
      <c r="AP640" s="8"/>
      <c r="AQ640" s="8"/>
      <c r="AR640" s="8"/>
      <c r="AS640" s="11"/>
      <c r="AT640" s="11"/>
      <c r="AU640" s="11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11"/>
      <c r="AN641" s="11"/>
      <c r="AO641" s="8"/>
      <c r="AP641" s="8"/>
      <c r="AQ641" s="8"/>
      <c r="AR641" s="8"/>
      <c r="AS641" s="11"/>
      <c r="AT641" s="11"/>
      <c r="AU641" s="11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11"/>
      <c r="AN642" s="11"/>
      <c r="AO642" s="8"/>
      <c r="AP642" s="8"/>
      <c r="AQ642" s="8"/>
      <c r="AR642" s="8"/>
      <c r="AS642" s="11"/>
      <c r="AT642" s="11"/>
      <c r="AU642" s="11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11"/>
      <c r="AN643" s="11"/>
      <c r="AO643" s="8"/>
      <c r="AP643" s="8"/>
      <c r="AQ643" s="8"/>
      <c r="AR643" s="8"/>
      <c r="AS643" s="11"/>
      <c r="AT643" s="11"/>
      <c r="AU643" s="11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11"/>
      <c r="AN644" s="11"/>
      <c r="AO644" s="8"/>
      <c r="AP644" s="8"/>
      <c r="AQ644" s="8"/>
      <c r="AR644" s="8"/>
      <c r="AS644" s="11"/>
      <c r="AT644" s="11"/>
      <c r="AU644" s="11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11"/>
      <c r="AN645" s="11"/>
      <c r="AO645" s="8"/>
      <c r="AP645" s="8"/>
      <c r="AQ645" s="8"/>
      <c r="AR645" s="8"/>
      <c r="AS645" s="11"/>
      <c r="AT645" s="11"/>
      <c r="AU645" s="11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11"/>
      <c r="AN646" s="11"/>
      <c r="AO646" s="8"/>
      <c r="AP646" s="8"/>
      <c r="AQ646" s="8"/>
      <c r="AR646" s="8"/>
      <c r="AS646" s="11"/>
      <c r="AT646" s="11"/>
      <c r="AU646" s="11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11"/>
      <c r="AN647" s="11"/>
      <c r="AO647" s="8"/>
      <c r="AP647" s="8"/>
      <c r="AQ647" s="8"/>
      <c r="AR647" s="8"/>
      <c r="AS647" s="11"/>
      <c r="AT647" s="11"/>
      <c r="AU647" s="11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11"/>
      <c r="AN648" s="11"/>
      <c r="AO648" s="8"/>
      <c r="AP648" s="8"/>
      <c r="AQ648" s="8"/>
      <c r="AR648" s="8"/>
      <c r="AS648" s="11"/>
      <c r="AT648" s="11"/>
      <c r="AU648" s="11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11"/>
      <c r="AN649" s="11"/>
      <c r="AO649" s="8"/>
      <c r="AP649" s="8"/>
      <c r="AQ649" s="8"/>
      <c r="AR649" s="8"/>
      <c r="AS649" s="11"/>
      <c r="AT649" s="11"/>
      <c r="AU649" s="11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11"/>
      <c r="AN650" s="11"/>
      <c r="AO650" s="8"/>
      <c r="AP650" s="8"/>
      <c r="AQ650" s="8"/>
      <c r="AR650" s="8"/>
      <c r="AS650" s="11"/>
      <c r="AT650" s="11"/>
      <c r="AU650" s="11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11"/>
      <c r="AN651" s="11"/>
      <c r="AO651" s="8"/>
      <c r="AP651" s="8"/>
      <c r="AQ651" s="8"/>
      <c r="AR651" s="8"/>
      <c r="AS651" s="11"/>
      <c r="AT651" s="11"/>
      <c r="AU651" s="11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11"/>
      <c r="AN652" s="11"/>
      <c r="AO652" s="8"/>
      <c r="AP652" s="8"/>
      <c r="AQ652" s="8"/>
      <c r="AR652" s="8"/>
      <c r="AS652" s="11"/>
      <c r="AT652" s="11"/>
      <c r="AU652" s="11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11"/>
      <c r="AN653" s="11"/>
      <c r="AO653" s="8"/>
      <c r="AP653" s="8"/>
      <c r="AQ653" s="8"/>
      <c r="AR653" s="8"/>
      <c r="AS653" s="11"/>
      <c r="AT653" s="11"/>
      <c r="AU653" s="11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11"/>
      <c r="AN654" s="11"/>
      <c r="AO654" s="8"/>
      <c r="AP654" s="8"/>
      <c r="AQ654" s="8"/>
      <c r="AR654" s="8"/>
      <c r="AS654" s="11"/>
      <c r="AT654" s="11"/>
      <c r="AU654" s="11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11"/>
      <c r="AN655" s="11"/>
      <c r="AO655" s="8"/>
      <c r="AP655" s="8"/>
      <c r="AQ655" s="8"/>
      <c r="AR655" s="8"/>
      <c r="AS655" s="11"/>
      <c r="AT655" s="11"/>
      <c r="AU655" s="11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11"/>
      <c r="AN656" s="11"/>
      <c r="AO656" s="8"/>
      <c r="AP656" s="8"/>
      <c r="AQ656" s="8"/>
      <c r="AR656" s="8"/>
      <c r="AS656" s="11"/>
      <c r="AT656" s="11"/>
      <c r="AU656" s="11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11"/>
      <c r="AN657" s="11"/>
      <c r="AO657" s="8"/>
      <c r="AP657" s="8"/>
      <c r="AQ657" s="8"/>
      <c r="AR657" s="8"/>
      <c r="AS657" s="11"/>
      <c r="AT657" s="11"/>
      <c r="AU657" s="11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11"/>
      <c r="AN658" s="11"/>
      <c r="AO658" s="8"/>
      <c r="AP658" s="8"/>
      <c r="AQ658" s="8"/>
      <c r="AR658" s="8"/>
      <c r="AS658" s="11"/>
      <c r="AT658" s="11"/>
      <c r="AU658" s="11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11"/>
      <c r="AN659" s="11"/>
      <c r="AO659" s="8"/>
      <c r="AP659" s="8"/>
      <c r="AQ659" s="8"/>
      <c r="AR659" s="8"/>
      <c r="AS659" s="11"/>
      <c r="AT659" s="11"/>
      <c r="AU659" s="11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11"/>
      <c r="AN660" s="11"/>
      <c r="AO660" s="8"/>
      <c r="AP660" s="8"/>
      <c r="AQ660" s="8"/>
      <c r="AR660" s="8"/>
      <c r="AS660" s="11"/>
      <c r="AT660" s="11"/>
      <c r="AU660" s="11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11"/>
      <c r="AN661" s="11"/>
      <c r="AO661" s="8"/>
      <c r="AP661" s="8"/>
      <c r="AQ661" s="8"/>
      <c r="AR661" s="8"/>
      <c r="AS661" s="11"/>
      <c r="AT661" s="11"/>
      <c r="AU661" s="11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11"/>
      <c r="AN662" s="11"/>
      <c r="AO662" s="8"/>
      <c r="AP662" s="8"/>
      <c r="AQ662" s="8"/>
      <c r="AR662" s="8"/>
      <c r="AS662" s="11"/>
      <c r="AT662" s="11"/>
      <c r="AU662" s="11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11"/>
      <c r="AN663" s="11"/>
      <c r="AO663" s="8"/>
      <c r="AP663" s="8"/>
      <c r="AQ663" s="8"/>
      <c r="AR663" s="8"/>
      <c r="AS663" s="11"/>
      <c r="AT663" s="11"/>
      <c r="AU663" s="11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11"/>
      <c r="AN664" s="11"/>
      <c r="AO664" s="8"/>
      <c r="AP664" s="8"/>
      <c r="AQ664" s="8"/>
      <c r="AR664" s="8"/>
      <c r="AS664" s="11"/>
      <c r="AT664" s="11"/>
      <c r="AU664" s="11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11"/>
      <c r="AN665" s="11"/>
      <c r="AO665" s="8"/>
      <c r="AP665" s="8"/>
      <c r="AQ665" s="8"/>
      <c r="AR665" s="8"/>
      <c r="AS665" s="11"/>
      <c r="AT665" s="11"/>
      <c r="AU665" s="11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11"/>
      <c r="AN666" s="11"/>
      <c r="AO666" s="8"/>
      <c r="AP666" s="8"/>
      <c r="AQ666" s="8"/>
      <c r="AR666" s="8"/>
      <c r="AS666" s="11"/>
      <c r="AT666" s="11"/>
      <c r="AU666" s="11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11"/>
      <c r="AN667" s="11"/>
      <c r="AO667" s="8"/>
      <c r="AP667" s="8"/>
      <c r="AQ667" s="8"/>
      <c r="AR667" s="8"/>
      <c r="AS667" s="11"/>
      <c r="AT667" s="11"/>
      <c r="AU667" s="11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11"/>
      <c r="AN668" s="11"/>
      <c r="AO668" s="8"/>
      <c r="AP668" s="8"/>
      <c r="AQ668" s="8"/>
      <c r="AR668" s="8"/>
      <c r="AS668" s="11"/>
      <c r="AT668" s="11"/>
      <c r="AU668" s="11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11"/>
      <c r="AN669" s="11"/>
      <c r="AO669" s="8"/>
      <c r="AP669" s="8"/>
      <c r="AQ669" s="8"/>
      <c r="AR669" s="8"/>
      <c r="AS669" s="11"/>
      <c r="AT669" s="11"/>
      <c r="AU669" s="11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11"/>
      <c r="AN670" s="11"/>
      <c r="AO670" s="8"/>
      <c r="AP670" s="8"/>
      <c r="AQ670" s="8"/>
      <c r="AR670" s="8"/>
      <c r="AS670" s="11"/>
      <c r="AT670" s="11"/>
      <c r="AU670" s="11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11"/>
      <c r="AN671" s="11"/>
      <c r="AO671" s="8"/>
      <c r="AP671" s="8"/>
      <c r="AQ671" s="8"/>
      <c r="AR671" s="8"/>
      <c r="AS671" s="11"/>
      <c r="AT671" s="11"/>
      <c r="AU671" s="11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11"/>
      <c r="AN672" s="11"/>
      <c r="AO672" s="8"/>
      <c r="AP672" s="8"/>
      <c r="AQ672" s="8"/>
      <c r="AR672" s="8"/>
      <c r="AS672" s="11"/>
      <c r="AT672" s="11"/>
      <c r="AU672" s="11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11"/>
      <c r="AN673" s="11"/>
      <c r="AO673" s="8"/>
      <c r="AP673" s="8"/>
      <c r="AQ673" s="8"/>
      <c r="AR673" s="8"/>
      <c r="AS673" s="11"/>
      <c r="AT673" s="11"/>
      <c r="AU673" s="11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11"/>
      <c r="AN674" s="11"/>
      <c r="AO674" s="8"/>
      <c r="AP674" s="8"/>
      <c r="AQ674" s="8"/>
      <c r="AR674" s="8"/>
      <c r="AS674" s="11"/>
      <c r="AT674" s="11"/>
      <c r="AU674" s="11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11"/>
      <c r="AN675" s="11"/>
      <c r="AO675" s="8"/>
      <c r="AP675" s="8"/>
      <c r="AQ675" s="8"/>
      <c r="AR675" s="8"/>
      <c r="AS675" s="11"/>
      <c r="AT675" s="11"/>
      <c r="AU675" s="11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11"/>
      <c r="AN676" s="11"/>
      <c r="AO676" s="8"/>
      <c r="AP676" s="8"/>
      <c r="AQ676" s="8"/>
      <c r="AR676" s="8"/>
      <c r="AS676" s="11"/>
      <c r="AT676" s="11"/>
      <c r="AU676" s="11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11"/>
      <c r="AN677" s="11"/>
      <c r="AO677" s="8"/>
      <c r="AP677" s="8"/>
      <c r="AQ677" s="8"/>
      <c r="AR677" s="8"/>
      <c r="AS677" s="11"/>
      <c r="AT677" s="11"/>
      <c r="AU677" s="11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11"/>
      <c r="AN678" s="11"/>
      <c r="AO678" s="8"/>
      <c r="AP678" s="8"/>
      <c r="AQ678" s="8"/>
      <c r="AR678" s="8"/>
      <c r="AS678" s="11"/>
      <c r="AT678" s="11"/>
      <c r="AU678" s="11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11"/>
      <c r="AN679" s="11"/>
      <c r="AO679" s="8"/>
      <c r="AP679" s="8"/>
      <c r="AQ679" s="8"/>
      <c r="AR679" s="8"/>
      <c r="AS679" s="11"/>
      <c r="AT679" s="11"/>
      <c r="AU679" s="11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11"/>
      <c r="AN680" s="11"/>
      <c r="AO680" s="8"/>
      <c r="AP680" s="8"/>
      <c r="AQ680" s="8"/>
      <c r="AR680" s="8"/>
      <c r="AS680" s="11"/>
      <c r="AT680" s="11"/>
      <c r="AU680" s="11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11"/>
      <c r="AN681" s="11"/>
      <c r="AO681" s="8"/>
      <c r="AP681" s="8"/>
      <c r="AQ681" s="8"/>
      <c r="AR681" s="8"/>
      <c r="AS681" s="11"/>
      <c r="AT681" s="11"/>
      <c r="AU681" s="11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11"/>
      <c r="AN682" s="11"/>
      <c r="AO682" s="8"/>
      <c r="AP682" s="8"/>
      <c r="AQ682" s="8"/>
      <c r="AR682" s="8"/>
      <c r="AS682" s="11"/>
      <c r="AT682" s="11"/>
      <c r="AU682" s="11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11"/>
      <c r="AN683" s="11"/>
      <c r="AO683" s="8"/>
      <c r="AP683" s="8"/>
      <c r="AQ683" s="8"/>
      <c r="AR683" s="8"/>
      <c r="AS683" s="11"/>
      <c r="AT683" s="11"/>
      <c r="AU683" s="11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11"/>
      <c r="AN684" s="11"/>
      <c r="AO684" s="8"/>
      <c r="AP684" s="8"/>
      <c r="AQ684" s="8"/>
      <c r="AR684" s="8"/>
      <c r="AS684" s="11"/>
      <c r="AT684" s="11"/>
      <c r="AU684" s="11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11"/>
      <c r="AN685" s="11"/>
      <c r="AO685" s="8"/>
      <c r="AP685" s="8"/>
      <c r="AQ685" s="8"/>
      <c r="AR685" s="8"/>
      <c r="AS685" s="11"/>
      <c r="AT685" s="11"/>
      <c r="AU685" s="11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11"/>
      <c r="AN686" s="11"/>
      <c r="AO686" s="8"/>
      <c r="AP686" s="8"/>
      <c r="AQ686" s="8"/>
      <c r="AR686" s="8"/>
      <c r="AS686" s="11"/>
      <c r="AT686" s="11"/>
      <c r="AU686" s="11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11"/>
      <c r="AN687" s="11"/>
      <c r="AO687" s="8"/>
      <c r="AP687" s="8"/>
      <c r="AQ687" s="8"/>
      <c r="AR687" s="8"/>
      <c r="AS687" s="11"/>
      <c r="AT687" s="11"/>
      <c r="AU687" s="11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11"/>
      <c r="AN688" s="11"/>
      <c r="AO688" s="8"/>
      <c r="AP688" s="8"/>
      <c r="AQ688" s="8"/>
      <c r="AR688" s="8"/>
      <c r="AS688" s="11"/>
      <c r="AT688" s="11"/>
      <c r="AU688" s="11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11"/>
      <c r="AN689" s="11"/>
      <c r="AO689" s="8"/>
      <c r="AP689" s="8"/>
      <c r="AQ689" s="8"/>
      <c r="AR689" s="8"/>
      <c r="AS689" s="11"/>
      <c r="AT689" s="11"/>
      <c r="AU689" s="11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11"/>
      <c r="AN690" s="11"/>
      <c r="AO690" s="8"/>
      <c r="AP690" s="8"/>
      <c r="AQ690" s="8"/>
      <c r="AR690" s="8"/>
      <c r="AS690" s="11"/>
      <c r="AT690" s="11"/>
      <c r="AU690" s="11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11"/>
      <c r="AN691" s="11"/>
      <c r="AO691" s="8"/>
      <c r="AP691" s="8"/>
      <c r="AQ691" s="8"/>
      <c r="AR691" s="8"/>
      <c r="AS691" s="11"/>
      <c r="AT691" s="11"/>
      <c r="AU691" s="11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11"/>
      <c r="AN692" s="11"/>
      <c r="AO692" s="8"/>
      <c r="AP692" s="8"/>
      <c r="AQ692" s="8"/>
      <c r="AR692" s="8"/>
      <c r="AS692" s="11"/>
      <c r="AT692" s="11"/>
      <c r="AU692" s="11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11"/>
      <c r="AN693" s="11"/>
      <c r="AO693" s="8"/>
      <c r="AP693" s="8"/>
      <c r="AQ693" s="8"/>
      <c r="AR693" s="8"/>
      <c r="AS693" s="11"/>
      <c r="AT693" s="11"/>
      <c r="AU693" s="11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11"/>
      <c r="AN694" s="11"/>
      <c r="AO694" s="8"/>
      <c r="AP694" s="8"/>
      <c r="AQ694" s="8"/>
      <c r="AR694" s="8"/>
      <c r="AS694" s="11"/>
      <c r="AT694" s="11"/>
      <c r="AU694" s="11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11"/>
      <c r="AN695" s="11"/>
      <c r="AO695" s="8"/>
      <c r="AP695" s="8"/>
      <c r="AQ695" s="8"/>
      <c r="AR695" s="8"/>
      <c r="AS695" s="11"/>
      <c r="AT695" s="11"/>
      <c r="AU695" s="11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11"/>
      <c r="AN696" s="11"/>
      <c r="AO696" s="8"/>
      <c r="AP696" s="8"/>
      <c r="AQ696" s="8"/>
      <c r="AR696" s="8"/>
      <c r="AS696" s="11"/>
      <c r="AT696" s="11"/>
      <c r="AU696" s="11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11"/>
      <c r="AN697" s="11"/>
      <c r="AO697" s="8"/>
      <c r="AP697" s="8"/>
      <c r="AQ697" s="8"/>
      <c r="AR697" s="8"/>
      <c r="AS697" s="11"/>
      <c r="AT697" s="11"/>
      <c r="AU697" s="11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11"/>
      <c r="AN698" s="11"/>
      <c r="AO698" s="8"/>
      <c r="AP698" s="8"/>
      <c r="AQ698" s="8"/>
      <c r="AR698" s="8"/>
      <c r="AS698" s="11"/>
      <c r="AT698" s="11"/>
      <c r="AU698" s="11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11"/>
      <c r="AN699" s="11"/>
      <c r="AO699" s="8"/>
      <c r="AP699" s="8"/>
      <c r="AQ699" s="8"/>
      <c r="AR699" s="8"/>
      <c r="AS699" s="11"/>
      <c r="AT699" s="11"/>
      <c r="AU699" s="11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11"/>
      <c r="AN700" s="11"/>
      <c r="AO700" s="8"/>
      <c r="AP700" s="8"/>
      <c r="AQ700" s="8"/>
      <c r="AR700" s="8"/>
      <c r="AS700" s="11"/>
      <c r="AT700" s="11"/>
      <c r="AU700" s="11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11"/>
      <c r="AN701" s="11"/>
      <c r="AO701" s="8"/>
      <c r="AP701" s="8"/>
      <c r="AQ701" s="8"/>
      <c r="AR701" s="8"/>
      <c r="AS701" s="11"/>
      <c r="AT701" s="11"/>
      <c r="AU701" s="11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11"/>
      <c r="AN702" s="11"/>
      <c r="AO702" s="8"/>
      <c r="AP702" s="8"/>
      <c r="AQ702" s="8"/>
      <c r="AR702" s="8"/>
      <c r="AS702" s="11"/>
      <c r="AT702" s="11"/>
      <c r="AU702" s="11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11"/>
      <c r="AN703" s="11"/>
      <c r="AO703" s="8"/>
      <c r="AP703" s="8"/>
      <c r="AQ703" s="8"/>
      <c r="AR703" s="8"/>
      <c r="AS703" s="11"/>
      <c r="AT703" s="11"/>
      <c r="AU703" s="11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11"/>
      <c r="AN704" s="11"/>
      <c r="AO704" s="8"/>
      <c r="AP704" s="8"/>
      <c r="AQ704" s="8"/>
      <c r="AR704" s="8"/>
      <c r="AS704" s="11"/>
      <c r="AT704" s="11"/>
      <c r="AU704" s="11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11"/>
      <c r="AN705" s="11"/>
      <c r="AO705" s="8"/>
      <c r="AP705" s="8"/>
      <c r="AQ705" s="8"/>
      <c r="AR705" s="8"/>
      <c r="AS705" s="11"/>
      <c r="AT705" s="11"/>
      <c r="AU705" s="11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11"/>
      <c r="AN706" s="11"/>
      <c r="AO706" s="8"/>
      <c r="AP706" s="8"/>
      <c r="AQ706" s="8"/>
      <c r="AR706" s="8"/>
      <c r="AS706" s="11"/>
      <c r="AT706" s="11"/>
      <c r="AU706" s="11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11"/>
      <c r="AN707" s="11"/>
      <c r="AO707" s="8"/>
      <c r="AP707" s="8"/>
      <c r="AQ707" s="8"/>
      <c r="AR707" s="8"/>
      <c r="AS707" s="11"/>
      <c r="AT707" s="11"/>
      <c r="AU707" s="11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11"/>
      <c r="AN708" s="11"/>
      <c r="AO708" s="8"/>
      <c r="AP708" s="8"/>
      <c r="AQ708" s="8"/>
      <c r="AR708" s="8"/>
      <c r="AS708" s="11"/>
      <c r="AT708" s="11"/>
      <c r="AU708" s="11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11"/>
      <c r="AN709" s="11"/>
      <c r="AO709" s="8"/>
      <c r="AP709" s="8"/>
      <c r="AQ709" s="8"/>
      <c r="AR709" s="8"/>
      <c r="AS709" s="11"/>
      <c r="AT709" s="11"/>
      <c r="AU709" s="11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11"/>
      <c r="AN710" s="11"/>
      <c r="AO710" s="8"/>
      <c r="AP710" s="8"/>
      <c r="AQ710" s="8"/>
      <c r="AR710" s="8"/>
      <c r="AS710" s="11"/>
      <c r="AT710" s="11"/>
      <c r="AU710" s="11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11"/>
      <c r="AN711" s="11"/>
      <c r="AO711" s="8"/>
      <c r="AP711" s="8"/>
      <c r="AQ711" s="8"/>
      <c r="AR711" s="8"/>
      <c r="AS711" s="11"/>
      <c r="AT711" s="11"/>
      <c r="AU711" s="11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11"/>
      <c r="AN712" s="11"/>
      <c r="AO712" s="8"/>
      <c r="AP712" s="8"/>
      <c r="AQ712" s="8"/>
      <c r="AR712" s="8"/>
      <c r="AS712" s="11"/>
      <c r="AT712" s="11"/>
      <c r="AU712" s="11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11"/>
      <c r="AN713" s="11"/>
      <c r="AO713" s="8"/>
      <c r="AP713" s="8"/>
      <c r="AQ713" s="8"/>
      <c r="AR713" s="8"/>
      <c r="AS713" s="11"/>
      <c r="AT713" s="11"/>
      <c r="AU713" s="11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11"/>
      <c r="AN714" s="11"/>
      <c r="AO714" s="8"/>
      <c r="AP714" s="8"/>
      <c r="AQ714" s="8"/>
      <c r="AR714" s="8"/>
      <c r="AS714" s="11"/>
      <c r="AT714" s="11"/>
      <c r="AU714" s="11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11"/>
      <c r="AN715" s="11"/>
      <c r="AO715" s="8"/>
      <c r="AP715" s="8"/>
      <c r="AQ715" s="8"/>
      <c r="AR715" s="8"/>
      <c r="AS715" s="11"/>
      <c r="AT715" s="11"/>
      <c r="AU715" s="11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11"/>
      <c r="AN716" s="11"/>
      <c r="AO716" s="8"/>
      <c r="AP716" s="8"/>
      <c r="AQ716" s="8"/>
      <c r="AR716" s="8"/>
      <c r="AS716" s="11"/>
      <c r="AT716" s="11"/>
      <c r="AU716" s="11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11"/>
      <c r="AN717" s="11"/>
      <c r="AO717" s="8"/>
      <c r="AP717" s="8"/>
      <c r="AQ717" s="8"/>
      <c r="AR717" s="8"/>
      <c r="AS717" s="11"/>
      <c r="AT717" s="11"/>
      <c r="AU717" s="11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11"/>
      <c r="AN718" s="11"/>
      <c r="AO718" s="8"/>
      <c r="AP718" s="8"/>
      <c r="AQ718" s="8"/>
      <c r="AR718" s="8"/>
      <c r="AS718" s="11"/>
      <c r="AT718" s="11"/>
      <c r="AU718" s="11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11"/>
      <c r="AN719" s="11"/>
      <c r="AO719" s="8"/>
      <c r="AP719" s="8"/>
      <c r="AQ719" s="8"/>
      <c r="AR719" s="8"/>
      <c r="AS719" s="11"/>
      <c r="AT719" s="11"/>
      <c r="AU719" s="11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11"/>
      <c r="AN720" s="11"/>
      <c r="AO720" s="8"/>
      <c r="AP720" s="8"/>
      <c r="AQ720" s="8"/>
      <c r="AR720" s="8"/>
      <c r="AS720" s="11"/>
      <c r="AT720" s="11"/>
      <c r="AU720" s="11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11"/>
      <c r="AN721" s="11"/>
      <c r="AO721" s="8"/>
      <c r="AP721" s="8"/>
      <c r="AQ721" s="8"/>
      <c r="AR721" s="8"/>
      <c r="AS721" s="11"/>
      <c r="AT721" s="11"/>
      <c r="AU721" s="11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11"/>
      <c r="AN722" s="11"/>
      <c r="AO722" s="8"/>
      <c r="AP722" s="8"/>
      <c r="AQ722" s="8"/>
      <c r="AR722" s="8"/>
      <c r="AS722" s="11"/>
      <c r="AT722" s="11"/>
      <c r="AU722" s="11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11"/>
      <c r="AN723" s="11"/>
      <c r="AO723" s="8"/>
      <c r="AP723" s="8"/>
      <c r="AQ723" s="8"/>
      <c r="AR723" s="8"/>
      <c r="AS723" s="11"/>
      <c r="AT723" s="11"/>
      <c r="AU723" s="11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11"/>
      <c r="AN724" s="11"/>
      <c r="AO724" s="8"/>
      <c r="AP724" s="8"/>
      <c r="AQ724" s="8"/>
      <c r="AR724" s="8"/>
      <c r="AS724" s="11"/>
      <c r="AT724" s="11"/>
      <c r="AU724" s="11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11"/>
      <c r="AN725" s="11"/>
      <c r="AO725" s="8"/>
      <c r="AP725" s="8"/>
      <c r="AQ725" s="8"/>
      <c r="AR725" s="8"/>
      <c r="AS725" s="11"/>
      <c r="AT725" s="11"/>
      <c r="AU725" s="11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11"/>
      <c r="AN726" s="11"/>
      <c r="AO726" s="8"/>
      <c r="AP726" s="8"/>
      <c r="AQ726" s="8"/>
      <c r="AR726" s="8"/>
      <c r="AS726" s="11"/>
      <c r="AT726" s="11"/>
      <c r="AU726" s="11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11"/>
      <c r="AN727" s="11"/>
      <c r="AO727" s="8"/>
      <c r="AP727" s="8"/>
      <c r="AQ727" s="8"/>
      <c r="AR727" s="8"/>
      <c r="AS727" s="11"/>
      <c r="AT727" s="11"/>
      <c r="AU727" s="11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11"/>
      <c r="AN728" s="11"/>
      <c r="AO728" s="8"/>
      <c r="AP728" s="8"/>
      <c r="AQ728" s="8"/>
      <c r="AR728" s="8"/>
      <c r="AS728" s="11"/>
      <c r="AT728" s="11"/>
      <c r="AU728" s="11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11"/>
      <c r="AN729" s="11"/>
      <c r="AO729" s="8"/>
      <c r="AP729" s="8"/>
      <c r="AQ729" s="8"/>
      <c r="AR729" s="8"/>
      <c r="AS729" s="11"/>
      <c r="AT729" s="11"/>
      <c r="AU729" s="11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11"/>
      <c r="AN730" s="11"/>
      <c r="AO730" s="8"/>
      <c r="AP730" s="8"/>
      <c r="AQ730" s="8"/>
      <c r="AR730" s="8"/>
      <c r="AS730" s="11"/>
      <c r="AT730" s="11"/>
      <c r="AU730" s="11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11"/>
      <c r="AN731" s="11"/>
      <c r="AO731" s="8"/>
      <c r="AP731" s="8"/>
      <c r="AQ731" s="8"/>
      <c r="AR731" s="8"/>
      <c r="AS731" s="11"/>
      <c r="AT731" s="11"/>
      <c r="AU731" s="11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11"/>
      <c r="AN732" s="11"/>
      <c r="AO732" s="8"/>
      <c r="AP732" s="8"/>
      <c r="AQ732" s="8"/>
      <c r="AR732" s="8"/>
      <c r="AS732" s="11"/>
      <c r="AT732" s="11"/>
      <c r="AU732" s="11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11"/>
      <c r="AN733" s="11"/>
      <c r="AO733" s="8"/>
      <c r="AP733" s="8"/>
      <c r="AQ733" s="8"/>
      <c r="AR733" s="8"/>
      <c r="AS733" s="11"/>
      <c r="AT733" s="11"/>
      <c r="AU733" s="11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11"/>
      <c r="AN734" s="11"/>
      <c r="AO734" s="8"/>
      <c r="AP734" s="8"/>
      <c r="AQ734" s="8"/>
      <c r="AR734" s="8"/>
      <c r="AS734" s="11"/>
      <c r="AT734" s="11"/>
      <c r="AU734" s="11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11"/>
      <c r="AN735" s="11"/>
      <c r="AO735" s="8"/>
      <c r="AP735" s="8"/>
      <c r="AQ735" s="8"/>
      <c r="AR735" s="8"/>
      <c r="AS735" s="11"/>
      <c r="AT735" s="11"/>
      <c r="AU735" s="11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11"/>
      <c r="AN736" s="11"/>
      <c r="AO736" s="8"/>
      <c r="AP736" s="8"/>
      <c r="AQ736" s="8"/>
      <c r="AR736" s="8"/>
      <c r="AS736" s="11"/>
      <c r="AT736" s="11"/>
      <c r="AU736" s="11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11"/>
      <c r="AN737" s="11"/>
      <c r="AO737" s="8"/>
      <c r="AP737" s="8"/>
      <c r="AQ737" s="8"/>
      <c r="AR737" s="8"/>
      <c r="AS737" s="11"/>
      <c r="AT737" s="11"/>
      <c r="AU737" s="11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11"/>
      <c r="AN738" s="11"/>
      <c r="AO738" s="8"/>
      <c r="AP738" s="8"/>
      <c r="AQ738" s="8"/>
      <c r="AR738" s="8"/>
      <c r="AS738" s="11"/>
      <c r="AT738" s="11"/>
      <c r="AU738" s="11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11"/>
      <c r="AN739" s="11"/>
      <c r="AO739" s="8"/>
      <c r="AP739" s="8"/>
      <c r="AQ739" s="8"/>
      <c r="AR739" s="8"/>
      <c r="AS739" s="11"/>
      <c r="AT739" s="11"/>
      <c r="AU739" s="11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11"/>
      <c r="AN740" s="11"/>
      <c r="AO740" s="8"/>
      <c r="AP740" s="8"/>
      <c r="AQ740" s="8"/>
      <c r="AR740" s="8"/>
      <c r="AS740" s="11"/>
      <c r="AT740" s="11"/>
      <c r="AU740" s="11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11"/>
      <c r="AN741" s="11"/>
      <c r="AO741" s="8"/>
      <c r="AP741" s="8"/>
      <c r="AQ741" s="8"/>
      <c r="AR741" s="8"/>
      <c r="AS741" s="11"/>
      <c r="AT741" s="11"/>
      <c r="AU741" s="11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11"/>
      <c r="AN742" s="11"/>
      <c r="AO742" s="8"/>
      <c r="AP742" s="8"/>
      <c r="AQ742" s="8"/>
      <c r="AR742" s="8"/>
      <c r="AS742" s="11"/>
      <c r="AT742" s="11"/>
      <c r="AU742" s="11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11"/>
      <c r="AN743" s="11"/>
      <c r="AO743" s="8"/>
      <c r="AP743" s="8"/>
      <c r="AQ743" s="8"/>
      <c r="AR743" s="8"/>
      <c r="AS743" s="11"/>
      <c r="AT743" s="11"/>
      <c r="AU743" s="11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11"/>
      <c r="AN744" s="11"/>
      <c r="AO744" s="8"/>
      <c r="AP744" s="8"/>
      <c r="AQ744" s="8"/>
      <c r="AR744" s="8"/>
      <c r="AS744" s="11"/>
      <c r="AT744" s="11"/>
      <c r="AU744" s="11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11"/>
      <c r="AN745" s="11"/>
      <c r="AO745" s="8"/>
      <c r="AP745" s="8"/>
      <c r="AQ745" s="8"/>
      <c r="AR745" s="8"/>
      <c r="AS745" s="11"/>
      <c r="AT745" s="11"/>
      <c r="AU745" s="11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11"/>
      <c r="AN746" s="11"/>
      <c r="AO746" s="8"/>
      <c r="AP746" s="8"/>
      <c r="AQ746" s="8"/>
      <c r="AR746" s="8"/>
      <c r="AS746" s="11"/>
      <c r="AT746" s="11"/>
      <c r="AU746" s="11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11"/>
      <c r="AN747" s="11"/>
      <c r="AO747" s="8"/>
      <c r="AP747" s="8"/>
      <c r="AQ747" s="8"/>
      <c r="AR747" s="8"/>
      <c r="AS747" s="11"/>
      <c r="AT747" s="11"/>
      <c r="AU747" s="11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11"/>
      <c r="AN748" s="11"/>
      <c r="AO748" s="8"/>
      <c r="AP748" s="8"/>
      <c r="AQ748" s="8"/>
      <c r="AR748" s="8"/>
      <c r="AS748" s="11"/>
      <c r="AT748" s="11"/>
      <c r="AU748" s="11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11"/>
      <c r="AN749" s="11"/>
      <c r="AO749" s="8"/>
      <c r="AP749" s="8"/>
      <c r="AQ749" s="8"/>
      <c r="AR749" s="8"/>
      <c r="AS749" s="11"/>
      <c r="AT749" s="11"/>
      <c r="AU749" s="11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11"/>
      <c r="AN750" s="11"/>
      <c r="AO750" s="8"/>
      <c r="AP750" s="8"/>
      <c r="AQ750" s="8"/>
      <c r="AR750" s="8"/>
      <c r="AS750" s="11"/>
      <c r="AT750" s="11"/>
      <c r="AU750" s="11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11"/>
      <c r="AN751" s="11"/>
      <c r="AO751" s="8"/>
      <c r="AP751" s="8"/>
      <c r="AQ751" s="8"/>
      <c r="AR751" s="8"/>
      <c r="AS751" s="11"/>
      <c r="AT751" s="11"/>
      <c r="AU751" s="11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11"/>
      <c r="AN752" s="11"/>
      <c r="AO752" s="8"/>
      <c r="AP752" s="8"/>
      <c r="AQ752" s="8"/>
      <c r="AR752" s="8"/>
      <c r="AS752" s="11"/>
      <c r="AT752" s="11"/>
      <c r="AU752" s="11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11"/>
      <c r="AN753" s="11"/>
      <c r="AO753" s="8"/>
      <c r="AP753" s="8"/>
      <c r="AQ753" s="8"/>
      <c r="AR753" s="8"/>
      <c r="AS753" s="11"/>
      <c r="AT753" s="11"/>
      <c r="AU753" s="11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11"/>
      <c r="AN754" s="11"/>
      <c r="AO754" s="8"/>
      <c r="AP754" s="8"/>
      <c r="AQ754" s="8"/>
      <c r="AR754" s="8"/>
      <c r="AS754" s="11"/>
      <c r="AT754" s="11"/>
      <c r="AU754" s="11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11"/>
      <c r="AN755" s="11"/>
      <c r="AO755" s="8"/>
      <c r="AP755" s="8"/>
      <c r="AQ755" s="8"/>
      <c r="AR755" s="8"/>
      <c r="AS755" s="11"/>
      <c r="AT755" s="11"/>
      <c r="AU755" s="11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11"/>
      <c r="AN756" s="11"/>
      <c r="AO756" s="8"/>
      <c r="AP756" s="8"/>
      <c r="AQ756" s="8"/>
      <c r="AR756" s="8"/>
      <c r="AS756" s="11"/>
      <c r="AT756" s="11"/>
      <c r="AU756" s="11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11"/>
      <c r="AN757" s="11"/>
      <c r="AO757" s="8"/>
      <c r="AP757" s="8"/>
      <c r="AQ757" s="8"/>
      <c r="AR757" s="8"/>
      <c r="AS757" s="11"/>
      <c r="AT757" s="11"/>
      <c r="AU757" s="11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11"/>
      <c r="AN758" s="11"/>
      <c r="AO758" s="8"/>
      <c r="AP758" s="8"/>
      <c r="AQ758" s="8"/>
      <c r="AR758" s="8"/>
      <c r="AS758" s="11"/>
      <c r="AT758" s="11"/>
      <c r="AU758" s="11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11"/>
      <c r="AN759" s="11"/>
      <c r="AO759" s="8"/>
      <c r="AP759" s="8"/>
      <c r="AQ759" s="8"/>
      <c r="AR759" s="8"/>
      <c r="AS759" s="11"/>
      <c r="AT759" s="11"/>
      <c r="AU759" s="11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11"/>
      <c r="AN760" s="11"/>
      <c r="AO760" s="8"/>
      <c r="AP760" s="8"/>
      <c r="AQ760" s="8"/>
      <c r="AR760" s="8"/>
      <c r="AS760" s="11"/>
      <c r="AT760" s="11"/>
      <c r="AU760" s="11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11"/>
      <c r="AN761" s="11"/>
      <c r="AO761" s="8"/>
      <c r="AP761" s="8"/>
      <c r="AQ761" s="8"/>
      <c r="AR761" s="8"/>
      <c r="AS761" s="11"/>
      <c r="AT761" s="11"/>
      <c r="AU761" s="11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11"/>
      <c r="AN762" s="11"/>
      <c r="AO762" s="8"/>
      <c r="AP762" s="8"/>
      <c r="AQ762" s="8"/>
      <c r="AR762" s="8"/>
      <c r="AS762" s="11"/>
      <c r="AT762" s="11"/>
      <c r="AU762" s="11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11"/>
      <c r="AN763" s="11"/>
      <c r="AO763" s="8"/>
      <c r="AP763" s="8"/>
      <c r="AQ763" s="8"/>
      <c r="AR763" s="8"/>
      <c r="AS763" s="11"/>
      <c r="AT763" s="11"/>
      <c r="AU763" s="11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11"/>
      <c r="AN764" s="11"/>
      <c r="AO764" s="8"/>
      <c r="AP764" s="8"/>
      <c r="AQ764" s="8"/>
      <c r="AR764" s="8"/>
      <c r="AS764" s="11"/>
      <c r="AT764" s="11"/>
      <c r="AU764" s="11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11"/>
      <c r="AN765" s="11"/>
      <c r="AO765" s="8"/>
      <c r="AP765" s="8"/>
      <c r="AQ765" s="8"/>
      <c r="AR765" s="8"/>
      <c r="AS765" s="11"/>
      <c r="AT765" s="11"/>
      <c r="AU765" s="11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11"/>
      <c r="AN766" s="11"/>
      <c r="AO766" s="8"/>
      <c r="AP766" s="8"/>
      <c r="AQ766" s="8"/>
      <c r="AR766" s="8"/>
      <c r="AS766" s="11"/>
      <c r="AT766" s="11"/>
      <c r="AU766" s="11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11"/>
      <c r="AN767" s="11"/>
      <c r="AO767" s="8"/>
      <c r="AP767" s="8"/>
      <c r="AQ767" s="8"/>
      <c r="AR767" s="8"/>
      <c r="AS767" s="11"/>
      <c r="AT767" s="11"/>
      <c r="AU767" s="11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11"/>
      <c r="AN768" s="11"/>
      <c r="AO768" s="8"/>
      <c r="AP768" s="8"/>
      <c r="AQ768" s="8"/>
      <c r="AR768" s="8"/>
      <c r="AS768" s="11"/>
      <c r="AT768" s="11"/>
      <c r="AU768" s="11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11"/>
      <c r="AN769" s="11"/>
      <c r="AO769" s="8"/>
      <c r="AP769" s="8"/>
      <c r="AQ769" s="8"/>
      <c r="AR769" s="8"/>
      <c r="AS769" s="11"/>
      <c r="AT769" s="11"/>
      <c r="AU769" s="11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11"/>
      <c r="AN770" s="11"/>
      <c r="AO770" s="8"/>
      <c r="AP770" s="8"/>
      <c r="AQ770" s="8"/>
      <c r="AR770" s="8"/>
      <c r="AS770" s="11"/>
      <c r="AT770" s="11"/>
      <c r="AU770" s="11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11"/>
      <c r="AN771" s="11"/>
      <c r="AO771" s="8"/>
      <c r="AP771" s="8"/>
      <c r="AQ771" s="8"/>
      <c r="AR771" s="8"/>
      <c r="AS771" s="11"/>
      <c r="AT771" s="11"/>
      <c r="AU771" s="11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11"/>
      <c r="AN772" s="11"/>
      <c r="AO772" s="8"/>
      <c r="AP772" s="8"/>
      <c r="AQ772" s="8"/>
      <c r="AR772" s="8"/>
      <c r="AS772" s="11"/>
      <c r="AT772" s="11"/>
      <c r="AU772" s="11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11"/>
      <c r="AN773" s="11"/>
      <c r="AO773" s="8"/>
      <c r="AP773" s="8"/>
      <c r="AQ773" s="8"/>
      <c r="AR773" s="8"/>
      <c r="AS773" s="11"/>
      <c r="AT773" s="11"/>
      <c r="AU773" s="11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11"/>
      <c r="AN774" s="11"/>
      <c r="AO774" s="8"/>
      <c r="AP774" s="8"/>
      <c r="AQ774" s="8"/>
      <c r="AR774" s="8"/>
      <c r="AS774" s="11"/>
      <c r="AT774" s="11"/>
      <c r="AU774" s="11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11"/>
      <c r="AN775" s="11"/>
      <c r="AO775" s="8"/>
      <c r="AP775" s="8"/>
      <c r="AQ775" s="8"/>
      <c r="AR775" s="8"/>
      <c r="AS775" s="11"/>
      <c r="AT775" s="11"/>
      <c r="AU775" s="11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11"/>
      <c r="AN776" s="11"/>
      <c r="AO776" s="8"/>
      <c r="AP776" s="8"/>
      <c r="AQ776" s="8"/>
      <c r="AR776" s="8"/>
      <c r="AS776" s="11"/>
      <c r="AT776" s="11"/>
      <c r="AU776" s="11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11"/>
      <c r="AN777" s="11"/>
      <c r="AO777" s="8"/>
      <c r="AP777" s="8"/>
      <c r="AQ777" s="8"/>
      <c r="AR777" s="8"/>
      <c r="AS777" s="11"/>
      <c r="AT777" s="11"/>
      <c r="AU777" s="11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11"/>
      <c r="AN778" s="11"/>
      <c r="AO778" s="8"/>
      <c r="AP778" s="8"/>
      <c r="AQ778" s="8"/>
      <c r="AR778" s="8"/>
      <c r="AS778" s="11"/>
      <c r="AT778" s="11"/>
      <c r="AU778" s="11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11"/>
      <c r="AN779" s="11"/>
      <c r="AO779" s="8"/>
      <c r="AP779" s="8"/>
      <c r="AQ779" s="8"/>
      <c r="AR779" s="8"/>
      <c r="AS779" s="11"/>
      <c r="AT779" s="11"/>
      <c r="AU779" s="11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11"/>
      <c r="AN780" s="11"/>
      <c r="AO780" s="8"/>
      <c r="AP780" s="8"/>
      <c r="AQ780" s="8"/>
      <c r="AR780" s="8"/>
      <c r="AS780" s="11"/>
      <c r="AT780" s="11"/>
      <c r="AU780" s="11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11"/>
      <c r="AN781" s="11"/>
      <c r="AO781" s="8"/>
      <c r="AP781" s="8"/>
      <c r="AQ781" s="8"/>
      <c r="AR781" s="8"/>
      <c r="AS781" s="11"/>
      <c r="AT781" s="11"/>
      <c r="AU781" s="11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11"/>
      <c r="AN782" s="11"/>
      <c r="AO782" s="8"/>
      <c r="AP782" s="8"/>
      <c r="AQ782" s="8"/>
      <c r="AR782" s="8"/>
      <c r="AS782" s="11"/>
      <c r="AT782" s="11"/>
      <c r="AU782" s="11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11"/>
      <c r="AN783" s="11"/>
      <c r="AO783" s="8"/>
      <c r="AP783" s="8"/>
      <c r="AQ783" s="8"/>
      <c r="AR783" s="8"/>
      <c r="AS783" s="11"/>
      <c r="AT783" s="11"/>
      <c r="AU783" s="11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11"/>
      <c r="AN784" s="11"/>
      <c r="AO784" s="8"/>
      <c r="AP784" s="8"/>
      <c r="AQ784" s="8"/>
      <c r="AR784" s="8"/>
      <c r="AS784" s="11"/>
      <c r="AT784" s="11"/>
      <c r="AU784" s="11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11"/>
      <c r="AN785" s="11"/>
      <c r="AO785" s="8"/>
      <c r="AP785" s="8"/>
      <c r="AQ785" s="8"/>
      <c r="AR785" s="8"/>
      <c r="AS785" s="11"/>
      <c r="AT785" s="11"/>
      <c r="AU785" s="11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11"/>
      <c r="AN786" s="11"/>
      <c r="AO786" s="8"/>
      <c r="AP786" s="8"/>
      <c r="AQ786" s="8"/>
      <c r="AR786" s="8"/>
      <c r="AS786" s="11"/>
      <c r="AT786" s="11"/>
      <c r="AU786" s="11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11"/>
      <c r="AN787" s="11"/>
      <c r="AO787" s="8"/>
      <c r="AP787" s="8"/>
      <c r="AQ787" s="8"/>
      <c r="AR787" s="8"/>
      <c r="AS787" s="11"/>
      <c r="AT787" s="11"/>
      <c r="AU787" s="11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11"/>
      <c r="AN788" s="11"/>
      <c r="AO788" s="8"/>
      <c r="AP788" s="8"/>
      <c r="AQ788" s="8"/>
      <c r="AR788" s="8"/>
      <c r="AS788" s="11"/>
      <c r="AT788" s="11"/>
      <c r="AU788" s="11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11"/>
      <c r="AN789" s="11"/>
      <c r="AO789" s="8"/>
      <c r="AP789" s="8"/>
      <c r="AQ789" s="8"/>
      <c r="AR789" s="8"/>
      <c r="AS789" s="11"/>
      <c r="AT789" s="11"/>
      <c r="AU789" s="11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11"/>
      <c r="AN790" s="11"/>
      <c r="AO790" s="8"/>
      <c r="AP790" s="8"/>
      <c r="AQ790" s="8"/>
      <c r="AR790" s="8"/>
      <c r="AS790" s="11"/>
      <c r="AT790" s="11"/>
      <c r="AU790" s="11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11"/>
      <c r="AN791" s="11"/>
      <c r="AO791" s="8"/>
      <c r="AP791" s="8"/>
      <c r="AQ791" s="8"/>
      <c r="AR791" s="8"/>
      <c r="AS791" s="11"/>
      <c r="AT791" s="11"/>
      <c r="AU791" s="11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11"/>
      <c r="AN792" s="11"/>
      <c r="AO792" s="8"/>
      <c r="AP792" s="8"/>
      <c r="AQ792" s="8"/>
      <c r="AR792" s="8"/>
      <c r="AS792" s="11"/>
      <c r="AT792" s="11"/>
      <c r="AU792" s="11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11"/>
      <c r="AN793" s="11"/>
      <c r="AO793" s="8"/>
      <c r="AP793" s="8"/>
      <c r="AQ793" s="8"/>
      <c r="AR793" s="8"/>
      <c r="AS793" s="11"/>
      <c r="AT793" s="11"/>
      <c r="AU793" s="11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11"/>
      <c r="AN794" s="11"/>
      <c r="AO794" s="8"/>
      <c r="AP794" s="8"/>
      <c r="AQ794" s="8"/>
      <c r="AR794" s="8"/>
      <c r="AS794" s="11"/>
      <c r="AT794" s="11"/>
      <c r="AU794" s="11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11"/>
      <c r="AN795" s="11"/>
      <c r="AO795" s="8"/>
      <c r="AP795" s="8"/>
      <c r="AQ795" s="8"/>
      <c r="AR795" s="8"/>
      <c r="AS795" s="11"/>
      <c r="AT795" s="11"/>
      <c r="AU795" s="11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11"/>
      <c r="AN796" s="11"/>
      <c r="AO796" s="8"/>
      <c r="AP796" s="8"/>
      <c r="AQ796" s="8"/>
      <c r="AR796" s="8"/>
      <c r="AS796" s="11"/>
      <c r="AT796" s="11"/>
      <c r="AU796" s="11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11"/>
      <c r="AN797" s="11"/>
      <c r="AO797" s="8"/>
      <c r="AP797" s="8"/>
      <c r="AQ797" s="8"/>
      <c r="AR797" s="8"/>
      <c r="AS797" s="11"/>
      <c r="AT797" s="11"/>
      <c r="AU797" s="11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11"/>
      <c r="AN798" s="11"/>
      <c r="AO798" s="8"/>
      <c r="AP798" s="8"/>
      <c r="AQ798" s="8"/>
      <c r="AR798" s="8"/>
      <c r="AS798" s="11"/>
      <c r="AT798" s="11"/>
      <c r="AU798" s="11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11"/>
      <c r="AN799" s="11"/>
      <c r="AO799" s="8"/>
      <c r="AP799" s="8"/>
      <c r="AQ799" s="8"/>
      <c r="AR799" s="8"/>
      <c r="AS799" s="11"/>
      <c r="AT799" s="11"/>
      <c r="AU799" s="11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11"/>
      <c r="AN800" s="11"/>
      <c r="AO800" s="8"/>
      <c r="AP800" s="8"/>
      <c r="AQ800" s="8"/>
      <c r="AR800" s="8"/>
      <c r="AS800" s="11"/>
      <c r="AT800" s="11"/>
      <c r="AU800" s="11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11"/>
      <c r="AN801" s="11"/>
      <c r="AO801" s="8"/>
      <c r="AP801" s="8"/>
      <c r="AQ801" s="8"/>
      <c r="AR801" s="8"/>
      <c r="AS801" s="11"/>
      <c r="AT801" s="11"/>
      <c r="AU801" s="11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11"/>
      <c r="AN802" s="11"/>
      <c r="AO802" s="8"/>
      <c r="AP802" s="8"/>
      <c r="AQ802" s="8"/>
      <c r="AR802" s="8"/>
      <c r="AS802" s="11"/>
      <c r="AT802" s="11"/>
      <c r="AU802" s="11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11"/>
      <c r="AN803" s="11"/>
      <c r="AO803" s="8"/>
      <c r="AP803" s="8"/>
      <c r="AQ803" s="8"/>
      <c r="AR803" s="8"/>
      <c r="AS803" s="11"/>
      <c r="AT803" s="11"/>
      <c r="AU803" s="11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11"/>
      <c r="AN804" s="11"/>
      <c r="AO804" s="8"/>
      <c r="AP804" s="8"/>
      <c r="AQ804" s="8"/>
      <c r="AR804" s="8"/>
      <c r="AS804" s="11"/>
      <c r="AT804" s="11"/>
      <c r="AU804" s="11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11"/>
      <c r="AN805" s="11"/>
      <c r="AO805" s="8"/>
      <c r="AP805" s="8"/>
      <c r="AQ805" s="8"/>
      <c r="AR805" s="8"/>
      <c r="AS805" s="11"/>
      <c r="AT805" s="11"/>
      <c r="AU805" s="11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11"/>
      <c r="AN806" s="11"/>
      <c r="AO806" s="8"/>
      <c r="AP806" s="8"/>
      <c r="AQ806" s="8"/>
      <c r="AR806" s="8"/>
      <c r="AS806" s="11"/>
      <c r="AT806" s="11"/>
      <c r="AU806" s="11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11"/>
      <c r="AN807" s="11"/>
      <c r="AO807" s="8"/>
      <c r="AP807" s="8"/>
      <c r="AQ807" s="8"/>
      <c r="AR807" s="8"/>
      <c r="AS807" s="11"/>
      <c r="AT807" s="11"/>
      <c r="AU807" s="11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11"/>
      <c r="AN808" s="11"/>
      <c r="AO808" s="8"/>
      <c r="AP808" s="8"/>
      <c r="AQ808" s="8"/>
      <c r="AR808" s="8"/>
      <c r="AS808" s="11"/>
      <c r="AT808" s="11"/>
      <c r="AU808" s="11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11"/>
      <c r="AN809" s="11"/>
      <c r="AO809" s="8"/>
      <c r="AP809" s="8"/>
      <c r="AQ809" s="8"/>
      <c r="AR809" s="8"/>
      <c r="AS809" s="11"/>
      <c r="AT809" s="11"/>
      <c r="AU809" s="11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11"/>
      <c r="AN810" s="11"/>
      <c r="AO810" s="8"/>
      <c r="AP810" s="8"/>
      <c r="AQ810" s="8"/>
      <c r="AR810" s="8"/>
      <c r="AS810" s="11"/>
      <c r="AT810" s="11"/>
      <c r="AU810" s="11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11"/>
      <c r="AN811" s="11"/>
      <c r="AO811" s="8"/>
      <c r="AP811" s="8"/>
      <c r="AQ811" s="8"/>
      <c r="AR811" s="8"/>
      <c r="AS811" s="11"/>
      <c r="AT811" s="11"/>
      <c r="AU811" s="11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11"/>
      <c r="AN812" s="11"/>
      <c r="AO812" s="8"/>
      <c r="AP812" s="8"/>
      <c r="AQ812" s="8"/>
      <c r="AR812" s="8"/>
      <c r="AS812" s="11"/>
      <c r="AT812" s="11"/>
      <c r="AU812" s="11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11"/>
      <c r="AN813" s="11"/>
      <c r="AO813" s="8"/>
      <c r="AP813" s="8"/>
      <c r="AQ813" s="8"/>
      <c r="AR813" s="8"/>
      <c r="AS813" s="11"/>
      <c r="AT813" s="11"/>
      <c r="AU813" s="11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11"/>
      <c r="AN814" s="11"/>
      <c r="AO814" s="8"/>
      <c r="AP814" s="8"/>
      <c r="AQ814" s="8"/>
      <c r="AR814" s="8"/>
      <c r="AS814" s="11"/>
      <c r="AT814" s="11"/>
      <c r="AU814" s="11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11"/>
      <c r="AN815" s="11"/>
      <c r="AO815" s="8"/>
      <c r="AP815" s="8"/>
      <c r="AQ815" s="8"/>
      <c r="AR815" s="8"/>
      <c r="AS815" s="11"/>
      <c r="AT815" s="11"/>
      <c r="AU815" s="11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11"/>
      <c r="AN816" s="11"/>
      <c r="AO816" s="8"/>
      <c r="AP816" s="8"/>
      <c r="AQ816" s="8"/>
      <c r="AR816" s="8"/>
      <c r="AS816" s="11"/>
      <c r="AT816" s="11"/>
      <c r="AU816" s="11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11"/>
      <c r="AN817" s="11"/>
      <c r="AO817" s="8"/>
      <c r="AP817" s="8"/>
      <c r="AQ817" s="8"/>
      <c r="AR817" s="8"/>
      <c r="AS817" s="11"/>
      <c r="AT817" s="11"/>
      <c r="AU817" s="11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11"/>
      <c r="AN818" s="11"/>
      <c r="AO818" s="8"/>
      <c r="AP818" s="8"/>
      <c r="AQ818" s="8"/>
      <c r="AR818" s="8"/>
      <c r="AS818" s="11"/>
      <c r="AT818" s="11"/>
      <c r="AU818" s="11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11"/>
      <c r="AN819" s="11"/>
      <c r="AO819" s="8"/>
      <c r="AP819" s="8"/>
      <c r="AQ819" s="8"/>
      <c r="AR819" s="8"/>
      <c r="AS819" s="11"/>
      <c r="AT819" s="11"/>
      <c r="AU819" s="11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11"/>
      <c r="AN820" s="11"/>
      <c r="AO820" s="8"/>
      <c r="AP820" s="8"/>
      <c r="AQ820" s="8"/>
      <c r="AR820" s="8"/>
      <c r="AS820" s="11"/>
      <c r="AT820" s="11"/>
      <c r="AU820" s="11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11"/>
      <c r="AN821" s="11"/>
      <c r="AO821" s="8"/>
      <c r="AP821" s="8"/>
      <c r="AQ821" s="8"/>
      <c r="AR821" s="8"/>
      <c r="AS821" s="11"/>
      <c r="AT821" s="11"/>
      <c r="AU821" s="11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11"/>
      <c r="AN822" s="11"/>
      <c r="AO822" s="8"/>
      <c r="AP822" s="8"/>
      <c r="AQ822" s="8"/>
      <c r="AR822" s="8"/>
      <c r="AS822" s="11"/>
      <c r="AT822" s="11"/>
      <c r="AU822" s="11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11"/>
      <c r="AN823" s="11"/>
      <c r="AO823" s="8"/>
      <c r="AP823" s="8"/>
      <c r="AQ823" s="8"/>
      <c r="AR823" s="8"/>
      <c r="AS823" s="11"/>
      <c r="AT823" s="11"/>
      <c r="AU823" s="11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11"/>
      <c r="AN824" s="11"/>
      <c r="AO824" s="8"/>
      <c r="AP824" s="8"/>
      <c r="AQ824" s="8"/>
      <c r="AR824" s="8"/>
      <c r="AS824" s="11"/>
      <c r="AT824" s="11"/>
      <c r="AU824" s="11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11"/>
      <c r="AN825" s="11"/>
      <c r="AO825" s="8"/>
      <c r="AP825" s="8"/>
      <c r="AQ825" s="8"/>
      <c r="AR825" s="8"/>
      <c r="AS825" s="11"/>
      <c r="AT825" s="11"/>
      <c r="AU825" s="11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11"/>
      <c r="AN826" s="11"/>
      <c r="AO826" s="8"/>
      <c r="AP826" s="8"/>
      <c r="AQ826" s="8"/>
      <c r="AR826" s="8"/>
      <c r="AS826" s="11"/>
      <c r="AT826" s="11"/>
      <c r="AU826" s="11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11"/>
      <c r="AN827" s="11"/>
      <c r="AO827" s="8"/>
      <c r="AP827" s="8"/>
      <c r="AQ827" s="8"/>
      <c r="AR827" s="8"/>
      <c r="AS827" s="11"/>
      <c r="AT827" s="11"/>
      <c r="AU827" s="11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11"/>
      <c r="AN828" s="11"/>
      <c r="AO828" s="8"/>
      <c r="AP828" s="8"/>
      <c r="AQ828" s="8"/>
      <c r="AR828" s="8"/>
      <c r="AS828" s="11"/>
      <c r="AT828" s="11"/>
      <c r="AU828" s="11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11"/>
      <c r="AN829" s="11"/>
      <c r="AO829" s="8"/>
      <c r="AP829" s="8"/>
      <c r="AQ829" s="8"/>
      <c r="AR829" s="8"/>
      <c r="AS829" s="11"/>
      <c r="AT829" s="11"/>
      <c r="AU829" s="11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11"/>
      <c r="AN830" s="11"/>
      <c r="AO830" s="8"/>
      <c r="AP830" s="8"/>
      <c r="AQ830" s="8"/>
      <c r="AR830" s="8"/>
      <c r="AS830" s="11"/>
      <c r="AT830" s="11"/>
      <c r="AU830" s="11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11"/>
      <c r="AN831" s="11"/>
      <c r="AO831" s="8"/>
      <c r="AP831" s="8"/>
      <c r="AQ831" s="8"/>
      <c r="AR831" s="8"/>
      <c r="AS831" s="11"/>
      <c r="AT831" s="11"/>
      <c r="AU831" s="11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11"/>
      <c r="AN832" s="11"/>
      <c r="AO832" s="8"/>
      <c r="AP832" s="8"/>
      <c r="AQ832" s="8"/>
      <c r="AR832" s="8"/>
      <c r="AS832" s="11"/>
      <c r="AT832" s="11"/>
      <c r="AU832" s="11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11"/>
      <c r="AN833" s="11"/>
      <c r="AO833" s="8"/>
      <c r="AP833" s="8"/>
      <c r="AQ833" s="8"/>
      <c r="AR833" s="8"/>
      <c r="AS833" s="11"/>
      <c r="AT833" s="11"/>
      <c r="AU833" s="11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11"/>
      <c r="AN834" s="11"/>
      <c r="AO834" s="8"/>
      <c r="AP834" s="8"/>
      <c r="AQ834" s="8"/>
      <c r="AR834" s="8"/>
      <c r="AS834" s="11"/>
      <c r="AT834" s="11"/>
      <c r="AU834" s="11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11"/>
      <c r="AN835" s="11"/>
      <c r="AO835" s="8"/>
      <c r="AP835" s="8"/>
      <c r="AQ835" s="8"/>
      <c r="AR835" s="8"/>
      <c r="AS835" s="11"/>
      <c r="AT835" s="11"/>
      <c r="AU835" s="11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11"/>
      <c r="AN836" s="11"/>
      <c r="AO836" s="8"/>
      <c r="AP836" s="8"/>
      <c r="AQ836" s="8"/>
      <c r="AR836" s="8"/>
      <c r="AS836" s="11"/>
      <c r="AT836" s="11"/>
      <c r="AU836" s="11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11"/>
      <c r="AN837" s="11"/>
      <c r="AO837" s="8"/>
      <c r="AP837" s="8"/>
      <c r="AQ837" s="8"/>
      <c r="AR837" s="8"/>
      <c r="AS837" s="11"/>
      <c r="AT837" s="11"/>
      <c r="AU837" s="11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11"/>
      <c r="AN838" s="11"/>
      <c r="AO838" s="8"/>
      <c r="AP838" s="8"/>
      <c r="AQ838" s="8"/>
      <c r="AR838" s="8"/>
      <c r="AS838" s="11"/>
      <c r="AT838" s="11"/>
      <c r="AU838" s="11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11"/>
      <c r="AN839" s="11"/>
      <c r="AO839" s="8"/>
      <c r="AP839" s="8"/>
      <c r="AQ839" s="8"/>
      <c r="AR839" s="8"/>
      <c r="AS839" s="11"/>
      <c r="AT839" s="11"/>
      <c r="AU839" s="11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11"/>
      <c r="AN840" s="11"/>
      <c r="AO840" s="8"/>
      <c r="AP840" s="8"/>
      <c r="AQ840" s="8"/>
      <c r="AR840" s="8"/>
      <c r="AS840" s="11"/>
      <c r="AT840" s="11"/>
      <c r="AU840" s="11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11"/>
      <c r="AN841" s="11"/>
      <c r="AO841" s="8"/>
      <c r="AP841" s="8"/>
      <c r="AQ841" s="8"/>
      <c r="AR841" s="8"/>
      <c r="AS841" s="11"/>
      <c r="AT841" s="11"/>
      <c r="AU841" s="11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11"/>
      <c r="AN842" s="11"/>
      <c r="AO842" s="8"/>
      <c r="AP842" s="8"/>
      <c r="AQ842" s="8"/>
      <c r="AR842" s="8"/>
      <c r="AS842" s="11"/>
      <c r="AT842" s="11"/>
      <c r="AU842" s="11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11"/>
      <c r="AN843" s="11"/>
      <c r="AO843" s="8"/>
      <c r="AP843" s="8"/>
      <c r="AQ843" s="8"/>
      <c r="AR843" s="8"/>
      <c r="AS843" s="11"/>
      <c r="AT843" s="11"/>
      <c r="AU843" s="11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11"/>
      <c r="AN844" s="11"/>
      <c r="AO844" s="8"/>
      <c r="AP844" s="8"/>
      <c r="AQ844" s="8"/>
      <c r="AR844" s="8"/>
      <c r="AS844" s="11"/>
      <c r="AT844" s="11"/>
      <c r="AU844" s="11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11"/>
      <c r="AN845" s="11"/>
      <c r="AO845" s="8"/>
      <c r="AP845" s="8"/>
      <c r="AQ845" s="8"/>
      <c r="AR845" s="8"/>
      <c r="AS845" s="11"/>
      <c r="AT845" s="11"/>
      <c r="AU845" s="11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11"/>
      <c r="AN846" s="11"/>
      <c r="AO846" s="8"/>
      <c r="AP846" s="8"/>
      <c r="AQ846" s="8"/>
      <c r="AR846" s="8"/>
      <c r="AS846" s="11"/>
      <c r="AT846" s="11"/>
      <c r="AU846" s="11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11"/>
      <c r="AN847" s="11"/>
      <c r="AO847" s="8"/>
      <c r="AP847" s="8"/>
      <c r="AQ847" s="8"/>
      <c r="AR847" s="8"/>
      <c r="AS847" s="11"/>
      <c r="AT847" s="11"/>
      <c r="AU847" s="11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11"/>
      <c r="AN848" s="11"/>
      <c r="AO848" s="8"/>
      <c r="AP848" s="8"/>
      <c r="AQ848" s="8"/>
      <c r="AR848" s="8"/>
      <c r="AS848" s="11"/>
      <c r="AT848" s="11"/>
      <c r="AU848" s="11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11"/>
      <c r="AN849" s="11"/>
      <c r="AO849" s="8"/>
      <c r="AP849" s="8"/>
      <c r="AQ849" s="8"/>
      <c r="AR849" s="8"/>
      <c r="AS849" s="11"/>
      <c r="AT849" s="11"/>
      <c r="AU849" s="11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11"/>
      <c r="AN850" s="11"/>
      <c r="AO850" s="8"/>
      <c r="AP850" s="8"/>
      <c r="AQ850" s="8"/>
      <c r="AR850" s="8"/>
      <c r="AS850" s="11"/>
      <c r="AT850" s="11"/>
      <c r="AU850" s="11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11"/>
      <c r="AN851" s="11"/>
      <c r="AO851" s="8"/>
      <c r="AP851" s="8"/>
      <c r="AQ851" s="8"/>
      <c r="AR851" s="8"/>
      <c r="AS851" s="11"/>
      <c r="AT851" s="11"/>
      <c r="AU851" s="11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11"/>
      <c r="AN852" s="11"/>
      <c r="AO852" s="8"/>
      <c r="AP852" s="8"/>
      <c r="AQ852" s="8"/>
      <c r="AR852" s="8"/>
      <c r="AS852" s="11"/>
      <c r="AT852" s="11"/>
      <c r="AU852" s="11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11"/>
      <c r="AN853" s="11"/>
      <c r="AO853" s="8"/>
      <c r="AP853" s="8"/>
      <c r="AQ853" s="8"/>
      <c r="AR853" s="8"/>
      <c r="AS853" s="11"/>
      <c r="AT853" s="11"/>
      <c r="AU853" s="11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11"/>
      <c r="AN854" s="11"/>
      <c r="AO854" s="8"/>
      <c r="AP854" s="8"/>
      <c r="AQ854" s="8"/>
      <c r="AR854" s="8"/>
      <c r="AS854" s="11"/>
      <c r="AT854" s="11"/>
      <c r="AU854" s="11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11"/>
      <c r="AN855" s="11"/>
      <c r="AO855" s="8"/>
      <c r="AP855" s="8"/>
      <c r="AQ855" s="8"/>
      <c r="AR855" s="8"/>
      <c r="AS855" s="11"/>
      <c r="AT855" s="11"/>
      <c r="AU855" s="11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11"/>
      <c r="AN856" s="11"/>
      <c r="AO856" s="8"/>
      <c r="AP856" s="8"/>
      <c r="AQ856" s="8"/>
      <c r="AR856" s="8"/>
      <c r="AS856" s="11"/>
      <c r="AT856" s="11"/>
      <c r="AU856" s="11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11"/>
      <c r="AN857" s="11"/>
      <c r="AO857" s="8"/>
      <c r="AP857" s="8"/>
      <c r="AQ857" s="8"/>
      <c r="AR857" s="8"/>
      <c r="AS857" s="11"/>
      <c r="AT857" s="11"/>
      <c r="AU857" s="11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11"/>
      <c r="AN858" s="11"/>
      <c r="AO858" s="8"/>
      <c r="AP858" s="8"/>
      <c r="AQ858" s="8"/>
      <c r="AR858" s="8"/>
      <c r="AS858" s="11"/>
      <c r="AT858" s="11"/>
      <c r="AU858" s="11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11"/>
      <c r="AN859" s="11"/>
      <c r="AO859" s="8"/>
      <c r="AP859" s="8"/>
      <c r="AQ859" s="8"/>
      <c r="AR859" s="8"/>
      <c r="AS859" s="11"/>
      <c r="AT859" s="11"/>
      <c r="AU859" s="11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11"/>
      <c r="AN860" s="11"/>
      <c r="AO860" s="8"/>
      <c r="AP860" s="8"/>
      <c r="AQ860" s="8"/>
      <c r="AR860" s="8"/>
      <c r="AS860" s="11"/>
      <c r="AT860" s="11"/>
      <c r="AU860" s="11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11"/>
      <c r="AN861" s="11"/>
      <c r="AO861" s="8"/>
      <c r="AP861" s="8"/>
      <c r="AQ861" s="8"/>
      <c r="AR861" s="8"/>
      <c r="AS861" s="11"/>
      <c r="AT861" s="11"/>
      <c r="AU861" s="11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11"/>
      <c r="AN862" s="11"/>
      <c r="AO862" s="8"/>
      <c r="AP862" s="8"/>
      <c r="AQ862" s="8"/>
      <c r="AR862" s="8"/>
      <c r="AS862" s="11"/>
      <c r="AT862" s="11"/>
      <c r="AU862" s="11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11"/>
      <c r="AN863" s="11"/>
      <c r="AO863" s="8"/>
      <c r="AP863" s="8"/>
      <c r="AQ863" s="8"/>
      <c r="AR863" s="8"/>
      <c r="AS863" s="11"/>
      <c r="AT863" s="11"/>
      <c r="AU863" s="11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11"/>
      <c r="AN864" s="11"/>
      <c r="AO864" s="8"/>
      <c r="AP864" s="8"/>
      <c r="AQ864" s="8"/>
      <c r="AR864" s="8"/>
      <c r="AS864" s="11"/>
      <c r="AT864" s="11"/>
      <c r="AU864" s="11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11"/>
      <c r="AN865" s="11"/>
      <c r="AO865" s="8"/>
      <c r="AP865" s="8"/>
      <c r="AQ865" s="8"/>
      <c r="AR865" s="8"/>
      <c r="AS865" s="11"/>
      <c r="AT865" s="11"/>
      <c r="AU865" s="11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11"/>
      <c r="AN866" s="11"/>
      <c r="AO866" s="8"/>
      <c r="AP866" s="8"/>
      <c r="AQ866" s="8"/>
      <c r="AR866" s="8"/>
      <c r="AS866" s="11"/>
      <c r="AT866" s="11"/>
      <c r="AU866" s="11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11"/>
      <c r="AN867" s="11"/>
      <c r="AO867" s="8"/>
      <c r="AP867" s="8"/>
      <c r="AQ867" s="8"/>
      <c r="AR867" s="8"/>
      <c r="AS867" s="11"/>
      <c r="AT867" s="11"/>
      <c r="AU867" s="11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11"/>
      <c r="AN868" s="11"/>
      <c r="AO868" s="8"/>
      <c r="AP868" s="8"/>
      <c r="AQ868" s="8"/>
      <c r="AR868" s="8"/>
      <c r="AS868" s="11"/>
      <c r="AT868" s="11"/>
      <c r="AU868" s="11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11"/>
      <c r="AN869" s="11"/>
      <c r="AO869" s="8"/>
      <c r="AP869" s="8"/>
      <c r="AQ869" s="8"/>
      <c r="AR869" s="8"/>
      <c r="AS869" s="11"/>
      <c r="AT869" s="11"/>
      <c r="AU869" s="11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11"/>
      <c r="AN870" s="11"/>
      <c r="AO870" s="8"/>
      <c r="AP870" s="8"/>
      <c r="AQ870" s="8"/>
      <c r="AR870" s="8"/>
      <c r="AS870" s="11"/>
      <c r="AT870" s="11"/>
      <c r="AU870" s="11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11"/>
      <c r="AN871" s="11"/>
      <c r="AO871" s="8"/>
      <c r="AP871" s="8"/>
      <c r="AQ871" s="8"/>
      <c r="AR871" s="8"/>
      <c r="AS871" s="11"/>
      <c r="AT871" s="11"/>
      <c r="AU871" s="11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11"/>
      <c r="AN872" s="11"/>
      <c r="AO872" s="8"/>
      <c r="AP872" s="8"/>
      <c r="AQ872" s="8"/>
      <c r="AR872" s="8"/>
      <c r="AS872" s="11"/>
      <c r="AT872" s="11"/>
      <c r="AU872" s="11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11"/>
      <c r="AN873" s="11"/>
      <c r="AO873" s="8"/>
      <c r="AP873" s="8"/>
      <c r="AQ873" s="8"/>
      <c r="AR873" s="8"/>
      <c r="AS873" s="11"/>
      <c r="AT873" s="11"/>
      <c r="AU873" s="11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11"/>
      <c r="AN874" s="11"/>
      <c r="AO874" s="8"/>
      <c r="AP874" s="8"/>
      <c r="AQ874" s="8"/>
      <c r="AR874" s="8"/>
      <c r="AS874" s="11"/>
      <c r="AT874" s="11"/>
      <c r="AU874" s="11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11"/>
      <c r="AN875" s="11"/>
      <c r="AO875" s="8"/>
      <c r="AP875" s="8"/>
      <c r="AQ875" s="8"/>
      <c r="AR875" s="8"/>
      <c r="AS875" s="11"/>
      <c r="AT875" s="11"/>
      <c r="AU875" s="11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11"/>
      <c r="AN876" s="11"/>
      <c r="AO876" s="8"/>
      <c r="AP876" s="8"/>
      <c r="AQ876" s="8"/>
      <c r="AR876" s="8"/>
      <c r="AS876" s="11"/>
      <c r="AT876" s="11"/>
      <c r="AU876" s="11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11"/>
      <c r="AN877" s="11"/>
      <c r="AO877" s="8"/>
      <c r="AP877" s="8"/>
      <c r="AQ877" s="8"/>
      <c r="AR877" s="8"/>
      <c r="AS877" s="11"/>
      <c r="AT877" s="11"/>
      <c r="AU877" s="11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11"/>
      <c r="AN878" s="11"/>
      <c r="AO878" s="8"/>
      <c r="AP878" s="8"/>
      <c r="AQ878" s="8"/>
      <c r="AR878" s="8"/>
      <c r="AS878" s="11"/>
      <c r="AT878" s="11"/>
      <c r="AU878" s="11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11"/>
      <c r="AN879" s="11"/>
      <c r="AO879" s="8"/>
      <c r="AP879" s="8"/>
      <c r="AQ879" s="8"/>
      <c r="AR879" s="8"/>
      <c r="AS879" s="11"/>
      <c r="AT879" s="11"/>
      <c r="AU879" s="11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11"/>
      <c r="AN880" s="11"/>
      <c r="AO880" s="8"/>
      <c r="AP880" s="8"/>
      <c r="AQ880" s="8"/>
      <c r="AR880" s="8"/>
      <c r="AS880" s="11"/>
      <c r="AT880" s="11"/>
      <c r="AU880" s="11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11"/>
      <c r="AN881" s="11"/>
      <c r="AO881" s="8"/>
      <c r="AP881" s="8"/>
      <c r="AQ881" s="8"/>
      <c r="AR881" s="8"/>
      <c r="AS881" s="11"/>
      <c r="AT881" s="11"/>
      <c r="AU881" s="11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11"/>
      <c r="AN882" s="11"/>
      <c r="AO882" s="8"/>
      <c r="AP882" s="8"/>
      <c r="AQ882" s="8"/>
      <c r="AR882" s="8"/>
      <c r="AS882" s="11"/>
      <c r="AT882" s="11"/>
      <c r="AU882" s="11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11"/>
      <c r="AN883" s="11"/>
      <c r="AO883" s="8"/>
      <c r="AP883" s="8"/>
      <c r="AQ883" s="8"/>
      <c r="AR883" s="8"/>
      <c r="AS883" s="11"/>
      <c r="AT883" s="11"/>
      <c r="AU883" s="11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11"/>
      <c r="AN884" s="11"/>
      <c r="AO884" s="8"/>
      <c r="AP884" s="8"/>
      <c r="AQ884" s="8"/>
      <c r="AR884" s="8"/>
      <c r="AS884" s="11"/>
      <c r="AT884" s="11"/>
      <c r="AU884" s="11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11"/>
      <c r="AN885" s="11"/>
      <c r="AO885" s="8"/>
      <c r="AP885" s="8"/>
      <c r="AQ885" s="8"/>
      <c r="AR885" s="8"/>
      <c r="AS885" s="11"/>
      <c r="AT885" s="11"/>
      <c r="AU885" s="11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11"/>
      <c r="AN886" s="11"/>
      <c r="AO886" s="8"/>
      <c r="AP886" s="8"/>
      <c r="AQ886" s="8"/>
      <c r="AR886" s="8"/>
      <c r="AS886" s="11"/>
      <c r="AT886" s="11"/>
      <c r="AU886" s="11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11"/>
      <c r="AN887" s="11"/>
      <c r="AO887" s="8"/>
      <c r="AP887" s="8"/>
      <c r="AQ887" s="8"/>
      <c r="AR887" s="8"/>
      <c r="AS887" s="11"/>
      <c r="AT887" s="11"/>
      <c r="AU887" s="11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11"/>
      <c r="AN888" s="11"/>
      <c r="AO888" s="8"/>
      <c r="AP888" s="8"/>
      <c r="AQ888" s="8"/>
      <c r="AR888" s="8"/>
      <c r="AS888" s="11"/>
      <c r="AT888" s="11"/>
      <c r="AU888" s="11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11"/>
      <c r="AN889" s="11"/>
      <c r="AO889" s="8"/>
      <c r="AP889" s="8"/>
      <c r="AQ889" s="8"/>
      <c r="AR889" s="8"/>
      <c r="AS889" s="11"/>
      <c r="AT889" s="11"/>
      <c r="AU889" s="11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11"/>
      <c r="AN890" s="11"/>
      <c r="AO890" s="8"/>
      <c r="AP890" s="8"/>
      <c r="AQ890" s="8"/>
      <c r="AR890" s="8"/>
      <c r="AS890" s="11"/>
      <c r="AT890" s="11"/>
      <c r="AU890" s="11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11"/>
      <c r="AN891" s="11"/>
      <c r="AO891" s="8"/>
      <c r="AP891" s="8"/>
      <c r="AQ891" s="8"/>
      <c r="AR891" s="8"/>
      <c r="AS891" s="11"/>
      <c r="AT891" s="11"/>
      <c r="AU891" s="11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11"/>
      <c r="AN892" s="11"/>
      <c r="AO892" s="8"/>
      <c r="AP892" s="8"/>
      <c r="AQ892" s="8"/>
      <c r="AR892" s="8"/>
      <c r="AS892" s="11"/>
      <c r="AT892" s="11"/>
      <c r="AU892" s="11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11"/>
      <c r="AN893" s="11"/>
      <c r="AO893" s="8"/>
      <c r="AP893" s="8"/>
      <c r="AQ893" s="8"/>
      <c r="AR893" s="8"/>
      <c r="AS893" s="11"/>
      <c r="AT893" s="11"/>
      <c r="AU893" s="11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11"/>
      <c r="AN894" s="11"/>
      <c r="AO894" s="8"/>
      <c r="AP894" s="8"/>
      <c r="AQ894" s="8"/>
      <c r="AR894" s="8"/>
      <c r="AS894" s="11"/>
      <c r="AT894" s="11"/>
      <c r="AU894" s="11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11"/>
      <c r="AN895" s="11"/>
      <c r="AO895" s="8"/>
      <c r="AP895" s="8"/>
      <c r="AQ895" s="8"/>
      <c r="AR895" s="8"/>
      <c r="AS895" s="11"/>
      <c r="AT895" s="11"/>
      <c r="AU895" s="11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11"/>
      <c r="AN896" s="11"/>
      <c r="AO896" s="8"/>
      <c r="AP896" s="8"/>
      <c r="AQ896" s="8"/>
      <c r="AR896" s="8"/>
      <c r="AS896" s="11"/>
      <c r="AT896" s="11"/>
      <c r="AU896" s="11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11"/>
      <c r="AN897" s="11"/>
      <c r="AO897" s="8"/>
      <c r="AP897" s="8"/>
      <c r="AQ897" s="8"/>
      <c r="AR897" s="8"/>
      <c r="AS897" s="11"/>
      <c r="AT897" s="11"/>
      <c r="AU897" s="11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11"/>
      <c r="AN898" s="11"/>
      <c r="AO898" s="8"/>
      <c r="AP898" s="8"/>
      <c r="AQ898" s="8"/>
      <c r="AR898" s="8"/>
      <c r="AS898" s="11"/>
      <c r="AT898" s="11"/>
      <c r="AU898" s="11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11"/>
      <c r="AN899" s="11"/>
      <c r="AO899" s="8"/>
      <c r="AP899" s="8"/>
      <c r="AQ899" s="8"/>
      <c r="AR899" s="8"/>
      <c r="AS899" s="11"/>
      <c r="AT899" s="11"/>
      <c r="AU899" s="11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11"/>
      <c r="AN900" s="11"/>
      <c r="AO900" s="8"/>
      <c r="AP900" s="8"/>
      <c r="AQ900" s="8"/>
      <c r="AR900" s="8"/>
      <c r="AS900" s="11"/>
      <c r="AT900" s="11"/>
      <c r="AU900" s="11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11"/>
      <c r="AN901" s="11"/>
      <c r="AO901" s="8"/>
      <c r="AP901" s="8"/>
      <c r="AQ901" s="8"/>
      <c r="AR901" s="8"/>
      <c r="AS901" s="11"/>
      <c r="AT901" s="11"/>
      <c r="AU901" s="11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11"/>
      <c r="AN902" s="11"/>
      <c r="AO902" s="8"/>
      <c r="AP902" s="8"/>
      <c r="AQ902" s="8"/>
      <c r="AR902" s="8"/>
      <c r="AS902" s="11"/>
      <c r="AT902" s="11"/>
      <c r="AU902" s="11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11"/>
      <c r="AN903" s="11"/>
      <c r="AO903" s="8"/>
      <c r="AP903" s="8"/>
      <c r="AQ903" s="8"/>
      <c r="AR903" s="8"/>
      <c r="AS903" s="11"/>
      <c r="AT903" s="11"/>
      <c r="AU903" s="11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11"/>
      <c r="AN904" s="11"/>
      <c r="AO904" s="8"/>
      <c r="AP904" s="8"/>
      <c r="AQ904" s="8"/>
      <c r="AR904" s="8"/>
      <c r="AS904" s="11"/>
      <c r="AT904" s="11"/>
      <c r="AU904" s="11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11"/>
      <c r="AN905" s="11"/>
      <c r="AO905" s="8"/>
      <c r="AP905" s="8"/>
      <c r="AQ905" s="8"/>
      <c r="AR905" s="8"/>
      <c r="AS905" s="11"/>
      <c r="AT905" s="11"/>
      <c r="AU905" s="11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11"/>
      <c r="AN906" s="11"/>
      <c r="AO906" s="8"/>
      <c r="AP906" s="8"/>
      <c r="AQ906" s="8"/>
      <c r="AR906" s="8"/>
      <c r="AS906" s="11"/>
      <c r="AT906" s="11"/>
      <c r="AU906" s="11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11"/>
      <c r="AN907" s="11"/>
      <c r="AO907" s="8"/>
      <c r="AP907" s="8"/>
      <c r="AQ907" s="8"/>
      <c r="AR907" s="8"/>
      <c r="AS907" s="11"/>
      <c r="AT907" s="11"/>
      <c r="AU907" s="11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11"/>
      <c r="AN908" s="11"/>
      <c r="AO908" s="8"/>
      <c r="AP908" s="8"/>
      <c r="AQ908" s="8"/>
      <c r="AR908" s="8"/>
      <c r="AS908" s="11"/>
      <c r="AT908" s="11"/>
      <c r="AU908" s="11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11"/>
      <c r="AN909" s="11"/>
      <c r="AO909" s="8"/>
      <c r="AP909" s="8"/>
      <c r="AQ909" s="8"/>
      <c r="AR909" s="8"/>
      <c r="AS909" s="11"/>
      <c r="AT909" s="11"/>
      <c r="AU909" s="11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11"/>
      <c r="AN910" s="11"/>
      <c r="AO910" s="8"/>
      <c r="AP910" s="8"/>
      <c r="AQ910" s="8"/>
      <c r="AR910" s="8"/>
      <c r="AS910" s="11"/>
      <c r="AT910" s="11"/>
      <c r="AU910" s="11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11"/>
      <c r="AN911" s="11"/>
      <c r="AO911" s="8"/>
      <c r="AP911" s="8"/>
      <c r="AQ911" s="8"/>
      <c r="AR911" s="8"/>
      <c r="AS911" s="11"/>
      <c r="AT911" s="11"/>
      <c r="AU911" s="11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11"/>
      <c r="AN912" s="11"/>
      <c r="AO912" s="8"/>
      <c r="AP912" s="8"/>
      <c r="AQ912" s="8"/>
      <c r="AR912" s="8"/>
      <c r="AS912" s="11"/>
      <c r="AT912" s="11"/>
      <c r="AU912" s="11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11"/>
      <c r="AN913" s="11"/>
      <c r="AO913" s="8"/>
      <c r="AP913" s="8"/>
      <c r="AQ913" s="8"/>
      <c r="AR913" s="8"/>
      <c r="AS913" s="11"/>
      <c r="AT913" s="11"/>
      <c r="AU913" s="11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11"/>
      <c r="AN914" s="11"/>
      <c r="AO914" s="8"/>
      <c r="AP914" s="8"/>
      <c r="AQ914" s="8"/>
      <c r="AR914" s="8"/>
      <c r="AS914" s="11"/>
      <c r="AT914" s="11"/>
      <c r="AU914" s="11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11"/>
      <c r="AN915" s="11"/>
      <c r="AO915" s="8"/>
      <c r="AP915" s="8"/>
      <c r="AQ915" s="8"/>
      <c r="AR915" s="8"/>
      <c r="AS915" s="11"/>
      <c r="AT915" s="11"/>
      <c r="AU915" s="11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11"/>
      <c r="AN916" s="11"/>
      <c r="AO916" s="8"/>
      <c r="AP916" s="8"/>
      <c r="AQ916" s="8"/>
      <c r="AR916" s="8"/>
      <c r="AS916" s="11"/>
      <c r="AT916" s="11"/>
      <c r="AU916" s="11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11"/>
      <c r="AN917" s="11"/>
      <c r="AO917" s="8"/>
      <c r="AP917" s="8"/>
      <c r="AQ917" s="8"/>
      <c r="AR917" s="8"/>
      <c r="AS917" s="11"/>
      <c r="AT917" s="11"/>
      <c r="AU917" s="11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11"/>
      <c r="AN918" s="11"/>
      <c r="AO918" s="8"/>
      <c r="AP918" s="8"/>
      <c r="AQ918" s="8"/>
      <c r="AR918" s="8"/>
      <c r="AS918" s="11"/>
      <c r="AT918" s="11"/>
      <c r="AU918" s="11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11"/>
      <c r="AN919" s="11"/>
      <c r="AO919" s="8"/>
      <c r="AP919" s="8"/>
      <c r="AQ919" s="8"/>
      <c r="AR919" s="8"/>
      <c r="AS919" s="11"/>
      <c r="AT919" s="11"/>
      <c r="AU919" s="11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11"/>
      <c r="AN920" s="11"/>
      <c r="AO920" s="8"/>
      <c r="AP920" s="8"/>
      <c r="AQ920" s="8"/>
      <c r="AR920" s="8"/>
      <c r="AS920" s="11"/>
      <c r="AT920" s="11"/>
      <c r="AU920" s="11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11"/>
      <c r="AN921" s="11"/>
      <c r="AO921" s="8"/>
      <c r="AP921" s="8"/>
      <c r="AQ921" s="8"/>
      <c r="AR921" s="8"/>
      <c r="AS921" s="11"/>
      <c r="AT921" s="11"/>
      <c r="AU921" s="11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11"/>
      <c r="AN922" s="11"/>
      <c r="AO922" s="8"/>
      <c r="AP922" s="8"/>
      <c r="AQ922" s="8"/>
      <c r="AR922" s="8"/>
      <c r="AS922" s="11"/>
      <c r="AT922" s="11"/>
      <c r="AU922" s="11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11"/>
      <c r="AN923" s="11"/>
      <c r="AO923" s="8"/>
      <c r="AP923" s="8"/>
      <c r="AQ923" s="8"/>
      <c r="AR923" s="8"/>
      <c r="AS923" s="11"/>
      <c r="AT923" s="11"/>
      <c r="AU923" s="11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11"/>
      <c r="AN924" s="11"/>
      <c r="AO924" s="8"/>
      <c r="AP924" s="8"/>
      <c r="AQ924" s="8"/>
      <c r="AR924" s="8"/>
      <c r="AS924" s="11"/>
      <c r="AT924" s="11"/>
      <c r="AU924" s="11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11"/>
      <c r="AN925" s="11"/>
      <c r="AO925" s="8"/>
      <c r="AP925" s="8"/>
      <c r="AQ925" s="8"/>
      <c r="AR925" s="8"/>
      <c r="AS925" s="11"/>
      <c r="AT925" s="11"/>
      <c r="AU925" s="11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11"/>
      <c r="AN926" s="11"/>
      <c r="AO926" s="8"/>
      <c r="AP926" s="8"/>
      <c r="AQ926" s="8"/>
      <c r="AR926" s="8"/>
      <c r="AS926" s="11"/>
      <c r="AT926" s="11"/>
      <c r="AU926" s="11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11"/>
      <c r="AN927" s="11"/>
      <c r="AO927" s="8"/>
      <c r="AP927" s="8"/>
      <c r="AQ927" s="8"/>
      <c r="AR927" s="8"/>
      <c r="AS927" s="11"/>
      <c r="AT927" s="11"/>
      <c r="AU927" s="11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11"/>
      <c r="AN928" s="11"/>
      <c r="AO928" s="8"/>
      <c r="AP928" s="8"/>
      <c r="AQ928" s="8"/>
      <c r="AR928" s="8"/>
      <c r="AS928" s="11"/>
      <c r="AT928" s="11"/>
      <c r="AU928" s="11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11"/>
      <c r="AN929" s="11"/>
      <c r="AO929" s="8"/>
      <c r="AP929" s="8"/>
      <c r="AQ929" s="8"/>
      <c r="AR929" s="8"/>
      <c r="AS929" s="11"/>
      <c r="AT929" s="11"/>
      <c r="AU929" s="11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11"/>
      <c r="AN930" s="11"/>
      <c r="AO930" s="8"/>
      <c r="AP930" s="8"/>
      <c r="AQ930" s="8"/>
      <c r="AR930" s="8"/>
      <c r="AS930" s="11"/>
      <c r="AT930" s="11"/>
      <c r="AU930" s="11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11"/>
      <c r="AN931" s="11"/>
      <c r="AO931" s="8"/>
      <c r="AP931" s="8"/>
      <c r="AQ931" s="8"/>
      <c r="AR931" s="8"/>
      <c r="AS931" s="11"/>
      <c r="AT931" s="11"/>
      <c r="AU931" s="11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11"/>
      <c r="AN932" s="11"/>
      <c r="AO932" s="8"/>
      <c r="AP932" s="8"/>
      <c r="AQ932" s="8"/>
      <c r="AR932" s="8"/>
      <c r="AS932" s="11"/>
      <c r="AT932" s="11"/>
      <c r="AU932" s="11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11"/>
      <c r="AN933" s="11"/>
      <c r="AO933" s="8"/>
      <c r="AP933" s="8"/>
      <c r="AQ933" s="8"/>
      <c r="AR933" s="8"/>
      <c r="AS933" s="11"/>
      <c r="AT933" s="11"/>
      <c r="AU933" s="11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11"/>
      <c r="AN934" s="11"/>
      <c r="AO934" s="8"/>
      <c r="AP934" s="8"/>
      <c r="AQ934" s="8"/>
      <c r="AR934" s="8"/>
      <c r="AS934" s="11"/>
      <c r="AT934" s="11"/>
      <c r="AU934" s="11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11"/>
      <c r="AN935" s="11"/>
      <c r="AO935" s="8"/>
      <c r="AP935" s="8"/>
      <c r="AQ935" s="8"/>
      <c r="AR935" s="8"/>
      <c r="AS935" s="11"/>
      <c r="AT935" s="11"/>
      <c r="AU935" s="11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11"/>
      <c r="AN936" s="11"/>
      <c r="AO936" s="8"/>
      <c r="AP936" s="8"/>
      <c r="AQ936" s="8"/>
      <c r="AR936" s="8"/>
      <c r="AS936" s="11"/>
      <c r="AT936" s="11"/>
      <c r="AU936" s="11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11"/>
      <c r="AN937" s="11"/>
      <c r="AO937" s="8"/>
      <c r="AP937" s="8"/>
      <c r="AQ937" s="8"/>
      <c r="AR937" s="8"/>
      <c r="AS937" s="11"/>
      <c r="AT937" s="11"/>
      <c r="AU937" s="11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11"/>
      <c r="AN938" s="11"/>
      <c r="AO938" s="8"/>
      <c r="AP938" s="8"/>
      <c r="AQ938" s="8"/>
      <c r="AR938" s="8"/>
      <c r="AS938" s="11"/>
      <c r="AT938" s="11"/>
      <c r="AU938" s="11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11"/>
      <c r="AN939" s="11"/>
      <c r="AO939" s="8"/>
      <c r="AP939" s="8"/>
      <c r="AQ939" s="8"/>
      <c r="AR939" s="8"/>
      <c r="AS939" s="11"/>
      <c r="AT939" s="11"/>
      <c r="AU939" s="11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11"/>
      <c r="AN940" s="11"/>
      <c r="AO940" s="8"/>
      <c r="AP940" s="8"/>
      <c r="AQ940" s="8"/>
      <c r="AR940" s="8"/>
      <c r="AS940" s="11"/>
      <c r="AT940" s="11"/>
      <c r="AU940" s="11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11"/>
      <c r="AN941" s="11"/>
      <c r="AO941" s="8"/>
      <c r="AP941" s="8"/>
      <c r="AQ941" s="8"/>
      <c r="AR941" s="8"/>
      <c r="AS941" s="11"/>
      <c r="AT941" s="11"/>
      <c r="AU941" s="11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11"/>
      <c r="AN942" s="11"/>
      <c r="AO942" s="8"/>
      <c r="AP942" s="8"/>
      <c r="AQ942" s="8"/>
      <c r="AR942" s="8"/>
      <c r="AS942" s="11"/>
      <c r="AT942" s="11"/>
      <c r="AU942" s="11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11"/>
      <c r="AN943" s="11"/>
      <c r="AO943" s="8"/>
      <c r="AP943" s="8"/>
      <c r="AQ943" s="8"/>
      <c r="AR943" s="8"/>
      <c r="AS943" s="11"/>
      <c r="AT943" s="11"/>
      <c r="AU943" s="11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11"/>
      <c r="AN944" s="11"/>
      <c r="AO944" s="8"/>
      <c r="AP944" s="8"/>
      <c r="AQ944" s="8"/>
      <c r="AR944" s="8"/>
      <c r="AS944" s="11"/>
      <c r="AT944" s="11"/>
      <c r="AU944" s="11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11"/>
      <c r="AN945" s="11"/>
      <c r="AO945" s="8"/>
      <c r="AP945" s="8"/>
      <c r="AQ945" s="8"/>
      <c r="AR945" s="8"/>
      <c r="AS945" s="11"/>
      <c r="AT945" s="11"/>
      <c r="AU945" s="11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11"/>
      <c r="AN946" s="11"/>
      <c r="AO946" s="8"/>
      <c r="AP946" s="8"/>
      <c r="AQ946" s="8"/>
      <c r="AR946" s="8"/>
      <c r="AS946" s="11"/>
      <c r="AT946" s="11"/>
      <c r="AU946" s="11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11"/>
      <c r="AN947" s="11"/>
      <c r="AO947" s="8"/>
      <c r="AP947" s="8"/>
      <c r="AQ947" s="8"/>
      <c r="AR947" s="8"/>
      <c r="AS947" s="11"/>
      <c r="AT947" s="11"/>
      <c r="AU947" s="11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11"/>
      <c r="AN948" s="11"/>
      <c r="AO948" s="8"/>
      <c r="AP948" s="8"/>
      <c r="AQ948" s="8"/>
      <c r="AR948" s="8"/>
      <c r="AS948" s="11"/>
      <c r="AT948" s="11"/>
      <c r="AU948" s="11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11"/>
      <c r="AN949" s="11"/>
      <c r="AO949" s="8"/>
      <c r="AP949" s="8"/>
      <c r="AQ949" s="8"/>
      <c r="AR949" s="8"/>
      <c r="AS949" s="11"/>
      <c r="AT949" s="11"/>
      <c r="AU949" s="11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11"/>
      <c r="AN950" s="11"/>
      <c r="AO950" s="8"/>
      <c r="AP950" s="8"/>
      <c r="AQ950" s="8"/>
      <c r="AR950" s="8"/>
      <c r="AS950" s="11"/>
      <c r="AT950" s="11"/>
      <c r="AU950" s="11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11"/>
      <c r="AN951" s="11"/>
      <c r="AO951" s="8"/>
      <c r="AP951" s="8"/>
      <c r="AQ951" s="8"/>
      <c r="AR951" s="8"/>
      <c r="AS951" s="11"/>
      <c r="AT951" s="11"/>
      <c r="AU951" s="11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11"/>
      <c r="AN952" s="11"/>
      <c r="AO952" s="8"/>
      <c r="AP952" s="8"/>
      <c r="AQ952" s="8"/>
      <c r="AR952" s="8"/>
      <c r="AS952" s="11"/>
      <c r="AT952" s="11"/>
      <c r="AU952" s="11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11"/>
      <c r="AN953" s="11"/>
      <c r="AO953" s="8"/>
      <c r="AP953" s="8"/>
      <c r="AQ953" s="8"/>
      <c r="AR953" s="8"/>
      <c r="AS953" s="11"/>
      <c r="AT953" s="11"/>
      <c r="AU953" s="11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11"/>
      <c r="AN954" s="11"/>
      <c r="AO954" s="8"/>
      <c r="AP954" s="8"/>
      <c r="AQ954" s="8"/>
      <c r="AR954" s="8"/>
      <c r="AS954" s="11"/>
      <c r="AT954" s="11"/>
      <c r="AU954" s="11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11"/>
      <c r="AN955" s="11"/>
      <c r="AO955" s="8"/>
      <c r="AP955" s="8"/>
      <c r="AQ955" s="8"/>
      <c r="AR955" s="8"/>
      <c r="AS955" s="11"/>
      <c r="AT955" s="11"/>
      <c r="AU955" s="11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11"/>
      <c r="AN956" s="11"/>
      <c r="AO956" s="8"/>
      <c r="AP956" s="8"/>
      <c r="AQ956" s="8"/>
      <c r="AR956" s="8"/>
      <c r="AS956" s="11"/>
      <c r="AT956" s="11"/>
      <c r="AU956" s="11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11"/>
      <c r="AN957" s="11"/>
      <c r="AO957" s="8"/>
      <c r="AP957" s="8"/>
      <c r="AQ957" s="8"/>
      <c r="AR957" s="8"/>
      <c r="AS957" s="11"/>
      <c r="AT957" s="11"/>
      <c r="AU957" s="11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11"/>
      <c r="AN958" s="11"/>
      <c r="AO958" s="8"/>
      <c r="AP958" s="8"/>
      <c r="AQ958" s="8"/>
      <c r="AR958" s="8"/>
      <c r="AS958" s="11"/>
      <c r="AT958" s="11"/>
      <c r="AU958" s="11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11"/>
      <c r="AN959" s="11"/>
      <c r="AO959" s="8"/>
      <c r="AP959" s="8"/>
      <c r="AQ959" s="8"/>
      <c r="AR959" s="8"/>
      <c r="AS959" s="11"/>
      <c r="AT959" s="11"/>
      <c r="AU959" s="11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11"/>
      <c r="AN960" s="11"/>
      <c r="AO960" s="8"/>
      <c r="AP960" s="8"/>
      <c r="AQ960" s="8"/>
      <c r="AR960" s="8"/>
      <c r="AS960" s="11"/>
      <c r="AT960" s="11"/>
      <c r="AU960" s="11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11"/>
      <c r="AN961" s="11"/>
      <c r="AO961" s="8"/>
      <c r="AP961" s="8"/>
      <c r="AQ961" s="8"/>
      <c r="AR961" s="8"/>
      <c r="AS961" s="11"/>
      <c r="AT961" s="11"/>
      <c r="AU961" s="11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11"/>
      <c r="AN962" s="11"/>
      <c r="AO962" s="8"/>
      <c r="AP962" s="8"/>
      <c r="AQ962" s="8"/>
      <c r="AR962" s="8"/>
      <c r="AS962" s="11"/>
      <c r="AT962" s="11"/>
      <c r="AU962" s="11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11"/>
      <c r="AN963" s="11"/>
      <c r="AO963" s="8"/>
      <c r="AP963" s="8"/>
      <c r="AQ963" s="8"/>
      <c r="AR963" s="8"/>
      <c r="AS963" s="11"/>
      <c r="AT963" s="11"/>
      <c r="AU963" s="11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11"/>
      <c r="AN964" s="11"/>
      <c r="AO964" s="8"/>
      <c r="AP964" s="8"/>
      <c r="AQ964" s="8"/>
      <c r="AR964" s="8"/>
      <c r="AS964" s="11"/>
      <c r="AT964" s="11"/>
      <c r="AU964" s="11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11"/>
      <c r="AN965" s="11"/>
      <c r="AO965" s="8"/>
      <c r="AP965" s="8"/>
      <c r="AQ965" s="8"/>
      <c r="AR965" s="8"/>
      <c r="AS965" s="11"/>
      <c r="AT965" s="11"/>
      <c r="AU965" s="11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11"/>
      <c r="AN966" s="11"/>
      <c r="AO966" s="8"/>
      <c r="AP966" s="8"/>
      <c r="AQ966" s="8"/>
      <c r="AR966" s="8"/>
      <c r="AS966" s="11"/>
      <c r="AT966" s="11"/>
      <c r="AU966" s="11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11"/>
      <c r="AN967" s="11"/>
      <c r="AO967" s="8"/>
      <c r="AP967" s="8"/>
      <c r="AQ967" s="8"/>
      <c r="AR967" s="8"/>
      <c r="AS967" s="11"/>
      <c r="AT967" s="11"/>
      <c r="AU967" s="11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11"/>
      <c r="AN968" s="11"/>
      <c r="AO968" s="8"/>
      <c r="AP968" s="8"/>
      <c r="AQ968" s="8"/>
      <c r="AR968" s="8"/>
      <c r="AS968" s="11"/>
      <c r="AT968" s="11"/>
      <c r="AU968" s="11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11"/>
      <c r="AN969" s="11"/>
      <c r="AO969" s="8"/>
      <c r="AP969" s="8"/>
      <c r="AQ969" s="8"/>
      <c r="AR969" s="8"/>
      <c r="AS969" s="11"/>
      <c r="AT969" s="11"/>
      <c r="AU969" s="11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11"/>
      <c r="AN970" s="11"/>
      <c r="AO970" s="8"/>
      <c r="AP970" s="8"/>
      <c r="AQ970" s="8"/>
      <c r="AR970" s="8"/>
      <c r="AS970" s="11"/>
      <c r="AT970" s="11"/>
      <c r="AU970" s="11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11"/>
      <c r="AN971" s="11"/>
      <c r="AO971" s="8"/>
      <c r="AP971" s="8"/>
      <c r="AQ971" s="8"/>
      <c r="AR971" s="8"/>
      <c r="AS971" s="11"/>
      <c r="AT971" s="11"/>
      <c r="AU971" s="11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11"/>
      <c r="AN972" s="11"/>
      <c r="AO972" s="8"/>
      <c r="AP972" s="8"/>
      <c r="AQ972" s="8"/>
      <c r="AR972" s="8"/>
      <c r="AS972" s="11"/>
      <c r="AT972" s="11"/>
      <c r="AU972" s="11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11"/>
      <c r="AN973" s="11"/>
      <c r="AO973" s="8"/>
      <c r="AP973" s="8"/>
      <c r="AQ973" s="8"/>
      <c r="AR973" s="8"/>
      <c r="AS973" s="11"/>
      <c r="AT973" s="11"/>
      <c r="AU973" s="11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11"/>
      <c r="AN974" s="11"/>
      <c r="AO974" s="8"/>
      <c r="AP974" s="8"/>
      <c r="AQ974" s="8"/>
      <c r="AR974" s="8"/>
      <c r="AS974" s="11"/>
      <c r="AT974" s="11"/>
      <c r="AU974" s="11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11"/>
      <c r="AN975" s="11"/>
      <c r="AO975" s="8"/>
      <c r="AP975" s="8"/>
      <c r="AQ975" s="8"/>
      <c r="AR975" s="8"/>
      <c r="AS975" s="11"/>
      <c r="AT975" s="11"/>
      <c r="AU975" s="11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11"/>
      <c r="AN976" s="11"/>
      <c r="AO976" s="8"/>
      <c r="AP976" s="8"/>
      <c r="AQ976" s="8"/>
      <c r="AR976" s="8"/>
      <c r="AS976" s="11"/>
      <c r="AT976" s="11"/>
      <c r="AU976" s="11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11"/>
      <c r="AN977" s="11"/>
      <c r="AO977" s="8"/>
      <c r="AP977" s="8"/>
      <c r="AQ977" s="8"/>
      <c r="AR977" s="8"/>
      <c r="AS977" s="11"/>
      <c r="AT977" s="11"/>
      <c r="AU977" s="11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11"/>
      <c r="AN978" s="11"/>
      <c r="AO978" s="8"/>
      <c r="AP978" s="8"/>
      <c r="AQ978" s="8"/>
      <c r="AR978" s="8"/>
      <c r="AS978" s="11"/>
      <c r="AT978" s="11"/>
      <c r="AU978" s="11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11"/>
      <c r="AN979" s="11"/>
      <c r="AO979" s="8"/>
      <c r="AP979" s="8"/>
      <c r="AQ979" s="8"/>
      <c r="AR979" s="8"/>
      <c r="AS979" s="11"/>
      <c r="AT979" s="11"/>
      <c r="AU979" s="11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11"/>
      <c r="AN980" s="11"/>
      <c r="AO980" s="8"/>
      <c r="AP980" s="8"/>
      <c r="AQ980" s="8"/>
      <c r="AR980" s="8"/>
      <c r="AS980" s="11"/>
      <c r="AT980" s="11"/>
      <c r="AU980" s="11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11"/>
      <c r="AN981" s="11"/>
      <c r="AO981" s="8"/>
      <c r="AP981" s="8"/>
      <c r="AQ981" s="8"/>
      <c r="AR981" s="8"/>
      <c r="AS981" s="11"/>
      <c r="AT981" s="11"/>
      <c r="AU981" s="11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11"/>
      <c r="AN982" s="11"/>
      <c r="AO982" s="8"/>
      <c r="AP982" s="8"/>
      <c r="AQ982" s="8"/>
      <c r="AR982" s="8"/>
      <c r="AS982" s="11"/>
      <c r="AT982" s="11"/>
      <c r="AU982" s="11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11"/>
      <c r="AN983" s="11"/>
      <c r="AO983" s="8"/>
      <c r="AP983" s="8"/>
      <c r="AQ983" s="8"/>
      <c r="AR983" s="8"/>
      <c r="AS983" s="11"/>
      <c r="AT983" s="11"/>
      <c r="AU983" s="11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11"/>
      <c r="AN984" s="11"/>
      <c r="AO984" s="8"/>
      <c r="AP984" s="8"/>
      <c r="AQ984" s="8"/>
      <c r="AR984" s="8"/>
      <c r="AS984" s="11"/>
      <c r="AT984" s="11"/>
      <c r="AU984" s="11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11"/>
      <c r="AN985" s="11"/>
      <c r="AO985" s="8"/>
      <c r="AP985" s="8"/>
      <c r="AQ985" s="8"/>
      <c r="AR985" s="8"/>
      <c r="AS985" s="11"/>
      <c r="AT985" s="11"/>
      <c r="AU985" s="11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11"/>
      <c r="AN986" s="11"/>
      <c r="AO986" s="8"/>
      <c r="AP986" s="8"/>
      <c r="AQ986" s="8"/>
      <c r="AR986" s="8"/>
      <c r="AS986" s="11"/>
      <c r="AT986" s="11"/>
      <c r="AU986" s="11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11"/>
      <c r="AN987" s="11"/>
      <c r="AO987" s="8"/>
      <c r="AP987" s="8"/>
      <c r="AQ987" s="8"/>
      <c r="AR987" s="8"/>
      <c r="AS987" s="11"/>
      <c r="AT987" s="11"/>
      <c r="AU987" s="11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11"/>
      <c r="AN988" s="11"/>
      <c r="AO988" s="8"/>
      <c r="AP988" s="8"/>
      <c r="AQ988" s="8"/>
      <c r="AR988" s="8"/>
      <c r="AS988" s="11"/>
      <c r="AT988" s="11"/>
      <c r="AU988" s="11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11"/>
      <c r="AN989" s="11"/>
      <c r="AO989" s="8"/>
      <c r="AP989" s="8"/>
      <c r="AQ989" s="8"/>
      <c r="AR989" s="8"/>
      <c r="AS989" s="11"/>
      <c r="AT989" s="11"/>
      <c r="AU989" s="11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11"/>
      <c r="AN990" s="11"/>
      <c r="AO990" s="8"/>
      <c r="AP990" s="8"/>
      <c r="AQ990" s="8"/>
      <c r="AR990" s="8"/>
      <c r="AS990" s="11"/>
      <c r="AT990" s="11"/>
      <c r="AU990" s="11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11"/>
      <c r="AN991" s="11"/>
      <c r="AO991" s="8"/>
      <c r="AP991" s="8"/>
      <c r="AQ991" s="8"/>
      <c r="AR991" s="8"/>
      <c r="AS991" s="11"/>
      <c r="AT991" s="11"/>
      <c r="AU991" s="11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11"/>
      <c r="AN992" s="11"/>
      <c r="AO992" s="8"/>
      <c r="AP992" s="8"/>
      <c r="AQ992" s="8"/>
      <c r="AR992" s="8"/>
      <c r="AS992" s="11"/>
      <c r="AT992" s="11"/>
      <c r="AU992" s="11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11"/>
      <c r="AN993" s="11"/>
      <c r="AO993" s="8"/>
      <c r="AP993" s="8"/>
      <c r="AQ993" s="8"/>
      <c r="AR993" s="8"/>
      <c r="AS993" s="11"/>
      <c r="AT993" s="11"/>
      <c r="AU993" s="11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11"/>
      <c r="AN994" s="11"/>
      <c r="AO994" s="8"/>
      <c r="AP994" s="8"/>
      <c r="AQ994" s="8"/>
      <c r="AR994" s="8"/>
      <c r="AS994" s="11"/>
      <c r="AT994" s="11"/>
      <c r="AU994" s="11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11"/>
      <c r="AN995" s="11"/>
      <c r="AO995" s="8"/>
      <c r="AP995" s="8"/>
      <c r="AQ995" s="8"/>
      <c r="AR995" s="8"/>
      <c r="AS995" s="11"/>
      <c r="AT995" s="11"/>
      <c r="AU995" s="11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11"/>
      <c r="AN996" s="11"/>
      <c r="AO996" s="8"/>
      <c r="AP996" s="8"/>
      <c r="AQ996" s="8"/>
      <c r="AR996" s="8"/>
      <c r="AS996" s="11"/>
      <c r="AT996" s="11"/>
      <c r="AU996" s="11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11"/>
      <c r="AN997" s="11"/>
      <c r="AO997" s="8"/>
      <c r="AP997" s="8"/>
      <c r="AQ997" s="8"/>
      <c r="AR997" s="8"/>
      <c r="AS997" s="11"/>
      <c r="AT997" s="11"/>
      <c r="AU997" s="11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11"/>
      <c r="AN998" s="11"/>
      <c r="AO998" s="8"/>
      <c r="AP998" s="8"/>
      <c r="AQ998" s="8"/>
      <c r="AR998" s="8"/>
      <c r="AS998" s="11"/>
      <c r="AT998" s="11"/>
      <c r="AU998" s="11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11"/>
      <c r="AN999" s="11"/>
      <c r="AO999" s="8"/>
      <c r="AP999" s="8"/>
      <c r="AQ999" s="8"/>
      <c r="AR999" s="8"/>
      <c r="AS999" s="11"/>
      <c r="AT999" s="11"/>
      <c r="AU999" s="11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11"/>
      <c r="AN1000" s="11"/>
      <c r="AO1000" s="8"/>
      <c r="AP1000" s="8"/>
      <c r="AQ1000" s="8"/>
      <c r="AR1000" s="8"/>
      <c r="AS1000" s="11"/>
      <c r="AT1000" s="11"/>
      <c r="AU1000" s="11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11"/>
      <c r="AN1001" s="11"/>
      <c r="AO1001" s="8"/>
      <c r="AP1001" s="8"/>
      <c r="AQ1001" s="8"/>
      <c r="AR1001" s="8"/>
      <c r="AS1001" s="11"/>
      <c r="AT1001" s="11"/>
      <c r="AU1001" s="11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11"/>
      <c r="AN1002" s="11"/>
      <c r="AO1002" s="8"/>
      <c r="AP1002" s="8"/>
      <c r="AQ1002" s="8"/>
      <c r="AR1002" s="8"/>
      <c r="AS1002" s="11"/>
      <c r="AT1002" s="11"/>
      <c r="AU1002" s="11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11"/>
      <c r="AN1003" s="11"/>
      <c r="AO1003" s="8"/>
      <c r="AP1003" s="8"/>
      <c r="AQ1003" s="8"/>
      <c r="AR1003" s="8"/>
      <c r="AS1003" s="11"/>
      <c r="AT1003" s="11"/>
      <c r="AU1003" s="11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11"/>
      <c r="AN1004" s="11"/>
      <c r="AO1004" s="8"/>
      <c r="AP1004" s="8"/>
      <c r="AQ1004" s="8"/>
      <c r="AR1004" s="8"/>
      <c r="AS1004" s="11"/>
      <c r="AT1004" s="11"/>
      <c r="AU1004" s="11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11"/>
      <c r="AN1005" s="11"/>
      <c r="AO1005" s="8"/>
      <c r="AP1005" s="8"/>
      <c r="AQ1005" s="8"/>
      <c r="AR1005" s="8"/>
      <c r="AS1005" s="11"/>
      <c r="AT1005" s="11"/>
      <c r="AU1005" s="11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11"/>
      <c r="AN1006" s="11"/>
      <c r="AO1006" s="8"/>
      <c r="AP1006" s="8"/>
      <c r="AQ1006" s="8"/>
      <c r="AR1006" s="8"/>
      <c r="AS1006" s="11"/>
      <c r="AT1006" s="11"/>
      <c r="AU1006" s="11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11"/>
      <c r="AN1007" s="11"/>
      <c r="AO1007" s="8"/>
      <c r="AP1007" s="8"/>
      <c r="AQ1007" s="8"/>
      <c r="AR1007" s="8"/>
      <c r="AS1007" s="11"/>
      <c r="AT1007" s="11"/>
      <c r="AU1007" s="11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11"/>
      <c r="AN1008" s="11"/>
      <c r="AO1008" s="8"/>
      <c r="AP1008" s="8"/>
      <c r="AQ1008" s="8"/>
      <c r="AR1008" s="8"/>
      <c r="AS1008" s="11"/>
      <c r="AT1008" s="11"/>
      <c r="AU1008" s="11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11"/>
      <c r="AN1009" s="11"/>
      <c r="AO1009" s="8"/>
      <c r="AP1009" s="8"/>
      <c r="AQ1009" s="8"/>
      <c r="AR1009" s="8"/>
      <c r="AS1009" s="11"/>
      <c r="AT1009" s="11"/>
      <c r="AU1009" s="11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11"/>
      <c r="AN1010" s="11"/>
      <c r="AO1010" s="8"/>
      <c r="AP1010" s="8"/>
      <c r="AQ1010" s="8"/>
      <c r="AR1010" s="8"/>
      <c r="AS1010" s="11"/>
      <c r="AT1010" s="11"/>
      <c r="AU1010" s="11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11"/>
      <c r="AN1011" s="11"/>
      <c r="AO1011" s="8"/>
      <c r="AP1011" s="8"/>
      <c r="AQ1011" s="8"/>
      <c r="AR1011" s="8"/>
      <c r="AS1011" s="11"/>
      <c r="AT1011" s="11"/>
      <c r="AU1011" s="11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11"/>
      <c r="AN1012" s="11"/>
      <c r="AO1012" s="8"/>
      <c r="AP1012" s="8"/>
      <c r="AQ1012" s="8"/>
      <c r="AR1012" s="8"/>
      <c r="AS1012" s="11"/>
      <c r="AT1012" s="11"/>
      <c r="AU1012" s="11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11"/>
      <c r="AN1013" s="11"/>
      <c r="AO1013" s="8"/>
      <c r="AP1013" s="8"/>
      <c r="AQ1013" s="8"/>
      <c r="AR1013" s="8"/>
      <c r="AS1013" s="11"/>
      <c r="AT1013" s="11"/>
      <c r="AU1013" s="11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11"/>
      <c r="AN1014" s="11"/>
      <c r="AO1014" s="8"/>
      <c r="AP1014" s="8"/>
      <c r="AQ1014" s="8"/>
      <c r="AR1014" s="8"/>
      <c r="AS1014" s="11"/>
      <c r="AT1014" s="11"/>
      <c r="AU1014" s="11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11"/>
      <c r="AN1015" s="11"/>
      <c r="AO1015" s="8"/>
      <c r="AP1015" s="8"/>
      <c r="AQ1015" s="8"/>
      <c r="AR1015" s="8"/>
      <c r="AS1015" s="11"/>
      <c r="AT1015" s="11"/>
      <c r="AU1015" s="11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11"/>
      <c r="AN1016" s="11"/>
      <c r="AO1016" s="8"/>
      <c r="AP1016" s="8"/>
      <c r="AQ1016" s="8"/>
      <c r="AR1016" s="8"/>
      <c r="AS1016" s="11"/>
      <c r="AT1016" s="11"/>
      <c r="AU1016" s="11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11"/>
      <c r="AN1017" s="11"/>
      <c r="AO1017" s="8"/>
      <c r="AP1017" s="8"/>
      <c r="AQ1017" s="8"/>
      <c r="AR1017" s="8"/>
      <c r="AS1017" s="11"/>
      <c r="AT1017" s="11"/>
      <c r="AU1017" s="11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11"/>
      <c r="AN1018" s="11"/>
      <c r="AO1018" s="8"/>
      <c r="AP1018" s="8"/>
      <c r="AQ1018" s="8"/>
      <c r="AR1018" s="8"/>
      <c r="AS1018" s="11"/>
      <c r="AT1018" s="11"/>
      <c r="AU1018" s="11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11"/>
      <c r="AN1019" s="11"/>
      <c r="AO1019" s="8"/>
      <c r="AP1019" s="8"/>
      <c r="AQ1019" s="8"/>
      <c r="AR1019" s="8"/>
      <c r="AS1019" s="11"/>
      <c r="AT1019" s="11"/>
      <c r="AU1019" s="11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11"/>
      <c r="AN1020" s="11"/>
      <c r="AO1020" s="8"/>
      <c r="AP1020" s="8"/>
      <c r="AQ1020" s="8"/>
      <c r="AR1020" s="8"/>
      <c r="AS1020" s="11"/>
      <c r="AT1020" s="11"/>
      <c r="AU1020" s="11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11"/>
      <c r="AN1021" s="11"/>
      <c r="AO1021" s="8"/>
      <c r="AP1021" s="8"/>
      <c r="AQ1021" s="8"/>
      <c r="AR1021" s="8"/>
      <c r="AS1021" s="11"/>
      <c r="AT1021" s="11"/>
      <c r="AU1021" s="11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11"/>
      <c r="AN1022" s="11"/>
      <c r="AO1022" s="8"/>
      <c r="AP1022" s="8"/>
      <c r="AQ1022" s="8"/>
      <c r="AR1022" s="8"/>
      <c r="AS1022" s="11"/>
      <c r="AT1022" s="11"/>
      <c r="AU1022" s="11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11"/>
      <c r="AN1023" s="11"/>
      <c r="AO1023" s="8"/>
      <c r="AP1023" s="8"/>
      <c r="AQ1023" s="8"/>
      <c r="AR1023" s="8"/>
      <c r="AS1023" s="11"/>
      <c r="AT1023" s="11"/>
      <c r="AU1023" s="11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11"/>
      <c r="AN1024" s="11"/>
      <c r="AO1024" s="8"/>
      <c r="AP1024" s="8"/>
      <c r="AQ1024" s="8"/>
      <c r="AR1024" s="8"/>
      <c r="AS1024" s="11"/>
      <c r="AT1024" s="11"/>
      <c r="AU1024" s="11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11"/>
      <c r="AN1025" s="11"/>
      <c r="AO1025" s="8"/>
      <c r="AP1025" s="8"/>
      <c r="AQ1025" s="8"/>
      <c r="AR1025" s="8"/>
      <c r="AS1025" s="11"/>
      <c r="AT1025" s="11"/>
      <c r="AU1025" s="11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11"/>
      <c r="AN1026" s="11"/>
      <c r="AO1026" s="8"/>
      <c r="AP1026" s="8"/>
      <c r="AQ1026" s="8"/>
      <c r="AR1026" s="8"/>
      <c r="AS1026" s="11"/>
      <c r="AT1026" s="11"/>
      <c r="AU1026" s="11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11"/>
      <c r="AN1027" s="11"/>
      <c r="AO1027" s="8"/>
      <c r="AP1027" s="8"/>
      <c r="AQ1027" s="8"/>
      <c r="AR1027" s="8"/>
      <c r="AS1027" s="11"/>
      <c r="AT1027" s="11"/>
      <c r="AU1027" s="11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11"/>
      <c r="AN1028" s="11"/>
      <c r="AO1028" s="8"/>
      <c r="AP1028" s="8"/>
      <c r="AQ1028" s="8"/>
      <c r="AR1028" s="8"/>
      <c r="AS1028" s="11"/>
      <c r="AT1028" s="11"/>
      <c r="AU1028" s="11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11"/>
      <c r="AN1029" s="11"/>
      <c r="AO1029" s="8"/>
      <c r="AP1029" s="8"/>
      <c r="AQ1029" s="8"/>
      <c r="AR1029" s="8"/>
      <c r="AS1029" s="11"/>
      <c r="AT1029" s="11"/>
      <c r="AU1029" s="11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11"/>
      <c r="AN1030" s="11"/>
      <c r="AO1030" s="8"/>
      <c r="AP1030" s="8"/>
      <c r="AQ1030" s="8"/>
      <c r="AR1030" s="8"/>
      <c r="AS1030" s="11"/>
      <c r="AT1030" s="11"/>
      <c r="AU1030" s="11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11"/>
      <c r="AN1031" s="11"/>
      <c r="AO1031" s="8"/>
      <c r="AP1031" s="8"/>
      <c r="AQ1031" s="8"/>
      <c r="AR1031" s="8"/>
      <c r="AS1031" s="11"/>
      <c r="AT1031" s="11"/>
      <c r="AU1031" s="11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11"/>
      <c r="AN1032" s="11"/>
      <c r="AO1032" s="8"/>
      <c r="AP1032" s="8"/>
      <c r="AQ1032" s="8"/>
      <c r="AR1032" s="8"/>
      <c r="AS1032" s="11"/>
      <c r="AT1032" s="11"/>
      <c r="AU1032" s="11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11"/>
      <c r="AN1033" s="11"/>
      <c r="AO1033" s="8"/>
      <c r="AP1033" s="8"/>
      <c r="AQ1033" s="8"/>
      <c r="AR1033" s="8"/>
      <c r="AS1033" s="11"/>
      <c r="AT1033" s="11"/>
      <c r="AU1033" s="11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11"/>
      <c r="AN1034" s="11"/>
      <c r="AO1034" s="8"/>
      <c r="AP1034" s="8"/>
      <c r="AQ1034" s="8"/>
      <c r="AR1034" s="8"/>
      <c r="AS1034" s="11"/>
      <c r="AT1034" s="11"/>
      <c r="AU1034" s="11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11"/>
      <c r="AN1035" s="11"/>
      <c r="AO1035" s="8"/>
      <c r="AP1035" s="8"/>
      <c r="AQ1035" s="8"/>
      <c r="AR1035" s="8"/>
      <c r="AS1035" s="11"/>
      <c r="AT1035" s="11"/>
      <c r="AU1035" s="11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11"/>
      <c r="AN1036" s="11"/>
      <c r="AO1036" s="8"/>
      <c r="AP1036" s="8"/>
      <c r="AQ1036" s="8"/>
      <c r="AR1036" s="8"/>
      <c r="AS1036" s="11"/>
      <c r="AT1036" s="11"/>
      <c r="AU1036" s="11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11"/>
      <c r="AN1037" s="11"/>
      <c r="AO1037" s="8"/>
      <c r="AP1037" s="8"/>
      <c r="AQ1037" s="8"/>
      <c r="AR1037" s="8"/>
      <c r="AS1037" s="11"/>
      <c r="AT1037" s="11"/>
      <c r="AU1037" s="11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11"/>
      <c r="AN1038" s="11"/>
      <c r="AO1038" s="8"/>
      <c r="AP1038" s="8"/>
      <c r="AQ1038" s="8"/>
      <c r="AR1038" s="8"/>
      <c r="AS1038" s="11"/>
      <c r="AT1038" s="11"/>
      <c r="AU1038" s="11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11"/>
      <c r="AN1039" s="11"/>
      <c r="AO1039" s="8"/>
      <c r="AP1039" s="8"/>
      <c r="AQ1039" s="8"/>
      <c r="AR1039" s="8"/>
      <c r="AS1039" s="11"/>
      <c r="AT1039" s="11"/>
      <c r="AU1039" s="11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11"/>
      <c r="AN1040" s="11"/>
      <c r="AO1040" s="8"/>
      <c r="AP1040" s="8"/>
      <c r="AQ1040" s="8"/>
      <c r="AR1040" s="8"/>
      <c r="AS1040" s="11"/>
      <c r="AT1040" s="11"/>
      <c r="AU1040" s="11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11"/>
      <c r="AN1041" s="11"/>
      <c r="AO1041" s="8"/>
      <c r="AP1041" s="8"/>
      <c r="AQ1041" s="8"/>
      <c r="AR1041" s="8"/>
      <c r="AS1041" s="11"/>
      <c r="AT1041" s="11"/>
      <c r="AU1041" s="11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11"/>
      <c r="AN1042" s="11"/>
      <c r="AO1042" s="8"/>
      <c r="AP1042" s="8"/>
      <c r="AQ1042" s="8"/>
      <c r="AR1042" s="8"/>
      <c r="AS1042" s="11"/>
      <c r="AT1042" s="11"/>
      <c r="AU1042" s="11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11"/>
      <c r="AN1043" s="11"/>
      <c r="AO1043" s="8"/>
      <c r="AP1043" s="8"/>
      <c r="AQ1043" s="8"/>
      <c r="AR1043" s="8"/>
      <c r="AS1043" s="11"/>
      <c r="AT1043" s="11"/>
      <c r="AU1043" s="11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11"/>
      <c r="AN1044" s="11"/>
      <c r="AO1044" s="8"/>
      <c r="AP1044" s="8"/>
      <c r="AQ1044" s="8"/>
      <c r="AR1044" s="8"/>
      <c r="AS1044" s="11"/>
      <c r="AT1044" s="11"/>
      <c r="AU1044" s="11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11"/>
      <c r="AN1045" s="11"/>
      <c r="AO1045" s="8"/>
      <c r="AP1045" s="8"/>
      <c r="AQ1045" s="8"/>
      <c r="AR1045" s="8"/>
      <c r="AS1045" s="11"/>
      <c r="AT1045" s="11"/>
      <c r="AU1045" s="11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11"/>
      <c r="AN1046" s="11"/>
      <c r="AO1046" s="8"/>
      <c r="AP1046" s="8"/>
      <c r="AQ1046" s="8"/>
      <c r="AR1046" s="8"/>
      <c r="AS1046" s="11"/>
      <c r="AT1046" s="11"/>
      <c r="AU1046" s="11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11"/>
      <c r="AN1047" s="11"/>
      <c r="AO1047" s="8"/>
      <c r="AP1047" s="8"/>
      <c r="AQ1047" s="8"/>
      <c r="AR1047" s="8"/>
      <c r="AS1047" s="11"/>
      <c r="AT1047" s="11"/>
      <c r="AU1047" s="11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11"/>
      <c r="AN1048" s="11"/>
      <c r="AO1048" s="8"/>
      <c r="AP1048" s="8"/>
      <c r="AQ1048" s="8"/>
      <c r="AR1048" s="8"/>
      <c r="AS1048" s="11"/>
      <c r="AT1048" s="11"/>
      <c r="AU1048" s="11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11"/>
      <c r="AN1049" s="11"/>
      <c r="AO1049" s="8"/>
      <c r="AP1049" s="8"/>
      <c r="AQ1049" s="8"/>
      <c r="AR1049" s="8"/>
      <c r="AS1049" s="11"/>
      <c r="AT1049" s="11"/>
      <c r="AU1049" s="11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11"/>
      <c r="AN1050" s="11"/>
      <c r="AO1050" s="8"/>
      <c r="AP1050" s="8"/>
      <c r="AQ1050" s="8"/>
      <c r="AR1050" s="8"/>
      <c r="AS1050" s="11"/>
      <c r="AT1050" s="11"/>
      <c r="AU1050" s="11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11"/>
      <c r="AN1051" s="11"/>
      <c r="AO1051" s="8"/>
      <c r="AP1051" s="8"/>
      <c r="AQ1051" s="8"/>
      <c r="AR1051" s="8"/>
      <c r="AS1051" s="11"/>
      <c r="AT1051" s="11"/>
      <c r="AU1051" s="11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11"/>
      <c r="AN1052" s="11"/>
      <c r="AO1052" s="8"/>
      <c r="AP1052" s="8"/>
      <c r="AQ1052" s="8"/>
      <c r="AR1052" s="8"/>
      <c r="AS1052" s="11"/>
      <c r="AT1052" s="11"/>
      <c r="AU1052" s="11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11"/>
      <c r="AN1053" s="11"/>
      <c r="AO1053" s="8"/>
      <c r="AP1053" s="8"/>
      <c r="AQ1053" s="8"/>
      <c r="AR1053" s="8"/>
      <c r="AS1053" s="11"/>
      <c r="AT1053" s="11"/>
      <c r="AU1053" s="11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11"/>
      <c r="AN1054" s="11"/>
      <c r="AO1054" s="8"/>
      <c r="AP1054" s="8"/>
      <c r="AQ1054" s="8"/>
      <c r="AR1054" s="8"/>
      <c r="AS1054" s="11"/>
      <c r="AT1054" s="11"/>
      <c r="AU1054" s="11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11"/>
      <c r="AN1055" s="11"/>
      <c r="AO1055" s="8"/>
      <c r="AP1055" s="8"/>
      <c r="AQ1055" s="8"/>
      <c r="AR1055" s="8"/>
      <c r="AS1055" s="11"/>
      <c r="AT1055" s="11"/>
      <c r="AU1055" s="11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11"/>
      <c r="AN1056" s="11"/>
      <c r="AO1056" s="8"/>
      <c r="AP1056" s="8"/>
      <c r="AQ1056" s="8"/>
      <c r="AR1056" s="8"/>
      <c r="AS1056" s="11"/>
      <c r="AT1056" s="11"/>
      <c r="AU1056" s="11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11"/>
      <c r="AN1057" s="11"/>
      <c r="AO1057" s="8"/>
      <c r="AP1057" s="8"/>
      <c r="AQ1057" s="8"/>
      <c r="AR1057" s="8"/>
      <c r="AS1057" s="11"/>
      <c r="AT1057" s="11"/>
      <c r="AU1057" s="11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11"/>
      <c r="AN1058" s="11"/>
      <c r="AO1058" s="8"/>
      <c r="AP1058" s="8"/>
      <c r="AQ1058" s="8"/>
      <c r="AR1058" s="8"/>
      <c r="AS1058" s="11"/>
      <c r="AT1058" s="11"/>
      <c r="AU1058" s="11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11"/>
      <c r="AN1059" s="11"/>
      <c r="AO1059" s="8"/>
      <c r="AP1059" s="8"/>
      <c r="AQ1059" s="8"/>
      <c r="AR1059" s="8"/>
      <c r="AS1059" s="11"/>
      <c r="AT1059" s="11"/>
      <c r="AU1059" s="11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11"/>
      <c r="AN1060" s="11"/>
      <c r="AO1060" s="8"/>
      <c r="AP1060" s="8"/>
      <c r="AQ1060" s="8"/>
      <c r="AR1060" s="8"/>
      <c r="AS1060" s="11"/>
      <c r="AT1060" s="11"/>
      <c r="AU1060" s="11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11"/>
      <c r="AN1061" s="11"/>
      <c r="AO1061" s="8"/>
      <c r="AP1061" s="8"/>
      <c r="AQ1061" s="8"/>
      <c r="AR1061" s="8"/>
      <c r="AS1061" s="11"/>
      <c r="AT1061" s="11"/>
      <c r="AU1061" s="11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11"/>
      <c r="AN1062" s="11"/>
      <c r="AO1062" s="8"/>
      <c r="AP1062" s="8"/>
      <c r="AQ1062" s="8"/>
      <c r="AR1062" s="8"/>
      <c r="AS1062" s="11"/>
      <c r="AT1062" s="11"/>
      <c r="AU1062" s="11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11"/>
      <c r="AN1063" s="11"/>
      <c r="AO1063" s="8"/>
      <c r="AP1063" s="8"/>
      <c r="AQ1063" s="8"/>
      <c r="AR1063" s="8"/>
      <c r="AS1063" s="11"/>
      <c r="AT1063" s="11"/>
      <c r="AU1063" s="11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11"/>
      <c r="AN1064" s="11"/>
      <c r="AO1064" s="8"/>
      <c r="AP1064" s="8"/>
      <c r="AQ1064" s="8"/>
      <c r="AR1064" s="8"/>
      <c r="AS1064" s="11"/>
      <c r="AT1064" s="11"/>
      <c r="AU1064" s="11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11"/>
      <c r="AN1065" s="11"/>
      <c r="AO1065" s="8"/>
      <c r="AP1065" s="8"/>
      <c r="AQ1065" s="8"/>
      <c r="AR1065" s="8"/>
      <c r="AS1065" s="11"/>
      <c r="AT1065" s="11"/>
      <c r="AU1065" s="11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11"/>
      <c r="AN1066" s="11"/>
      <c r="AO1066" s="8"/>
      <c r="AP1066" s="8"/>
      <c r="AQ1066" s="8"/>
      <c r="AR1066" s="8"/>
      <c r="AS1066" s="11"/>
      <c r="AT1066" s="11"/>
      <c r="AU1066" s="11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11"/>
      <c r="AN1067" s="11"/>
      <c r="AO1067" s="8"/>
      <c r="AP1067" s="8"/>
      <c r="AQ1067" s="8"/>
      <c r="AR1067" s="8"/>
      <c r="AS1067" s="11"/>
      <c r="AT1067" s="11"/>
      <c r="AU1067" s="11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11"/>
      <c r="AN1068" s="11"/>
      <c r="AO1068" s="8"/>
      <c r="AP1068" s="8"/>
      <c r="AQ1068" s="8"/>
      <c r="AR1068" s="8"/>
      <c r="AS1068" s="11"/>
      <c r="AT1068" s="11"/>
      <c r="AU1068" s="11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11"/>
      <c r="AN1069" s="11"/>
      <c r="AO1069" s="8"/>
      <c r="AP1069" s="8"/>
      <c r="AQ1069" s="8"/>
      <c r="AR1069" s="8"/>
      <c r="AS1069" s="11"/>
      <c r="AT1069" s="11"/>
      <c r="AU1069" s="11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11"/>
      <c r="AN1070" s="11"/>
      <c r="AO1070" s="8"/>
      <c r="AP1070" s="8"/>
      <c r="AQ1070" s="8"/>
      <c r="AR1070" s="8"/>
      <c r="AS1070" s="11"/>
      <c r="AT1070" s="11"/>
      <c r="AU1070" s="11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11"/>
      <c r="AN1071" s="11"/>
      <c r="AO1071" s="8"/>
      <c r="AP1071" s="8"/>
      <c r="AQ1071" s="8"/>
      <c r="AR1071" s="8"/>
      <c r="AS1071" s="11"/>
      <c r="AT1071" s="11"/>
      <c r="AU1071" s="11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11"/>
      <c r="AN1072" s="11"/>
      <c r="AO1072" s="8"/>
      <c r="AP1072" s="8"/>
      <c r="AQ1072" s="8"/>
      <c r="AR1072" s="8"/>
      <c r="AS1072" s="11"/>
      <c r="AT1072" s="11"/>
      <c r="AU1072" s="11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11"/>
      <c r="AN1073" s="11"/>
      <c r="AO1073" s="8"/>
      <c r="AP1073" s="8"/>
      <c r="AQ1073" s="8"/>
      <c r="AR1073" s="8"/>
      <c r="AS1073" s="11"/>
      <c r="AT1073" s="11"/>
      <c r="AU1073" s="11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11"/>
      <c r="AN1074" s="11"/>
      <c r="AO1074" s="8"/>
      <c r="AP1074" s="8"/>
      <c r="AQ1074" s="8"/>
      <c r="AR1074" s="8"/>
      <c r="AS1074" s="11"/>
      <c r="AT1074" s="11"/>
      <c r="AU1074" s="11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11"/>
      <c r="AN1075" s="11"/>
      <c r="AO1075" s="8"/>
      <c r="AP1075" s="8"/>
      <c r="AQ1075" s="8"/>
      <c r="AR1075" s="8"/>
      <c r="AS1075" s="11"/>
      <c r="AT1075" s="11"/>
      <c r="AU1075" s="11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11"/>
      <c r="AN1076" s="11"/>
      <c r="AO1076" s="8"/>
      <c r="AP1076" s="8"/>
      <c r="AQ1076" s="8"/>
      <c r="AR1076" s="8"/>
      <c r="AS1076" s="11"/>
      <c r="AT1076" s="11"/>
      <c r="AU1076" s="11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11"/>
      <c r="AN1077" s="11"/>
      <c r="AO1077" s="8"/>
      <c r="AP1077" s="8"/>
      <c r="AQ1077" s="8"/>
      <c r="AR1077" s="8"/>
      <c r="AS1077" s="11"/>
      <c r="AT1077" s="11"/>
      <c r="AU1077" s="11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11"/>
      <c r="AN1078" s="11"/>
      <c r="AO1078" s="8"/>
      <c r="AP1078" s="8"/>
      <c r="AQ1078" s="8"/>
      <c r="AR1078" s="8"/>
      <c r="AS1078" s="11"/>
      <c r="AT1078" s="11"/>
      <c r="AU1078" s="11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11"/>
      <c r="AN1079" s="11"/>
      <c r="AO1079" s="8"/>
      <c r="AP1079" s="8"/>
      <c r="AQ1079" s="8"/>
      <c r="AR1079" s="8"/>
      <c r="AS1079" s="11"/>
      <c r="AT1079" s="11"/>
      <c r="AU1079" s="11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11"/>
      <c r="AN1080" s="11"/>
      <c r="AO1080" s="8"/>
      <c r="AP1080" s="8"/>
      <c r="AQ1080" s="8"/>
      <c r="AR1080" s="8"/>
      <c r="AS1080" s="11"/>
      <c r="AT1080" s="11"/>
      <c r="AU1080" s="11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11"/>
      <c r="AN1081" s="11"/>
      <c r="AO1081" s="8"/>
      <c r="AP1081" s="8"/>
      <c r="AQ1081" s="8"/>
      <c r="AR1081" s="8"/>
      <c r="AS1081" s="11"/>
      <c r="AT1081" s="11"/>
      <c r="AU1081" s="11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11"/>
      <c r="AN1082" s="11"/>
      <c r="AO1082" s="8"/>
      <c r="AP1082" s="8"/>
      <c r="AQ1082" s="8"/>
      <c r="AR1082" s="8"/>
      <c r="AS1082" s="11"/>
      <c r="AT1082" s="11"/>
      <c r="AU1082" s="11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11"/>
      <c r="AN1083" s="11"/>
      <c r="AO1083" s="8"/>
      <c r="AP1083" s="8"/>
      <c r="AQ1083" s="8"/>
      <c r="AR1083" s="8"/>
      <c r="AS1083" s="11"/>
      <c r="AT1083" s="11"/>
      <c r="AU1083" s="11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11"/>
      <c r="AN1084" s="11"/>
      <c r="AO1084" s="8"/>
      <c r="AP1084" s="8"/>
      <c r="AQ1084" s="8"/>
      <c r="AR1084" s="8"/>
      <c r="AS1084" s="11"/>
      <c r="AT1084" s="11"/>
      <c r="AU1084" s="11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11"/>
      <c r="AN1085" s="11"/>
      <c r="AO1085" s="8"/>
      <c r="AP1085" s="8"/>
      <c r="AQ1085" s="8"/>
      <c r="AR1085" s="8"/>
      <c r="AS1085" s="11"/>
      <c r="AT1085" s="11"/>
      <c r="AU1085" s="11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11"/>
      <c r="AN1086" s="11"/>
      <c r="AO1086" s="8"/>
      <c r="AP1086" s="8"/>
      <c r="AQ1086" s="8"/>
      <c r="AR1086" s="8"/>
      <c r="AS1086" s="11"/>
      <c r="AT1086" s="11"/>
      <c r="AU1086" s="11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11"/>
      <c r="AN1087" s="11"/>
      <c r="AO1087" s="8"/>
      <c r="AP1087" s="8"/>
      <c r="AQ1087" s="8"/>
      <c r="AR1087" s="8"/>
      <c r="AS1087" s="11"/>
      <c r="AT1087" s="11"/>
      <c r="AU1087" s="11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11"/>
      <c r="AN1088" s="11"/>
      <c r="AO1088" s="8"/>
      <c r="AP1088" s="8"/>
      <c r="AQ1088" s="8"/>
      <c r="AR1088" s="8"/>
      <c r="AS1088" s="11"/>
      <c r="AT1088" s="11"/>
      <c r="AU1088" s="11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11"/>
      <c r="AN1089" s="11"/>
      <c r="AO1089" s="8"/>
      <c r="AP1089" s="8"/>
      <c r="AQ1089" s="8"/>
      <c r="AR1089" s="8"/>
      <c r="AS1089" s="11"/>
      <c r="AT1089" s="11"/>
      <c r="AU1089" s="11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11"/>
      <c r="AN1090" s="11"/>
      <c r="AO1090" s="8"/>
      <c r="AP1090" s="8"/>
      <c r="AQ1090" s="8"/>
      <c r="AR1090" s="8"/>
      <c r="AS1090" s="11"/>
      <c r="AT1090" s="11"/>
      <c r="AU1090" s="11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11"/>
      <c r="AN1091" s="11"/>
      <c r="AO1091" s="8"/>
      <c r="AP1091" s="8"/>
      <c r="AQ1091" s="8"/>
      <c r="AR1091" s="8"/>
      <c r="AS1091" s="11"/>
      <c r="AT1091" s="11"/>
      <c r="AU1091" s="11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11"/>
      <c r="AN1092" s="11"/>
      <c r="AO1092" s="8"/>
      <c r="AP1092" s="8"/>
      <c r="AQ1092" s="8"/>
      <c r="AR1092" s="8"/>
      <c r="AS1092" s="11"/>
      <c r="AT1092" s="11"/>
      <c r="AU1092" s="11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11"/>
      <c r="AN1093" s="11"/>
      <c r="AO1093" s="8"/>
      <c r="AP1093" s="8"/>
      <c r="AQ1093" s="8"/>
      <c r="AR1093" s="8"/>
      <c r="AS1093" s="11"/>
      <c r="AT1093" s="11"/>
      <c r="AU1093" s="11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11"/>
      <c r="AN1094" s="11"/>
      <c r="AO1094" s="8"/>
      <c r="AP1094" s="8"/>
      <c r="AQ1094" s="8"/>
      <c r="AR1094" s="8"/>
      <c r="AS1094" s="11"/>
      <c r="AT1094" s="11"/>
      <c r="AU1094" s="11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11"/>
      <c r="AN1095" s="11"/>
      <c r="AO1095" s="8"/>
      <c r="AP1095" s="8"/>
      <c r="AQ1095" s="8"/>
      <c r="AR1095" s="8"/>
      <c r="AS1095" s="11"/>
      <c r="AT1095" s="11"/>
      <c r="AU1095" s="11"/>
    </row>
    <row r="1096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11"/>
      <c r="AN1096" s="11"/>
      <c r="AO1096" s="8"/>
      <c r="AP1096" s="8"/>
      <c r="AQ1096" s="8"/>
      <c r="AR1096" s="8"/>
      <c r="AS1096" s="11"/>
      <c r="AT1096" s="11"/>
      <c r="AU1096" s="11"/>
    </row>
    <row r="1097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11"/>
      <c r="AN1097" s="11"/>
      <c r="AO1097" s="8"/>
      <c r="AP1097" s="8"/>
      <c r="AQ1097" s="8"/>
      <c r="AR1097" s="8"/>
      <c r="AS1097" s="11"/>
      <c r="AT1097" s="11"/>
      <c r="AU1097" s="11"/>
    </row>
    <row r="1098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11"/>
      <c r="AN1098" s="11"/>
      <c r="AO1098" s="8"/>
      <c r="AP1098" s="8"/>
      <c r="AQ1098" s="8"/>
      <c r="AR1098" s="8"/>
      <c r="AS1098" s="11"/>
      <c r="AT1098" s="11"/>
      <c r="AU1098" s="11"/>
    </row>
    <row r="1099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11"/>
      <c r="AN1099" s="11"/>
      <c r="AO1099" s="8"/>
      <c r="AP1099" s="8"/>
      <c r="AQ1099" s="8"/>
      <c r="AR1099" s="8"/>
      <c r="AS1099" s="11"/>
      <c r="AT1099" s="11"/>
      <c r="AU1099" s="11"/>
    </row>
    <row r="110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11"/>
      <c r="AN1100" s="11"/>
      <c r="AO1100" s="8"/>
      <c r="AP1100" s="8"/>
      <c r="AQ1100" s="8"/>
      <c r="AR1100" s="8"/>
      <c r="AS1100" s="11"/>
      <c r="AT1100" s="11"/>
      <c r="AU1100" s="11"/>
    </row>
    <row r="110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11"/>
      <c r="AN1101" s="11"/>
      <c r="AO1101" s="8"/>
      <c r="AP1101" s="8"/>
      <c r="AQ1101" s="8"/>
      <c r="AR1101" s="8"/>
      <c r="AS1101" s="11"/>
      <c r="AT1101" s="11"/>
      <c r="AU1101" s="11"/>
    </row>
    <row r="110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11"/>
      <c r="AN1102" s="11"/>
      <c r="AO1102" s="8"/>
      <c r="AP1102" s="8"/>
      <c r="AQ1102" s="8"/>
      <c r="AR1102" s="8"/>
      <c r="AS1102" s="11"/>
      <c r="AT1102" s="11"/>
      <c r="AU1102" s="11"/>
    </row>
    <row r="110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11"/>
      <c r="AN1103" s="11"/>
      <c r="AO1103" s="8"/>
      <c r="AP1103" s="8"/>
      <c r="AQ1103" s="8"/>
      <c r="AR1103" s="8"/>
      <c r="AS1103" s="11"/>
      <c r="AT1103" s="11"/>
      <c r="AU1103" s="11"/>
    </row>
    <row r="110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11"/>
      <c r="AN1104" s="11"/>
      <c r="AO1104" s="8"/>
      <c r="AP1104" s="8"/>
      <c r="AQ1104" s="8"/>
      <c r="AR1104" s="8"/>
      <c r="AS1104" s="11"/>
      <c r="AT1104" s="11"/>
      <c r="AU1104" s="11"/>
    </row>
    <row r="110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11"/>
      <c r="AN1105" s="11"/>
      <c r="AO1105" s="8"/>
      <c r="AP1105" s="8"/>
      <c r="AQ1105" s="8"/>
      <c r="AR1105" s="8"/>
      <c r="AS1105" s="11"/>
      <c r="AT1105" s="11"/>
      <c r="AU1105" s="11"/>
    </row>
    <row r="1106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11"/>
      <c r="AN1106" s="11"/>
      <c r="AO1106" s="8"/>
      <c r="AP1106" s="8"/>
      <c r="AQ1106" s="8"/>
      <c r="AR1106" s="8"/>
      <c r="AS1106" s="11"/>
      <c r="AT1106" s="11"/>
      <c r="AU1106" s="11"/>
    </row>
    <row r="1107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11"/>
      <c r="AN1107" s="11"/>
      <c r="AO1107" s="8"/>
      <c r="AP1107" s="8"/>
      <c r="AQ1107" s="8"/>
      <c r="AR1107" s="8"/>
      <c r="AS1107" s="11"/>
      <c r="AT1107" s="11"/>
      <c r="AU1107" s="11"/>
    </row>
    <row r="1108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11"/>
      <c r="AN1108" s="11"/>
      <c r="AO1108" s="8"/>
      <c r="AP1108" s="8"/>
      <c r="AQ1108" s="8"/>
      <c r="AR1108" s="8"/>
      <c r="AS1108" s="11"/>
      <c r="AT1108" s="11"/>
      <c r="AU1108" s="11"/>
    </row>
    <row r="1109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11"/>
      <c r="AN1109" s="11"/>
      <c r="AO1109" s="8"/>
      <c r="AP1109" s="8"/>
      <c r="AQ1109" s="8"/>
      <c r="AR1109" s="8"/>
      <c r="AS1109" s="11"/>
      <c r="AT1109" s="11"/>
      <c r="AU1109" s="11"/>
    </row>
    <row r="111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11"/>
      <c r="AN1110" s="11"/>
      <c r="AO1110" s="8"/>
      <c r="AP1110" s="8"/>
      <c r="AQ1110" s="8"/>
      <c r="AR1110" s="8"/>
      <c r="AS1110" s="11"/>
      <c r="AT1110" s="11"/>
      <c r="AU1110" s="11"/>
    </row>
    <row r="11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11"/>
      <c r="AN1111" s="11"/>
      <c r="AO1111" s="8"/>
      <c r="AP1111" s="8"/>
      <c r="AQ1111" s="8"/>
      <c r="AR1111" s="8"/>
      <c r="AS1111" s="11"/>
      <c r="AT1111" s="11"/>
      <c r="AU1111" s="11"/>
    </row>
    <row r="111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11"/>
      <c r="AN1112" s="11"/>
      <c r="AO1112" s="8"/>
      <c r="AP1112" s="8"/>
      <c r="AQ1112" s="8"/>
      <c r="AR1112" s="8"/>
      <c r="AS1112" s="11"/>
      <c r="AT1112" s="11"/>
      <c r="AU1112" s="11"/>
    </row>
    <row r="111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11"/>
      <c r="AN1113" s="11"/>
      <c r="AO1113" s="8"/>
      <c r="AP1113" s="8"/>
      <c r="AQ1113" s="8"/>
      <c r="AR1113" s="8"/>
      <c r="AS1113" s="11"/>
      <c r="AT1113" s="11"/>
      <c r="AU1113" s="11"/>
    </row>
    <row r="11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11"/>
      <c r="AN1114" s="11"/>
      <c r="AO1114" s="8"/>
      <c r="AP1114" s="8"/>
      <c r="AQ1114" s="8"/>
      <c r="AR1114" s="8"/>
      <c r="AS1114" s="11"/>
      <c r="AT1114" s="11"/>
      <c r="AU1114" s="11"/>
    </row>
    <row r="11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11"/>
      <c r="AN1115" s="11"/>
      <c r="AO1115" s="8"/>
      <c r="AP1115" s="8"/>
      <c r="AQ1115" s="8"/>
      <c r="AR1115" s="8"/>
      <c r="AS1115" s="11"/>
      <c r="AT1115" s="11"/>
      <c r="AU1115" s="11"/>
    </row>
    <row r="1116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11"/>
      <c r="AN1116" s="11"/>
      <c r="AO1116" s="8"/>
      <c r="AP1116" s="8"/>
      <c r="AQ1116" s="8"/>
      <c r="AR1116" s="8"/>
      <c r="AS1116" s="11"/>
      <c r="AT1116" s="11"/>
      <c r="AU1116" s="11"/>
    </row>
    <row r="1117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11"/>
      <c r="AN1117" s="11"/>
      <c r="AO1117" s="8"/>
      <c r="AP1117" s="8"/>
      <c r="AQ1117" s="8"/>
      <c r="AR1117" s="8"/>
      <c r="AS1117" s="11"/>
      <c r="AT1117" s="11"/>
      <c r="AU1117" s="11"/>
    </row>
    <row r="1118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11"/>
      <c r="AN1118" s="11"/>
      <c r="AO1118" s="8"/>
      <c r="AP1118" s="8"/>
      <c r="AQ1118" s="8"/>
      <c r="AR1118" s="8"/>
      <c r="AS1118" s="11"/>
      <c r="AT1118" s="11"/>
      <c r="AU1118" s="11"/>
    </row>
    <row r="1119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11"/>
      <c r="AN1119" s="11"/>
      <c r="AO1119" s="8"/>
      <c r="AP1119" s="8"/>
      <c r="AQ1119" s="8"/>
      <c r="AR1119" s="8"/>
      <c r="AS1119" s="11"/>
      <c r="AT1119" s="11"/>
      <c r="AU1119" s="11"/>
    </row>
    <row r="112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11"/>
      <c r="AN1120" s="11"/>
      <c r="AO1120" s="8"/>
      <c r="AP1120" s="8"/>
      <c r="AQ1120" s="8"/>
      <c r="AR1120" s="8"/>
      <c r="AS1120" s="11"/>
      <c r="AT1120" s="11"/>
      <c r="AU1120" s="11"/>
    </row>
    <row r="112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11"/>
      <c r="AN1121" s="11"/>
      <c r="AO1121" s="8"/>
      <c r="AP1121" s="8"/>
      <c r="AQ1121" s="8"/>
      <c r="AR1121" s="8"/>
      <c r="AS1121" s="11"/>
      <c r="AT1121" s="11"/>
      <c r="AU1121" s="11"/>
    </row>
    <row r="112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11"/>
      <c r="AN1122" s="11"/>
      <c r="AO1122" s="8"/>
      <c r="AP1122" s="8"/>
      <c r="AQ1122" s="8"/>
      <c r="AR1122" s="8"/>
      <c r="AS1122" s="11"/>
      <c r="AT1122" s="11"/>
      <c r="AU1122" s="11"/>
    </row>
    <row r="11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11"/>
      <c r="AN1123" s="11"/>
      <c r="AO1123" s="8"/>
      <c r="AP1123" s="8"/>
      <c r="AQ1123" s="8"/>
      <c r="AR1123" s="8"/>
      <c r="AS1123" s="11"/>
      <c r="AT1123" s="11"/>
      <c r="AU1123" s="11"/>
    </row>
    <row r="112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11"/>
      <c r="AN1124" s="11"/>
      <c r="AO1124" s="8"/>
      <c r="AP1124" s="8"/>
      <c r="AQ1124" s="8"/>
      <c r="AR1124" s="8"/>
      <c r="AS1124" s="11"/>
      <c r="AT1124" s="11"/>
      <c r="AU1124" s="11"/>
    </row>
    <row r="11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11"/>
      <c r="AN1125" s="11"/>
      <c r="AO1125" s="8"/>
      <c r="AP1125" s="8"/>
      <c r="AQ1125" s="8"/>
      <c r="AR1125" s="8"/>
      <c r="AS1125" s="11"/>
      <c r="AT1125" s="11"/>
      <c r="AU1125" s="11"/>
    </row>
    <row r="1126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11"/>
      <c r="AN1126" s="11"/>
      <c r="AO1126" s="8"/>
      <c r="AP1126" s="8"/>
      <c r="AQ1126" s="8"/>
      <c r="AR1126" s="8"/>
      <c r="AS1126" s="11"/>
      <c r="AT1126" s="11"/>
      <c r="AU1126" s="11"/>
    </row>
    <row r="1127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11"/>
      <c r="AN1127" s="11"/>
      <c r="AO1127" s="8"/>
      <c r="AP1127" s="8"/>
      <c r="AQ1127" s="8"/>
      <c r="AR1127" s="8"/>
      <c r="AS1127" s="11"/>
      <c r="AT1127" s="11"/>
      <c r="AU1127" s="11"/>
    </row>
    <row r="1128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11"/>
      <c r="AN1128" s="11"/>
      <c r="AO1128" s="8"/>
      <c r="AP1128" s="8"/>
      <c r="AQ1128" s="8"/>
      <c r="AR1128" s="8"/>
      <c r="AS1128" s="11"/>
      <c r="AT1128" s="11"/>
      <c r="AU1128" s="11"/>
    </row>
    <row r="1129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11"/>
      <c r="AN1129" s="11"/>
      <c r="AO1129" s="8"/>
      <c r="AP1129" s="8"/>
      <c r="AQ1129" s="8"/>
      <c r="AR1129" s="8"/>
      <c r="AS1129" s="11"/>
      <c r="AT1129" s="11"/>
      <c r="AU1129" s="11"/>
    </row>
    <row r="113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11"/>
      <c r="AN1130" s="11"/>
      <c r="AO1130" s="8"/>
      <c r="AP1130" s="8"/>
      <c r="AQ1130" s="8"/>
      <c r="AR1130" s="8"/>
      <c r="AS1130" s="11"/>
      <c r="AT1130" s="11"/>
      <c r="AU1130" s="11"/>
    </row>
    <row r="113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11"/>
      <c r="AN1131" s="11"/>
      <c r="AO1131" s="8"/>
      <c r="AP1131" s="8"/>
      <c r="AQ1131" s="8"/>
      <c r="AR1131" s="8"/>
      <c r="AS1131" s="11"/>
      <c r="AT1131" s="11"/>
      <c r="AU1131" s="11"/>
    </row>
    <row r="113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11"/>
      <c r="AN1132" s="11"/>
      <c r="AO1132" s="8"/>
      <c r="AP1132" s="8"/>
      <c r="AQ1132" s="8"/>
      <c r="AR1132" s="8"/>
      <c r="AS1132" s="11"/>
      <c r="AT1132" s="11"/>
      <c r="AU1132" s="11"/>
    </row>
    <row r="113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11"/>
      <c r="AN1133" s="11"/>
      <c r="AO1133" s="8"/>
      <c r="AP1133" s="8"/>
      <c r="AQ1133" s="8"/>
      <c r="AR1133" s="8"/>
      <c r="AS1133" s="11"/>
      <c r="AT1133" s="11"/>
      <c r="AU1133" s="11"/>
    </row>
    <row r="1134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11"/>
      <c r="AN1134" s="11"/>
      <c r="AO1134" s="8"/>
      <c r="AP1134" s="8"/>
      <c r="AQ1134" s="8"/>
      <c r="AR1134" s="8"/>
      <c r="AS1134" s="11"/>
      <c r="AT1134" s="11"/>
      <c r="AU1134" s="11"/>
    </row>
    <row r="113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11"/>
      <c r="AN1135" s="11"/>
      <c r="AO1135" s="8"/>
      <c r="AP1135" s="8"/>
      <c r="AQ1135" s="8"/>
      <c r="AR1135" s="8"/>
      <c r="AS1135" s="11"/>
      <c r="AT1135" s="11"/>
      <c r="AU1135" s="11"/>
    </row>
    <row r="1136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11"/>
      <c r="AN1136" s="11"/>
      <c r="AO1136" s="8"/>
      <c r="AP1136" s="8"/>
      <c r="AQ1136" s="8"/>
      <c r="AR1136" s="8"/>
      <c r="AS1136" s="11"/>
      <c r="AT1136" s="11"/>
      <c r="AU1136" s="11"/>
    </row>
    <row r="1137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11"/>
      <c r="AN1137" s="11"/>
      <c r="AO1137" s="8"/>
      <c r="AP1137" s="8"/>
      <c r="AQ1137" s="8"/>
      <c r="AR1137" s="8"/>
      <c r="AS1137" s="11"/>
      <c r="AT1137" s="11"/>
      <c r="AU1137" s="11"/>
    </row>
    <row r="1138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11"/>
      <c r="AN1138" s="11"/>
      <c r="AO1138" s="8"/>
      <c r="AP1138" s="8"/>
      <c r="AQ1138" s="8"/>
      <c r="AR1138" s="8"/>
      <c r="AS1138" s="11"/>
      <c r="AT1138" s="11"/>
      <c r="AU1138" s="11"/>
    </row>
    <row r="1139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11"/>
      <c r="AN1139" s="11"/>
      <c r="AO1139" s="8"/>
      <c r="AP1139" s="8"/>
      <c r="AQ1139" s="8"/>
      <c r="AR1139" s="8"/>
      <c r="AS1139" s="11"/>
      <c r="AT1139" s="11"/>
      <c r="AU1139" s="11"/>
    </row>
    <row r="1140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11"/>
      <c r="AN1140" s="11"/>
      <c r="AO1140" s="8"/>
      <c r="AP1140" s="8"/>
      <c r="AQ1140" s="8"/>
      <c r="AR1140" s="8"/>
      <c r="AS1140" s="11"/>
      <c r="AT1140" s="11"/>
      <c r="AU1140" s="11"/>
    </row>
    <row r="1141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11"/>
      <c r="AN1141" s="11"/>
      <c r="AO1141" s="8"/>
      <c r="AP1141" s="8"/>
      <c r="AQ1141" s="8"/>
      <c r="AR1141" s="8"/>
      <c r="AS1141" s="11"/>
      <c r="AT1141" s="11"/>
      <c r="AU1141" s="11"/>
    </row>
    <row r="1142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11"/>
      <c r="AN1142" s="11"/>
      <c r="AO1142" s="8"/>
      <c r="AP1142" s="8"/>
      <c r="AQ1142" s="8"/>
      <c r="AR1142" s="8"/>
      <c r="AS1142" s="11"/>
      <c r="AT1142" s="11"/>
      <c r="AU1142" s="11"/>
    </row>
    <row r="1143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11"/>
      <c r="AN1143" s="11"/>
      <c r="AO1143" s="8"/>
      <c r="AP1143" s="8"/>
      <c r="AQ1143" s="8"/>
      <c r="AR1143" s="8"/>
      <c r="AS1143" s="11"/>
      <c r="AT1143" s="11"/>
      <c r="AU1143" s="11"/>
    </row>
    <row r="1144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11"/>
      <c r="AN1144" s="11"/>
      <c r="AO1144" s="8"/>
      <c r="AP1144" s="8"/>
      <c r="AQ1144" s="8"/>
      <c r="AR1144" s="8"/>
      <c r="AS1144" s="11"/>
      <c r="AT1144" s="11"/>
      <c r="AU1144" s="11"/>
    </row>
    <row r="114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11"/>
      <c r="AN1145" s="11"/>
      <c r="AO1145" s="8"/>
      <c r="AP1145" s="8"/>
      <c r="AQ1145" s="8"/>
      <c r="AR1145" s="8"/>
      <c r="AS1145" s="11"/>
      <c r="AT1145" s="11"/>
      <c r="AU1145" s="11"/>
    </row>
    <row r="1146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11"/>
      <c r="AN1146" s="11"/>
      <c r="AO1146" s="8"/>
      <c r="AP1146" s="8"/>
      <c r="AQ1146" s="8"/>
      <c r="AR1146" s="8"/>
      <c r="AS1146" s="11"/>
      <c r="AT1146" s="11"/>
      <c r="AU1146" s="11"/>
    </row>
    <row r="1147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11"/>
      <c r="AN1147" s="11"/>
      <c r="AO1147" s="8"/>
      <c r="AP1147" s="8"/>
      <c r="AQ1147" s="8"/>
      <c r="AR1147" s="8"/>
      <c r="AS1147" s="11"/>
      <c r="AT1147" s="11"/>
      <c r="AU1147" s="11"/>
    </row>
    <row r="1148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11"/>
      <c r="AN1148" s="11"/>
      <c r="AO1148" s="8"/>
      <c r="AP1148" s="8"/>
      <c r="AQ1148" s="8"/>
      <c r="AR1148" s="8"/>
      <c r="AS1148" s="11"/>
      <c r="AT1148" s="11"/>
      <c r="AU1148" s="11"/>
    </row>
    <row r="1149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11"/>
      <c r="AN1149" s="11"/>
      <c r="AO1149" s="8"/>
      <c r="AP1149" s="8"/>
      <c r="AQ1149" s="8"/>
      <c r="AR1149" s="8"/>
      <c r="AS1149" s="11"/>
      <c r="AT1149" s="11"/>
      <c r="AU1149" s="11"/>
    </row>
    <row r="1150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11"/>
      <c r="AN1150" s="11"/>
      <c r="AO1150" s="8"/>
      <c r="AP1150" s="8"/>
      <c r="AQ1150" s="8"/>
      <c r="AR1150" s="8"/>
      <c r="AS1150" s="11"/>
      <c r="AT1150" s="11"/>
      <c r="AU1150" s="11"/>
    </row>
    <row r="1151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11"/>
      <c r="AN1151" s="11"/>
      <c r="AO1151" s="8"/>
      <c r="AP1151" s="8"/>
      <c r="AQ1151" s="8"/>
      <c r="AR1151" s="8"/>
      <c r="AS1151" s="11"/>
      <c r="AT1151" s="11"/>
      <c r="AU1151" s="11"/>
    </row>
    <row r="1152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11"/>
      <c r="AN1152" s="11"/>
      <c r="AO1152" s="8"/>
      <c r="AP1152" s="8"/>
      <c r="AQ1152" s="8"/>
      <c r="AR1152" s="8"/>
      <c r="AS1152" s="11"/>
      <c r="AT1152" s="11"/>
      <c r="AU1152" s="11"/>
    </row>
    <row r="1153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11"/>
      <c r="AN1153" s="11"/>
      <c r="AO1153" s="8"/>
      <c r="AP1153" s="8"/>
      <c r="AQ1153" s="8"/>
      <c r="AR1153" s="8"/>
      <c r="AS1153" s="11"/>
      <c r="AT1153" s="11"/>
      <c r="AU1153" s="11"/>
    </row>
    <row r="1154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11"/>
      <c r="AN1154" s="11"/>
      <c r="AO1154" s="8"/>
      <c r="AP1154" s="8"/>
      <c r="AQ1154" s="8"/>
      <c r="AR1154" s="8"/>
      <c r="AS1154" s="11"/>
      <c r="AT1154" s="11"/>
      <c r="AU1154" s="11"/>
    </row>
    <row r="115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11"/>
      <c r="AN1155" s="11"/>
      <c r="AO1155" s="8"/>
      <c r="AP1155" s="8"/>
      <c r="AQ1155" s="8"/>
      <c r="AR1155" s="8"/>
      <c r="AS1155" s="11"/>
      <c r="AT1155" s="11"/>
      <c r="AU1155" s="11"/>
    </row>
    <row r="1156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11"/>
      <c r="AN1156" s="11"/>
      <c r="AO1156" s="8"/>
      <c r="AP1156" s="8"/>
      <c r="AQ1156" s="8"/>
      <c r="AR1156" s="8"/>
      <c r="AS1156" s="11"/>
      <c r="AT1156" s="11"/>
      <c r="AU1156" s="11"/>
    </row>
    <row r="1157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11"/>
      <c r="AN1157" s="11"/>
      <c r="AO1157" s="8"/>
      <c r="AP1157" s="8"/>
      <c r="AQ1157" s="8"/>
      <c r="AR1157" s="8"/>
      <c r="AS1157" s="11"/>
      <c r="AT1157" s="11"/>
      <c r="AU1157" s="11"/>
    </row>
    <row r="1158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11"/>
      <c r="AN1158" s="11"/>
      <c r="AO1158" s="8"/>
      <c r="AP1158" s="8"/>
      <c r="AQ1158" s="8"/>
      <c r="AR1158" s="8"/>
      <c r="AS1158" s="11"/>
      <c r="AT1158" s="11"/>
      <c r="AU1158" s="11"/>
    </row>
    <row r="1159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11"/>
      <c r="AN1159" s="11"/>
      <c r="AO1159" s="8"/>
      <c r="AP1159" s="8"/>
      <c r="AQ1159" s="8"/>
      <c r="AR1159" s="8"/>
      <c r="AS1159" s="11"/>
      <c r="AT1159" s="11"/>
      <c r="AU1159" s="11"/>
    </row>
    <row r="1160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11"/>
      <c r="AN1160" s="11"/>
      <c r="AO1160" s="8"/>
      <c r="AP1160" s="8"/>
      <c r="AQ1160" s="8"/>
      <c r="AR1160" s="8"/>
      <c r="AS1160" s="11"/>
      <c r="AT1160" s="11"/>
      <c r="AU1160" s="11"/>
    </row>
    <row r="1161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11"/>
      <c r="AN1161" s="11"/>
      <c r="AO1161" s="8"/>
      <c r="AP1161" s="8"/>
      <c r="AQ1161" s="8"/>
      <c r="AR1161" s="8"/>
      <c r="AS1161" s="11"/>
      <c r="AT1161" s="11"/>
      <c r="AU1161" s="11"/>
    </row>
    <row r="1162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11"/>
      <c r="AN1162" s="11"/>
      <c r="AO1162" s="8"/>
      <c r="AP1162" s="8"/>
      <c r="AQ1162" s="8"/>
      <c r="AR1162" s="8"/>
      <c r="AS1162" s="11"/>
      <c r="AT1162" s="11"/>
      <c r="AU1162" s="11"/>
    </row>
    <row r="1163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11"/>
      <c r="AN1163" s="11"/>
      <c r="AO1163" s="8"/>
      <c r="AP1163" s="8"/>
      <c r="AQ1163" s="8"/>
      <c r="AR1163" s="8"/>
      <c r="AS1163" s="11"/>
      <c r="AT1163" s="11"/>
      <c r="AU1163" s="11"/>
    </row>
    <row r="1164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11"/>
      <c r="AN1164" s="11"/>
      <c r="AO1164" s="8"/>
      <c r="AP1164" s="8"/>
      <c r="AQ1164" s="8"/>
      <c r="AR1164" s="8"/>
      <c r="AS1164" s="11"/>
      <c r="AT1164" s="11"/>
      <c r="AU1164" s="11"/>
    </row>
    <row r="116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11"/>
      <c r="AN1165" s="11"/>
      <c r="AO1165" s="8"/>
      <c r="AP1165" s="8"/>
      <c r="AQ1165" s="8"/>
      <c r="AR1165" s="8"/>
      <c r="AS1165" s="11"/>
      <c r="AT1165" s="11"/>
      <c r="AU1165" s="11"/>
    </row>
    <row r="1166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11"/>
      <c r="AN1166" s="11"/>
      <c r="AO1166" s="8"/>
      <c r="AP1166" s="8"/>
      <c r="AQ1166" s="8"/>
      <c r="AR1166" s="8"/>
      <c r="AS1166" s="11"/>
      <c r="AT1166" s="11"/>
      <c r="AU1166" s="11"/>
    </row>
    <row r="1167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11"/>
      <c r="AN1167" s="11"/>
      <c r="AO1167" s="8"/>
      <c r="AP1167" s="8"/>
      <c r="AQ1167" s="8"/>
      <c r="AR1167" s="8"/>
      <c r="AS1167" s="11"/>
      <c r="AT1167" s="11"/>
      <c r="AU1167" s="11"/>
    </row>
    <row r="1168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11"/>
      <c r="AN1168" s="11"/>
      <c r="AO1168" s="8"/>
      <c r="AP1168" s="8"/>
      <c r="AQ1168" s="8"/>
      <c r="AR1168" s="8"/>
      <c r="AS1168" s="11"/>
      <c r="AT1168" s="11"/>
      <c r="AU1168" s="11"/>
    </row>
    <row r="1169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11"/>
      <c r="AN1169" s="11"/>
      <c r="AO1169" s="8"/>
      <c r="AP1169" s="8"/>
      <c r="AQ1169" s="8"/>
      <c r="AR1169" s="8"/>
      <c r="AS1169" s="11"/>
      <c r="AT1169" s="11"/>
      <c r="AU1169" s="11"/>
    </row>
    <row r="1170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11"/>
      <c r="AN1170" s="11"/>
      <c r="AO1170" s="8"/>
      <c r="AP1170" s="8"/>
      <c r="AQ1170" s="8"/>
      <c r="AR1170" s="8"/>
      <c r="AS1170" s="11"/>
      <c r="AT1170" s="11"/>
      <c r="AU1170" s="11"/>
    </row>
    <row r="1171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11"/>
      <c r="AN1171" s="11"/>
      <c r="AO1171" s="8"/>
      <c r="AP1171" s="8"/>
      <c r="AQ1171" s="8"/>
      <c r="AR1171" s="8"/>
      <c r="AS1171" s="11"/>
      <c r="AT1171" s="11"/>
      <c r="AU1171" s="11"/>
    </row>
    <row r="1172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11"/>
      <c r="AN1172" s="11"/>
      <c r="AO1172" s="8"/>
      <c r="AP1172" s="8"/>
      <c r="AQ1172" s="8"/>
      <c r="AR1172" s="8"/>
      <c r="AS1172" s="11"/>
      <c r="AT1172" s="11"/>
      <c r="AU1172" s="11"/>
    </row>
    <row r="1173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11"/>
      <c r="AN1173" s="11"/>
      <c r="AO1173" s="8"/>
      <c r="AP1173" s="8"/>
      <c r="AQ1173" s="8"/>
      <c r="AR1173" s="8"/>
      <c r="AS1173" s="11"/>
      <c r="AT1173" s="11"/>
      <c r="AU1173" s="11"/>
    </row>
    <row r="1174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11"/>
      <c r="AN1174" s="11"/>
      <c r="AO1174" s="8"/>
      <c r="AP1174" s="8"/>
      <c r="AQ1174" s="8"/>
      <c r="AR1174" s="8"/>
      <c r="AS1174" s="11"/>
      <c r="AT1174" s="11"/>
      <c r="AU1174" s="11"/>
    </row>
    <row r="117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11"/>
      <c r="AN1175" s="11"/>
      <c r="AO1175" s="8"/>
      <c r="AP1175" s="8"/>
      <c r="AQ1175" s="8"/>
      <c r="AR1175" s="8"/>
      <c r="AS1175" s="11"/>
      <c r="AT1175" s="11"/>
      <c r="AU1175" s="11"/>
    </row>
    <row r="1176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11"/>
      <c r="AN1176" s="11"/>
      <c r="AO1176" s="8"/>
      <c r="AP1176" s="8"/>
      <c r="AQ1176" s="8"/>
      <c r="AR1176" s="8"/>
      <c r="AS1176" s="11"/>
      <c r="AT1176" s="11"/>
      <c r="AU1176" s="11"/>
    </row>
    <row r="1177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11"/>
      <c r="AN1177" s="11"/>
      <c r="AO1177" s="8"/>
      <c r="AP1177" s="8"/>
      <c r="AQ1177" s="8"/>
      <c r="AR1177" s="8"/>
      <c r="AS1177" s="11"/>
      <c r="AT1177" s="11"/>
      <c r="AU1177" s="11"/>
    </row>
    <row r="1178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11"/>
      <c r="AN1178" s="11"/>
      <c r="AO1178" s="8"/>
      <c r="AP1178" s="8"/>
      <c r="AQ1178" s="8"/>
      <c r="AR1178" s="8"/>
      <c r="AS1178" s="11"/>
      <c r="AT1178" s="11"/>
      <c r="AU1178" s="11"/>
    </row>
    <row r="1179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11"/>
      <c r="AN1179" s="11"/>
      <c r="AO1179" s="8"/>
      <c r="AP1179" s="8"/>
      <c r="AQ1179" s="8"/>
      <c r="AR1179" s="8"/>
      <c r="AS1179" s="11"/>
      <c r="AT1179" s="11"/>
      <c r="AU1179" s="11"/>
    </row>
    <row r="1180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11"/>
      <c r="AN1180" s="11"/>
      <c r="AO1180" s="8"/>
      <c r="AP1180" s="8"/>
      <c r="AQ1180" s="8"/>
      <c r="AR1180" s="8"/>
      <c r="AS1180" s="11"/>
      <c r="AT1180" s="11"/>
      <c r="AU1180" s="11"/>
    </row>
    <row r="1181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11"/>
      <c r="AN1181" s="11"/>
      <c r="AO1181" s="8"/>
      <c r="AP1181" s="8"/>
      <c r="AQ1181" s="8"/>
      <c r="AR1181" s="8"/>
      <c r="AS1181" s="11"/>
      <c r="AT1181" s="11"/>
      <c r="AU1181" s="11"/>
    </row>
    <row r="1182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11"/>
      <c r="AN1182" s="11"/>
      <c r="AO1182" s="8"/>
      <c r="AP1182" s="8"/>
      <c r="AQ1182" s="8"/>
      <c r="AR1182" s="8"/>
      <c r="AS1182" s="11"/>
      <c r="AT1182" s="11"/>
      <c r="AU1182" s="11"/>
    </row>
    <row r="1183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11"/>
      <c r="AN1183" s="11"/>
      <c r="AO1183" s="8"/>
      <c r="AP1183" s="8"/>
      <c r="AQ1183" s="8"/>
      <c r="AR1183" s="8"/>
      <c r="AS1183" s="11"/>
      <c r="AT1183" s="11"/>
      <c r="AU1183" s="11"/>
    </row>
    <row r="1184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11"/>
      <c r="AN1184" s="11"/>
      <c r="AO1184" s="8"/>
      <c r="AP1184" s="8"/>
      <c r="AQ1184" s="8"/>
      <c r="AR1184" s="8"/>
      <c r="AS1184" s="11"/>
      <c r="AT1184" s="11"/>
      <c r="AU1184" s="11"/>
    </row>
    <row r="118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11"/>
      <c r="AN1185" s="11"/>
      <c r="AO1185" s="8"/>
      <c r="AP1185" s="8"/>
      <c r="AQ1185" s="8"/>
      <c r="AR1185" s="8"/>
      <c r="AS1185" s="11"/>
      <c r="AT1185" s="11"/>
      <c r="AU1185" s="11"/>
    </row>
    <row r="1186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11"/>
      <c r="AN1186" s="11"/>
      <c r="AO1186" s="8"/>
      <c r="AP1186" s="8"/>
      <c r="AQ1186" s="8"/>
      <c r="AR1186" s="8"/>
      <c r="AS1186" s="11"/>
      <c r="AT1186" s="11"/>
      <c r="AU1186" s="11"/>
    </row>
    <row r="1187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11"/>
      <c r="AN1187" s="11"/>
      <c r="AO1187" s="8"/>
      <c r="AP1187" s="8"/>
      <c r="AQ1187" s="8"/>
      <c r="AR1187" s="8"/>
      <c r="AS1187" s="11"/>
      <c r="AT1187" s="11"/>
      <c r="AU1187" s="11"/>
    </row>
    <row r="1188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11"/>
      <c r="AN1188" s="11"/>
      <c r="AO1188" s="8"/>
      <c r="AP1188" s="8"/>
      <c r="AQ1188" s="8"/>
      <c r="AR1188" s="8"/>
      <c r="AS1188" s="11"/>
      <c r="AT1188" s="11"/>
      <c r="AU1188" s="11"/>
    </row>
    <row r="1189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11"/>
      <c r="AN1189" s="11"/>
      <c r="AO1189" s="8"/>
      <c r="AP1189" s="8"/>
      <c r="AQ1189" s="8"/>
      <c r="AR1189" s="8"/>
      <c r="AS1189" s="11"/>
      <c r="AT1189" s="11"/>
      <c r="AU1189" s="11"/>
    </row>
    <row r="1190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11"/>
      <c r="AN1190" s="11"/>
      <c r="AO1190" s="8"/>
      <c r="AP1190" s="8"/>
      <c r="AQ1190" s="8"/>
      <c r="AR1190" s="8"/>
      <c r="AS1190" s="11"/>
      <c r="AT1190" s="11"/>
      <c r="AU1190" s="11"/>
    </row>
    <row r="1191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11"/>
      <c r="AN1191" s="11"/>
      <c r="AO1191" s="8"/>
      <c r="AP1191" s="8"/>
      <c r="AQ1191" s="8"/>
      <c r="AR1191" s="8"/>
      <c r="AS1191" s="11"/>
      <c r="AT1191" s="11"/>
      <c r="AU1191" s="11"/>
    </row>
    <row r="1192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11"/>
      <c r="AN1192" s="11"/>
      <c r="AO1192" s="8"/>
      <c r="AP1192" s="8"/>
      <c r="AQ1192" s="8"/>
      <c r="AR1192" s="8"/>
      <c r="AS1192" s="11"/>
      <c r="AT1192" s="11"/>
      <c r="AU1192" s="11"/>
    </row>
    <row r="1193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11"/>
      <c r="AN1193" s="11"/>
      <c r="AO1193" s="8"/>
      <c r="AP1193" s="8"/>
      <c r="AQ1193" s="8"/>
      <c r="AR1193" s="8"/>
      <c r="AS1193" s="11"/>
      <c r="AT1193" s="11"/>
      <c r="AU1193" s="11"/>
    </row>
    <row r="1194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11"/>
      <c r="AN1194" s="11"/>
      <c r="AO1194" s="8"/>
      <c r="AP1194" s="8"/>
      <c r="AQ1194" s="8"/>
      <c r="AR1194" s="8"/>
      <c r="AS1194" s="11"/>
      <c r="AT1194" s="11"/>
      <c r="AU1194" s="11"/>
    </row>
    <row r="119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11"/>
      <c r="AN1195" s="11"/>
      <c r="AO1195" s="8"/>
      <c r="AP1195" s="8"/>
      <c r="AQ1195" s="8"/>
      <c r="AR1195" s="8"/>
      <c r="AS1195" s="11"/>
      <c r="AT1195" s="11"/>
      <c r="AU1195" s="11"/>
    </row>
    <row r="1196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11"/>
      <c r="AN1196" s="11"/>
      <c r="AO1196" s="8"/>
      <c r="AP1196" s="8"/>
      <c r="AQ1196" s="8"/>
      <c r="AR1196" s="8"/>
      <c r="AS1196" s="11"/>
      <c r="AT1196" s="11"/>
      <c r="AU1196" s="11"/>
    </row>
    <row r="1197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11"/>
      <c r="AN1197" s="11"/>
      <c r="AO1197" s="8"/>
      <c r="AP1197" s="8"/>
      <c r="AQ1197" s="8"/>
      <c r="AR1197" s="8"/>
      <c r="AS1197" s="11"/>
      <c r="AT1197" s="11"/>
      <c r="AU1197" s="11"/>
    </row>
    <row r="1198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11"/>
      <c r="AN1198" s="11"/>
      <c r="AO1198" s="8"/>
      <c r="AP1198" s="8"/>
      <c r="AQ1198" s="8"/>
      <c r="AR1198" s="8"/>
      <c r="AS1198" s="11"/>
      <c r="AT1198" s="11"/>
      <c r="AU1198" s="11"/>
    </row>
    <row r="1199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11"/>
      <c r="AN1199" s="11"/>
      <c r="AO1199" s="8"/>
      <c r="AP1199" s="8"/>
      <c r="AQ1199" s="8"/>
      <c r="AR1199" s="8"/>
      <c r="AS1199" s="11"/>
      <c r="AT1199" s="11"/>
      <c r="AU1199" s="11"/>
    </row>
    <row r="120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11"/>
      <c r="AN1200" s="11"/>
      <c r="AO1200" s="8"/>
      <c r="AP1200" s="8"/>
      <c r="AQ1200" s="8"/>
      <c r="AR1200" s="8"/>
      <c r="AS1200" s="11"/>
      <c r="AT1200" s="11"/>
      <c r="AU1200" s="11"/>
    </row>
    <row r="120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11"/>
      <c r="AN1201" s="11"/>
      <c r="AO1201" s="8"/>
      <c r="AP1201" s="8"/>
      <c r="AQ1201" s="8"/>
      <c r="AR1201" s="8"/>
      <c r="AS1201" s="11"/>
      <c r="AT1201" s="11"/>
      <c r="AU1201" s="11"/>
    </row>
    <row r="1202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11"/>
      <c r="AN1202" s="11"/>
      <c r="AO1202" s="8"/>
      <c r="AP1202" s="8"/>
      <c r="AQ1202" s="8"/>
      <c r="AR1202" s="8"/>
      <c r="AS1202" s="11"/>
      <c r="AT1202" s="11"/>
      <c r="AU1202" s="11"/>
    </row>
    <row r="120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11"/>
      <c r="AN1203" s="11"/>
      <c r="AO1203" s="8"/>
      <c r="AP1203" s="8"/>
      <c r="AQ1203" s="8"/>
      <c r="AR1203" s="8"/>
      <c r="AS1203" s="11"/>
      <c r="AT1203" s="11"/>
      <c r="AU1203" s="11"/>
    </row>
    <row r="1204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11"/>
      <c r="AN1204" s="11"/>
      <c r="AO1204" s="8"/>
      <c r="AP1204" s="8"/>
      <c r="AQ1204" s="8"/>
      <c r="AR1204" s="8"/>
      <c r="AS1204" s="11"/>
      <c r="AT1204" s="11"/>
      <c r="AU1204" s="11"/>
    </row>
    <row r="120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11"/>
      <c r="AN1205" s="11"/>
      <c r="AO1205" s="8"/>
      <c r="AP1205" s="8"/>
      <c r="AQ1205" s="8"/>
      <c r="AR1205" s="8"/>
      <c r="AS1205" s="11"/>
      <c r="AT1205" s="11"/>
      <c r="AU1205" s="11"/>
    </row>
    <row r="1206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11"/>
      <c r="AN1206" s="11"/>
      <c r="AO1206" s="8"/>
      <c r="AP1206" s="8"/>
      <c r="AQ1206" s="8"/>
      <c r="AR1206" s="8"/>
      <c r="AS1206" s="11"/>
      <c r="AT1206" s="11"/>
      <c r="AU1206" s="11"/>
    </row>
    <row r="1207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11"/>
      <c r="AN1207" s="11"/>
      <c r="AO1207" s="8"/>
      <c r="AP1207" s="8"/>
      <c r="AQ1207" s="8"/>
      <c r="AR1207" s="8"/>
      <c r="AS1207" s="11"/>
      <c r="AT1207" s="11"/>
      <c r="AU1207" s="11"/>
    </row>
    <row r="1208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11"/>
      <c r="AN1208" s="11"/>
      <c r="AO1208" s="8"/>
      <c r="AP1208" s="8"/>
      <c r="AQ1208" s="8"/>
      <c r="AR1208" s="8"/>
      <c r="AS1208" s="11"/>
      <c r="AT1208" s="11"/>
      <c r="AU1208" s="11"/>
    </row>
    <row r="1209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11"/>
      <c r="AN1209" s="11"/>
      <c r="AO1209" s="8"/>
      <c r="AP1209" s="8"/>
      <c r="AQ1209" s="8"/>
      <c r="AR1209" s="8"/>
      <c r="AS1209" s="11"/>
      <c r="AT1209" s="11"/>
      <c r="AU1209" s="11"/>
    </row>
    <row r="1210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11"/>
      <c r="AN1210" s="11"/>
      <c r="AO1210" s="8"/>
      <c r="AP1210" s="8"/>
      <c r="AQ1210" s="8"/>
      <c r="AR1210" s="8"/>
      <c r="AS1210" s="11"/>
      <c r="AT1210" s="11"/>
      <c r="AU1210" s="11"/>
    </row>
    <row r="12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11"/>
      <c r="AN1211" s="11"/>
      <c r="AO1211" s="8"/>
      <c r="AP1211" s="8"/>
      <c r="AQ1211" s="8"/>
      <c r="AR1211" s="8"/>
      <c r="AS1211" s="11"/>
      <c r="AT1211" s="11"/>
      <c r="AU1211" s="11"/>
    </row>
    <row r="1212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11"/>
      <c r="AN1212" s="11"/>
      <c r="AO1212" s="8"/>
      <c r="AP1212" s="8"/>
      <c r="AQ1212" s="8"/>
      <c r="AR1212" s="8"/>
      <c r="AS1212" s="11"/>
      <c r="AT1212" s="11"/>
      <c r="AU1212" s="11"/>
    </row>
    <row r="121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11"/>
      <c r="AN1213" s="11"/>
      <c r="AO1213" s="8"/>
      <c r="AP1213" s="8"/>
      <c r="AQ1213" s="8"/>
      <c r="AR1213" s="8"/>
      <c r="AS1213" s="11"/>
      <c r="AT1213" s="11"/>
      <c r="AU1213" s="11"/>
    </row>
    <row r="1214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11"/>
      <c r="AN1214" s="11"/>
      <c r="AO1214" s="8"/>
      <c r="AP1214" s="8"/>
      <c r="AQ1214" s="8"/>
      <c r="AR1214" s="8"/>
      <c r="AS1214" s="11"/>
      <c r="AT1214" s="11"/>
      <c r="AU1214" s="11"/>
    </row>
    <row r="121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11"/>
      <c r="AN1215" s="11"/>
      <c r="AO1215" s="8"/>
      <c r="AP1215" s="8"/>
      <c r="AQ1215" s="8"/>
      <c r="AR1215" s="8"/>
      <c r="AS1215" s="11"/>
      <c r="AT1215" s="11"/>
      <c r="AU1215" s="11"/>
    </row>
    <row r="1216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11"/>
      <c r="AN1216" s="11"/>
      <c r="AO1216" s="8"/>
      <c r="AP1216" s="8"/>
      <c r="AQ1216" s="8"/>
      <c r="AR1216" s="8"/>
      <c r="AS1216" s="11"/>
      <c r="AT1216" s="11"/>
      <c r="AU1216" s="11"/>
    </row>
    <row r="1217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11"/>
      <c r="AN1217" s="11"/>
      <c r="AO1217" s="8"/>
      <c r="AP1217" s="8"/>
      <c r="AQ1217" s="8"/>
      <c r="AR1217" s="8"/>
      <c r="AS1217" s="11"/>
      <c r="AT1217" s="11"/>
      <c r="AU1217" s="11"/>
    </row>
    <row r="1218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11"/>
      <c r="AN1218" s="11"/>
      <c r="AO1218" s="8"/>
      <c r="AP1218" s="8"/>
      <c r="AQ1218" s="8"/>
      <c r="AR1218" s="8"/>
      <c r="AS1218" s="11"/>
      <c r="AT1218" s="11"/>
      <c r="AU1218" s="11"/>
    </row>
    <row r="1219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11"/>
      <c r="AN1219" s="11"/>
      <c r="AO1219" s="8"/>
      <c r="AP1219" s="8"/>
      <c r="AQ1219" s="8"/>
      <c r="AR1219" s="8"/>
      <c r="AS1219" s="11"/>
      <c r="AT1219" s="11"/>
      <c r="AU1219" s="11"/>
    </row>
    <row r="1220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11"/>
      <c r="AN1220" s="11"/>
      <c r="AO1220" s="8"/>
      <c r="AP1220" s="8"/>
      <c r="AQ1220" s="8"/>
      <c r="AR1220" s="8"/>
      <c r="AS1220" s="11"/>
      <c r="AT1220" s="11"/>
      <c r="AU1220" s="11"/>
    </row>
    <row r="122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11"/>
      <c r="AN1221" s="11"/>
      <c r="AO1221" s="8"/>
      <c r="AP1221" s="8"/>
      <c r="AQ1221" s="8"/>
      <c r="AR1221" s="8"/>
      <c r="AS1221" s="11"/>
      <c r="AT1221" s="11"/>
      <c r="AU1221" s="11"/>
    </row>
    <row r="1222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11"/>
      <c r="AN1222" s="11"/>
      <c r="AO1222" s="8"/>
      <c r="AP1222" s="8"/>
      <c r="AQ1222" s="8"/>
      <c r="AR1222" s="8"/>
      <c r="AS1222" s="11"/>
      <c r="AT1222" s="11"/>
      <c r="AU1222" s="11"/>
    </row>
    <row r="122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11"/>
      <c r="AN1223" s="11"/>
      <c r="AO1223" s="8"/>
      <c r="AP1223" s="8"/>
      <c r="AQ1223" s="8"/>
      <c r="AR1223" s="8"/>
      <c r="AS1223" s="11"/>
      <c r="AT1223" s="11"/>
      <c r="AU1223" s="11"/>
    </row>
    <row r="1224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11"/>
      <c r="AN1224" s="11"/>
      <c r="AO1224" s="8"/>
      <c r="AP1224" s="8"/>
      <c r="AQ1224" s="8"/>
      <c r="AR1224" s="8"/>
      <c r="AS1224" s="11"/>
      <c r="AT1224" s="11"/>
      <c r="AU1224" s="11"/>
    </row>
    <row r="12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11"/>
      <c r="AN1225" s="11"/>
      <c r="AO1225" s="8"/>
      <c r="AP1225" s="8"/>
      <c r="AQ1225" s="8"/>
      <c r="AR1225" s="8"/>
      <c r="AS1225" s="11"/>
      <c r="AT1225" s="11"/>
      <c r="AU1225" s="11"/>
    </row>
    <row r="1226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11"/>
      <c r="AN1226" s="11"/>
      <c r="AO1226" s="8"/>
      <c r="AP1226" s="8"/>
      <c r="AQ1226" s="8"/>
      <c r="AR1226" s="8"/>
      <c r="AS1226" s="11"/>
      <c r="AT1226" s="11"/>
      <c r="AU1226" s="11"/>
    </row>
    <row r="1227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11"/>
      <c r="AN1227" s="11"/>
      <c r="AO1227" s="8"/>
      <c r="AP1227" s="8"/>
      <c r="AQ1227" s="8"/>
      <c r="AR1227" s="8"/>
      <c r="AS1227" s="11"/>
      <c r="AT1227" s="11"/>
      <c r="AU1227" s="11"/>
    </row>
    <row r="1228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11"/>
      <c r="AN1228" s="11"/>
      <c r="AO1228" s="8"/>
      <c r="AP1228" s="8"/>
      <c r="AQ1228" s="8"/>
      <c r="AR1228" s="8"/>
      <c r="AS1228" s="11"/>
      <c r="AT1228" s="11"/>
      <c r="AU1228" s="11"/>
    </row>
    <row r="1229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11"/>
      <c r="AN1229" s="11"/>
      <c r="AO1229" s="8"/>
      <c r="AP1229" s="8"/>
      <c r="AQ1229" s="8"/>
      <c r="AR1229" s="8"/>
      <c r="AS1229" s="11"/>
      <c r="AT1229" s="11"/>
      <c r="AU1229" s="11"/>
    </row>
    <row r="1230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11"/>
      <c r="AN1230" s="11"/>
      <c r="AO1230" s="8"/>
      <c r="AP1230" s="8"/>
      <c r="AQ1230" s="8"/>
      <c r="AR1230" s="8"/>
      <c r="AS1230" s="11"/>
      <c r="AT1230" s="11"/>
      <c r="AU1230" s="11"/>
    </row>
    <row r="123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11"/>
      <c r="AN1231" s="11"/>
      <c r="AO1231" s="8"/>
      <c r="AP1231" s="8"/>
      <c r="AQ1231" s="8"/>
      <c r="AR1231" s="8"/>
      <c r="AS1231" s="11"/>
      <c r="AT1231" s="11"/>
      <c r="AU1231" s="11"/>
    </row>
    <row r="1232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11"/>
      <c r="AN1232" s="11"/>
      <c r="AO1232" s="8"/>
      <c r="AP1232" s="8"/>
      <c r="AQ1232" s="8"/>
      <c r="AR1232" s="8"/>
      <c r="AS1232" s="11"/>
      <c r="AT1232" s="11"/>
      <c r="AU1232" s="11"/>
    </row>
    <row r="123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11"/>
      <c r="AN1233" s="11"/>
      <c r="AO1233" s="8"/>
      <c r="AP1233" s="8"/>
      <c r="AQ1233" s="8"/>
      <c r="AR1233" s="8"/>
      <c r="AS1233" s="11"/>
      <c r="AT1233" s="11"/>
      <c r="AU1233" s="11"/>
    </row>
    <row r="1234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11"/>
      <c r="AN1234" s="11"/>
      <c r="AO1234" s="8"/>
      <c r="AP1234" s="8"/>
      <c r="AQ1234" s="8"/>
      <c r="AR1234" s="8"/>
      <c r="AS1234" s="11"/>
      <c r="AT1234" s="11"/>
      <c r="AU1234" s="11"/>
    </row>
    <row r="123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11"/>
      <c r="AN1235" s="11"/>
      <c r="AO1235" s="8"/>
      <c r="AP1235" s="8"/>
      <c r="AQ1235" s="8"/>
      <c r="AR1235" s="8"/>
      <c r="AS1235" s="11"/>
      <c r="AT1235" s="11"/>
      <c r="AU1235" s="11"/>
    </row>
    <row r="1236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11"/>
      <c r="AN1236" s="11"/>
      <c r="AO1236" s="8"/>
      <c r="AP1236" s="8"/>
      <c r="AQ1236" s="8"/>
      <c r="AR1236" s="8"/>
      <c r="AS1236" s="11"/>
      <c r="AT1236" s="11"/>
      <c r="AU1236" s="11"/>
    </row>
    <row r="1237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11"/>
      <c r="AN1237" s="11"/>
      <c r="AO1237" s="8"/>
      <c r="AP1237" s="8"/>
      <c r="AQ1237" s="8"/>
      <c r="AR1237" s="8"/>
      <c r="AS1237" s="11"/>
      <c r="AT1237" s="11"/>
      <c r="AU1237" s="11"/>
    </row>
    <row r="1238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11"/>
      <c r="AN1238" s="11"/>
      <c r="AO1238" s="8"/>
      <c r="AP1238" s="8"/>
      <c r="AQ1238" s="8"/>
      <c r="AR1238" s="8"/>
      <c r="AS1238" s="11"/>
      <c r="AT1238" s="11"/>
      <c r="AU1238" s="11"/>
    </row>
    <row r="1239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11"/>
      <c r="AN1239" s="11"/>
      <c r="AO1239" s="8"/>
      <c r="AP1239" s="8"/>
      <c r="AQ1239" s="8"/>
      <c r="AR1239" s="8"/>
      <c r="AS1239" s="11"/>
      <c r="AT1239" s="11"/>
      <c r="AU1239" s="11"/>
    </row>
    <row r="1240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11"/>
      <c r="AN1240" s="11"/>
      <c r="AO1240" s="8"/>
      <c r="AP1240" s="8"/>
      <c r="AQ1240" s="8"/>
      <c r="AR1240" s="8"/>
      <c r="AS1240" s="11"/>
      <c r="AT1240" s="11"/>
      <c r="AU1240" s="11"/>
    </row>
    <row r="124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11"/>
      <c r="AN1241" s="11"/>
      <c r="AO1241" s="8"/>
      <c r="AP1241" s="8"/>
      <c r="AQ1241" s="8"/>
      <c r="AR1241" s="8"/>
      <c r="AS1241" s="11"/>
      <c r="AT1241" s="11"/>
      <c r="AU1241" s="11"/>
    </row>
    <row r="124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11"/>
      <c r="AN1242" s="11"/>
      <c r="AO1242" s="8"/>
      <c r="AP1242" s="8"/>
      <c r="AQ1242" s="8"/>
      <c r="AR1242" s="8"/>
      <c r="AS1242" s="11"/>
      <c r="AT1242" s="11"/>
      <c r="AU1242" s="11"/>
    </row>
    <row r="124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11"/>
      <c r="AN1243" s="11"/>
      <c r="AO1243" s="8"/>
      <c r="AP1243" s="8"/>
      <c r="AQ1243" s="8"/>
      <c r="AR1243" s="8"/>
      <c r="AS1243" s="11"/>
      <c r="AT1243" s="11"/>
      <c r="AU1243" s="11"/>
    </row>
    <row r="1244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11"/>
      <c r="AN1244" s="11"/>
      <c r="AO1244" s="8"/>
      <c r="AP1244" s="8"/>
      <c r="AQ1244" s="8"/>
      <c r="AR1244" s="8"/>
      <c r="AS1244" s="11"/>
      <c r="AT1244" s="11"/>
      <c r="AU1244" s="11"/>
    </row>
    <row r="124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11"/>
      <c r="AN1245" s="11"/>
      <c r="AO1245" s="8"/>
      <c r="AP1245" s="8"/>
      <c r="AQ1245" s="8"/>
      <c r="AR1245" s="8"/>
      <c r="AS1245" s="11"/>
      <c r="AT1245" s="11"/>
      <c r="AU1245" s="11"/>
    </row>
    <row r="1246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11"/>
      <c r="AN1246" s="11"/>
      <c r="AO1246" s="8"/>
      <c r="AP1246" s="8"/>
      <c r="AQ1246" s="8"/>
      <c r="AR1246" s="8"/>
      <c r="AS1246" s="11"/>
      <c r="AT1246" s="11"/>
      <c r="AU1246" s="11"/>
    </row>
    <row r="1247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11"/>
      <c r="AN1247" s="11"/>
      <c r="AO1247" s="8"/>
      <c r="AP1247" s="8"/>
      <c r="AQ1247" s="8"/>
      <c r="AR1247" s="8"/>
      <c r="AS1247" s="11"/>
      <c r="AT1247" s="11"/>
      <c r="AU1247" s="11"/>
    </row>
    <row r="1248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11"/>
      <c r="AN1248" s="11"/>
      <c r="AO1248" s="8"/>
      <c r="AP1248" s="8"/>
      <c r="AQ1248" s="8"/>
      <c r="AR1248" s="8"/>
      <c r="AS1248" s="11"/>
      <c r="AT1248" s="11"/>
      <c r="AU1248" s="11"/>
    </row>
    <row r="1249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11"/>
      <c r="AN1249" s="11"/>
      <c r="AO1249" s="8"/>
      <c r="AP1249" s="8"/>
      <c r="AQ1249" s="8"/>
      <c r="AR1249" s="8"/>
      <c r="AS1249" s="11"/>
      <c r="AT1249" s="11"/>
      <c r="AU1249" s="11"/>
    </row>
    <row r="1250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11"/>
      <c r="AN1250" s="11"/>
      <c r="AO1250" s="8"/>
      <c r="AP1250" s="8"/>
      <c r="AQ1250" s="8"/>
      <c r="AR1250" s="8"/>
      <c r="AS1250" s="11"/>
      <c r="AT1250" s="11"/>
      <c r="AU1250" s="11"/>
    </row>
    <row r="125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11"/>
      <c r="AN1251" s="11"/>
      <c r="AO1251" s="8"/>
      <c r="AP1251" s="8"/>
      <c r="AQ1251" s="8"/>
      <c r="AR1251" s="8"/>
      <c r="AS1251" s="11"/>
      <c r="AT1251" s="11"/>
      <c r="AU1251" s="11"/>
    </row>
    <row r="1252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11"/>
      <c r="AN1252" s="11"/>
      <c r="AO1252" s="8"/>
      <c r="AP1252" s="8"/>
      <c r="AQ1252" s="8"/>
      <c r="AR1252" s="8"/>
      <c r="AS1252" s="11"/>
      <c r="AT1252" s="11"/>
      <c r="AU1252" s="11"/>
    </row>
    <row r="125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11"/>
      <c r="AN1253" s="11"/>
      <c r="AO1253" s="8"/>
      <c r="AP1253" s="8"/>
      <c r="AQ1253" s="8"/>
      <c r="AR1253" s="8"/>
      <c r="AS1253" s="11"/>
      <c r="AT1253" s="11"/>
      <c r="AU1253" s="11"/>
    </row>
    <row r="1254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11"/>
      <c r="AN1254" s="11"/>
      <c r="AO1254" s="8"/>
      <c r="AP1254" s="8"/>
      <c r="AQ1254" s="8"/>
      <c r="AR1254" s="8"/>
      <c r="AS1254" s="11"/>
      <c r="AT1254" s="11"/>
      <c r="AU1254" s="11"/>
    </row>
    <row r="125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11"/>
      <c r="AN1255" s="11"/>
      <c r="AO1255" s="8"/>
      <c r="AP1255" s="8"/>
      <c r="AQ1255" s="8"/>
      <c r="AR1255" s="8"/>
      <c r="AS1255" s="11"/>
      <c r="AT1255" s="11"/>
      <c r="AU1255" s="11"/>
    </row>
    <row r="1256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11"/>
      <c r="AN1256" s="11"/>
      <c r="AO1256" s="8"/>
      <c r="AP1256" s="8"/>
      <c r="AQ1256" s="8"/>
      <c r="AR1256" s="8"/>
      <c r="AS1256" s="11"/>
      <c r="AT1256" s="11"/>
      <c r="AU1256" s="11"/>
    </row>
    <row r="1257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11"/>
      <c r="AN1257" s="11"/>
      <c r="AO1257" s="8"/>
      <c r="AP1257" s="8"/>
      <c r="AQ1257" s="8"/>
      <c r="AR1257" s="8"/>
      <c r="AS1257" s="11"/>
      <c r="AT1257" s="11"/>
      <c r="AU1257" s="11"/>
    </row>
    <row r="1258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11"/>
      <c r="AN1258" s="11"/>
      <c r="AO1258" s="8"/>
      <c r="AP1258" s="8"/>
      <c r="AQ1258" s="8"/>
      <c r="AR1258" s="8"/>
      <c r="AS1258" s="11"/>
      <c r="AT1258" s="11"/>
      <c r="AU1258" s="11"/>
    </row>
    <row r="1259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11"/>
      <c r="AN1259" s="11"/>
      <c r="AO1259" s="8"/>
      <c r="AP1259" s="8"/>
      <c r="AQ1259" s="8"/>
      <c r="AR1259" s="8"/>
      <c r="AS1259" s="11"/>
      <c r="AT1259" s="11"/>
      <c r="AU1259" s="11"/>
    </row>
    <row r="1260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11"/>
      <c r="AN1260" s="11"/>
      <c r="AO1260" s="8"/>
      <c r="AP1260" s="8"/>
      <c r="AQ1260" s="8"/>
      <c r="AR1260" s="8"/>
      <c r="AS1260" s="11"/>
      <c r="AT1260" s="11"/>
      <c r="AU1260" s="11"/>
    </row>
    <row r="126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11"/>
      <c r="AN1261" s="11"/>
      <c r="AO1261" s="8"/>
      <c r="AP1261" s="8"/>
      <c r="AQ1261" s="8"/>
      <c r="AR1261" s="8"/>
      <c r="AS1261" s="11"/>
      <c r="AT1261" s="11"/>
      <c r="AU1261" s="11"/>
    </row>
    <row r="1262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11"/>
      <c r="AN1262" s="11"/>
      <c r="AO1262" s="8"/>
      <c r="AP1262" s="8"/>
      <c r="AQ1262" s="8"/>
      <c r="AR1262" s="8"/>
      <c r="AS1262" s="11"/>
      <c r="AT1262" s="11"/>
      <c r="AU1262" s="11"/>
    </row>
    <row r="126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11"/>
      <c r="AN1263" s="11"/>
      <c r="AO1263" s="8"/>
      <c r="AP1263" s="8"/>
      <c r="AQ1263" s="8"/>
      <c r="AR1263" s="8"/>
      <c r="AS1263" s="11"/>
      <c r="AT1263" s="11"/>
      <c r="AU1263" s="11"/>
    </row>
    <row r="1264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11"/>
      <c r="AN1264" s="11"/>
      <c r="AO1264" s="8"/>
      <c r="AP1264" s="8"/>
      <c r="AQ1264" s="8"/>
      <c r="AR1264" s="8"/>
      <c r="AS1264" s="11"/>
      <c r="AT1264" s="11"/>
      <c r="AU1264" s="11"/>
    </row>
    <row r="126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11"/>
      <c r="AN1265" s="11"/>
      <c r="AO1265" s="8"/>
      <c r="AP1265" s="8"/>
      <c r="AQ1265" s="8"/>
      <c r="AR1265" s="8"/>
      <c r="AS1265" s="11"/>
      <c r="AT1265" s="11"/>
      <c r="AU1265" s="11"/>
    </row>
    <row r="1266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11"/>
      <c r="AN1266" s="11"/>
      <c r="AO1266" s="8"/>
      <c r="AP1266" s="8"/>
      <c r="AQ1266" s="8"/>
      <c r="AR1266" s="8"/>
      <c r="AS1266" s="11"/>
      <c r="AT1266" s="11"/>
      <c r="AU1266" s="11"/>
    </row>
    <row r="1267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11"/>
      <c r="AN1267" s="11"/>
      <c r="AO1267" s="8"/>
      <c r="AP1267" s="8"/>
      <c r="AQ1267" s="8"/>
      <c r="AR1267" s="8"/>
      <c r="AS1267" s="11"/>
      <c r="AT1267" s="11"/>
      <c r="AU1267" s="11"/>
    </row>
    <row r="1268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11"/>
      <c r="AN1268" s="11"/>
      <c r="AO1268" s="8"/>
      <c r="AP1268" s="8"/>
      <c r="AQ1268" s="8"/>
      <c r="AR1268" s="8"/>
      <c r="AS1268" s="11"/>
      <c r="AT1268" s="11"/>
      <c r="AU1268" s="11"/>
    </row>
    <row r="1269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11"/>
      <c r="AN1269" s="11"/>
      <c r="AO1269" s="8"/>
      <c r="AP1269" s="8"/>
      <c r="AQ1269" s="8"/>
      <c r="AR1269" s="8"/>
      <c r="AS1269" s="11"/>
      <c r="AT1269" s="11"/>
      <c r="AU1269" s="11"/>
    </row>
    <row r="1270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11"/>
      <c r="AN1270" s="11"/>
      <c r="AO1270" s="8"/>
      <c r="AP1270" s="8"/>
      <c r="AQ1270" s="8"/>
      <c r="AR1270" s="8"/>
      <c r="AS1270" s="11"/>
      <c r="AT1270" s="11"/>
      <c r="AU1270" s="11"/>
    </row>
    <row r="127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11"/>
      <c r="AN1271" s="11"/>
      <c r="AO1271" s="8"/>
      <c r="AP1271" s="8"/>
      <c r="AQ1271" s="8"/>
      <c r="AR1271" s="8"/>
      <c r="AS1271" s="11"/>
      <c r="AT1271" s="11"/>
      <c r="AU1271" s="11"/>
    </row>
    <row r="1272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11"/>
      <c r="AN1272" s="11"/>
      <c r="AO1272" s="8"/>
      <c r="AP1272" s="8"/>
      <c r="AQ1272" s="8"/>
      <c r="AR1272" s="8"/>
      <c r="AS1272" s="11"/>
      <c r="AT1272" s="11"/>
      <c r="AU1272" s="11"/>
    </row>
    <row r="127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11"/>
      <c r="AN1273" s="11"/>
      <c r="AO1273" s="8"/>
      <c r="AP1273" s="8"/>
      <c r="AQ1273" s="8"/>
      <c r="AR1273" s="8"/>
      <c r="AS1273" s="11"/>
      <c r="AT1273" s="11"/>
      <c r="AU1273" s="11"/>
    </row>
    <row r="1274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11"/>
      <c r="AN1274" s="11"/>
      <c r="AO1274" s="8"/>
      <c r="AP1274" s="8"/>
      <c r="AQ1274" s="8"/>
      <c r="AR1274" s="8"/>
      <c r="AS1274" s="11"/>
      <c r="AT1274" s="11"/>
      <c r="AU1274" s="11"/>
    </row>
    <row r="127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11"/>
      <c r="AN1275" s="11"/>
      <c r="AO1275" s="8"/>
      <c r="AP1275" s="8"/>
      <c r="AQ1275" s="8"/>
      <c r="AR1275" s="8"/>
      <c r="AS1275" s="11"/>
      <c r="AT1275" s="11"/>
      <c r="AU1275" s="11"/>
    </row>
    <row r="1276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11"/>
      <c r="AN1276" s="11"/>
      <c r="AO1276" s="8"/>
      <c r="AP1276" s="8"/>
      <c r="AQ1276" s="8"/>
      <c r="AR1276" s="8"/>
      <c r="AS1276" s="11"/>
      <c r="AT1276" s="11"/>
      <c r="AU1276" s="11"/>
    </row>
    <row r="1277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11"/>
      <c r="AN1277" s="11"/>
      <c r="AO1277" s="8"/>
      <c r="AP1277" s="8"/>
      <c r="AQ1277" s="8"/>
      <c r="AR1277" s="8"/>
      <c r="AS1277" s="11"/>
      <c r="AT1277" s="11"/>
      <c r="AU1277" s="11"/>
    </row>
    <row r="1278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11"/>
      <c r="AN1278" s="11"/>
      <c r="AO1278" s="8"/>
      <c r="AP1278" s="8"/>
      <c r="AQ1278" s="8"/>
      <c r="AR1278" s="8"/>
      <c r="AS1278" s="11"/>
      <c r="AT1278" s="11"/>
      <c r="AU1278" s="11"/>
    </row>
    <row r="1279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11"/>
      <c r="AN1279" s="11"/>
      <c r="AO1279" s="8"/>
      <c r="AP1279" s="8"/>
      <c r="AQ1279" s="8"/>
      <c r="AR1279" s="8"/>
      <c r="AS1279" s="11"/>
      <c r="AT1279" s="11"/>
      <c r="AU1279" s="11"/>
    </row>
    <row r="1280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11"/>
      <c r="AN1280" s="11"/>
      <c r="AO1280" s="8"/>
      <c r="AP1280" s="8"/>
      <c r="AQ1280" s="8"/>
      <c r="AR1280" s="8"/>
      <c r="AS1280" s="11"/>
      <c r="AT1280" s="11"/>
      <c r="AU1280" s="11"/>
    </row>
    <row r="128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11"/>
      <c r="AN1281" s="11"/>
      <c r="AO1281" s="8"/>
      <c r="AP1281" s="8"/>
      <c r="AQ1281" s="8"/>
      <c r="AR1281" s="8"/>
      <c r="AS1281" s="11"/>
      <c r="AT1281" s="11"/>
      <c r="AU1281" s="11"/>
    </row>
    <row r="1282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11"/>
      <c r="AN1282" s="11"/>
      <c r="AO1282" s="8"/>
      <c r="AP1282" s="8"/>
      <c r="AQ1282" s="8"/>
      <c r="AR1282" s="8"/>
      <c r="AS1282" s="11"/>
      <c r="AT1282" s="11"/>
      <c r="AU1282" s="11"/>
    </row>
    <row r="128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11"/>
      <c r="AN1283" s="11"/>
      <c r="AO1283" s="8"/>
      <c r="AP1283" s="8"/>
      <c r="AQ1283" s="8"/>
      <c r="AR1283" s="8"/>
      <c r="AS1283" s="11"/>
      <c r="AT1283" s="11"/>
      <c r="AU1283" s="11"/>
    </row>
    <row r="1284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11"/>
      <c r="AN1284" s="11"/>
      <c r="AO1284" s="8"/>
      <c r="AP1284" s="8"/>
      <c r="AQ1284" s="8"/>
      <c r="AR1284" s="8"/>
      <c r="AS1284" s="11"/>
      <c r="AT1284" s="11"/>
      <c r="AU1284" s="11"/>
    </row>
    <row r="128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11"/>
      <c r="AN1285" s="11"/>
      <c r="AO1285" s="8"/>
      <c r="AP1285" s="8"/>
      <c r="AQ1285" s="8"/>
      <c r="AR1285" s="8"/>
      <c r="AS1285" s="11"/>
      <c r="AT1285" s="11"/>
      <c r="AU1285" s="11"/>
    </row>
    <row r="1286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11"/>
      <c r="AN1286" s="11"/>
      <c r="AO1286" s="8"/>
      <c r="AP1286" s="8"/>
      <c r="AQ1286" s="8"/>
      <c r="AR1286" s="8"/>
      <c r="AS1286" s="11"/>
      <c r="AT1286" s="11"/>
      <c r="AU1286" s="11"/>
    </row>
    <row r="1287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11"/>
      <c r="AN1287" s="11"/>
      <c r="AO1287" s="8"/>
      <c r="AP1287" s="8"/>
      <c r="AQ1287" s="8"/>
      <c r="AR1287" s="8"/>
      <c r="AS1287" s="11"/>
      <c r="AT1287" s="11"/>
      <c r="AU1287" s="11"/>
    </row>
    <row r="1288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11"/>
      <c r="AN1288" s="11"/>
      <c r="AO1288" s="8"/>
      <c r="AP1288" s="8"/>
      <c r="AQ1288" s="8"/>
      <c r="AR1288" s="8"/>
      <c r="AS1288" s="11"/>
      <c r="AT1288" s="11"/>
      <c r="AU1288" s="11"/>
    </row>
    <row r="1289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11"/>
      <c r="AN1289" s="11"/>
      <c r="AO1289" s="8"/>
      <c r="AP1289" s="8"/>
      <c r="AQ1289" s="8"/>
      <c r="AR1289" s="8"/>
      <c r="AS1289" s="11"/>
      <c r="AT1289" s="11"/>
      <c r="AU1289" s="11"/>
    </row>
    <row r="1290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11"/>
      <c r="AN1290" s="11"/>
      <c r="AO1290" s="8"/>
      <c r="AP1290" s="8"/>
      <c r="AQ1290" s="8"/>
      <c r="AR1290" s="8"/>
      <c r="AS1290" s="11"/>
      <c r="AT1290" s="11"/>
      <c r="AU1290" s="11"/>
    </row>
    <row r="129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11"/>
      <c r="AN1291" s="11"/>
      <c r="AO1291" s="8"/>
      <c r="AP1291" s="8"/>
      <c r="AQ1291" s="8"/>
      <c r="AR1291" s="8"/>
      <c r="AS1291" s="11"/>
      <c r="AT1291" s="11"/>
      <c r="AU1291" s="11"/>
    </row>
    <row r="1292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11"/>
      <c r="AN1292" s="11"/>
      <c r="AO1292" s="8"/>
      <c r="AP1292" s="8"/>
      <c r="AQ1292" s="8"/>
      <c r="AR1292" s="8"/>
      <c r="AS1292" s="11"/>
      <c r="AT1292" s="11"/>
      <c r="AU1292" s="11"/>
    </row>
    <row r="129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11"/>
      <c r="AN1293" s="11"/>
      <c r="AO1293" s="8"/>
      <c r="AP1293" s="8"/>
      <c r="AQ1293" s="8"/>
      <c r="AR1293" s="8"/>
      <c r="AS1293" s="11"/>
      <c r="AT1293" s="11"/>
      <c r="AU1293" s="11"/>
    </row>
    <row r="1294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11"/>
      <c r="AN1294" s="11"/>
      <c r="AO1294" s="8"/>
      <c r="AP1294" s="8"/>
      <c r="AQ1294" s="8"/>
      <c r="AR1294" s="8"/>
      <c r="AS1294" s="11"/>
      <c r="AT1294" s="11"/>
      <c r="AU1294" s="11"/>
    </row>
    <row r="129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11"/>
      <c r="AN1295" s="11"/>
      <c r="AO1295" s="8"/>
      <c r="AP1295" s="8"/>
      <c r="AQ1295" s="8"/>
      <c r="AR1295" s="8"/>
      <c r="AS1295" s="11"/>
      <c r="AT1295" s="11"/>
      <c r="AU1295" s="11"/>
    </row>
    <row r="1296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11"/>
      <c r="AN1296" s="11"/>
      <c r="AO1296" s="8"/>
      <c r="AP1296" s="8"/>
      <c r="AQ1296" s="8"/>
      <c r="AR1296" s="8"/>
      <c r="AS1296" s="11"/>
      <c r="AT1296" s="11"/>
      <c r="AU1296" s="11"/>
    </row>
    <row r="1297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11"/>
      <c r="AN1297" s="11"/>
      <c r="AO1297" s="8"/>
      <c r="AP1297" s="8"/>
      <c r="AQ1297" s="8"/>
      <c r="AR1297" s="8"/>
      <c r="AS1297" s="11"/>
      <c r="AT1297" s="11"/>
      <c r="AU1297" s="11"/>
    </row>
    <row r="1298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11"/>
      <c r="AN1298" s="11"/>
      <c r="AO1298" s="8"/>
      <c r="AP1298" s="8"/>
      <c r="AQ1298" s="8"/>
      <c r="AR1298" s="8"/>
      <c r="AS1298" s="11"/>
      <c r="AT1298" s="11"/>
      <c r="AU1298" s="11"/>
    </row>
    <row r="1299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11"/>
      <c r="AN1299" s="11"/>
      <c r="AO1299" s="8"/>
      <c r="AP1299" s="8"/>
      <c r="AQ1299" s="8"/>
      <c r="AR1299" s="8"/>
      <c r="AS1299" s="11"/>
      <c r="AT1299" s="11"/>
      <c r="AU1299" s="11"/>
    </row>
    <row r="1300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11"/>
      <c r="AN1300" s="11"/>
      <c r="AO1300" s="8"/>
      <c r="AP1300" s="8"/>
      <c r="AQ1300" s="8"/>
      <c r="AR1300" s="8"/>
      <c r="AS1300" s="11"/>
      <c r="AT1300" s="11"/>
      <c r="AU1300" s="11"/>
    </row>
    <row r="130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11"/>
      <c r="AN1301" s="11"/>
      <c r="AO1301" s="8"/>
      <c r="AP1301" s="8"/>
      <c r="AQ1301" s="8"/>
      <c r="AR1301" s="8"/>
      <c r="AS1301" s="11"/>
      <c r="AT1301" s="11"/>
      <c r="AU1301" s="11"/>
    </row>
    <row r="1302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11"/>
      <c r="AN1302" s="11"/>
      <c r="AO1302" s="8"/>
      <c r="AP1302" s="8"/>
      <c r="AQ1302" s="8"/>
      <c r="AR1302" s="8"/>
      <c r="AS1302" s="11"/>
      <c r="AT1302" s="11"/>
      <c r="AU1302" s="11"/>
    </row>
    <row r="130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11"/>
      <c r="AN1303" s="11"/>
      <c r="AO1303" s="8"/>
      <c r="AP1303" s="8"/>
      <c r="AQ1303" s="8"/>
      <c r="AR1303" s="8"/>
      <c r="AS1303" s="11"/>
      <c r="AT1303" s="11"/>
      <c r="AU1303" s="11"/>
    </row>
    <row r="1304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11"/>
      <c r="AN1304" s="11"/>
      <c r="AO1304" s="8"/>
      <c r="AP1304" s="8"/>
      <c r="AQ1304" s="8"/>
      <c r="AR1304" s="8"/>
      <c r="AS1304" s="11"/>
      <c r="AT1304" s="11"/>
      <c r="AU1304" s="11"/>
    </row>
    <row r="130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11"/>
      <c r="AN1305" s="11"/>
      <c r="AO1305" s="8"/>
      <c r="AP1305" s="8"/>
      <c r="AQ1305" s="8"/>
      <c r="AR1305" s="8"/>
      <c r="AS1305" s="11"/>
      <c r="AT1305" s="11"/>
      <c r="AU1305" s="11"/>
    </row>
    <row r="1306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11"/>
      <c r="AN1306" s="11"/>
      <c r="AO1306" s="8"/>
      <c r="AP1306" s="8"/>
      <c r="AQ1306" s="8"/>
      <c r="AR1306" s="8"/>
      <c r="AS1306" s="11"/>
      <c r="AT1306" s="11"/>
      <c r="AU1306" s="11"/>
    </row>
    <row r="1307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11"/>
      <c r="AN1307" s="11"/>
      <c r="AO1307" s="8"/>
      <c r="AP1307" s="8"/>
      <c r="AQ1307" s="8"/>
      <c r="AR1307" s="8"/>
      <c r="AS1307" s="11"/>
      <c r="AT1307" s="11"/>
      <c r="AU1307" s="11"/>
    </row>
    <row r="1308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11"/>
      <c r="AN1308" s="11"/>
      <c r="AO1308" s="8"/>
      <c r="AP1308" s="8"/>
      <c r="AQ1308" s="8"/>
      <c r="AR1308" s="8"/>
      <c r="AS1308" s="11"/>
      <c r="AT1308" s="11"/>
      <c r="AU1308" s="11"/>
    </row>
    <row r="1309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11"/>
      <c r="AN1309" s="11"/>
      <c r="AO1309" s="8"/>
      <c r="AP1309" s="8"/>
      <c r="AQ1309" s="8"/>
      <c r="AR1309" s="8"/>
      <c r="AS1309" s="11"/>
      <c r="AT1309" s="11"/>
      <c r="AU1309" s="11"/>
    </row>
    <row r="1310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11"/>
      <c r="AN1310" s="11"/>
      <c r="AO1310" s="8"/>
      <c r="AP1310" s="8"/>
      <c r="AQ1310" s="8"/>
      <c r="AR1310" s="8"/>
      <c r="AS1310" s="11"/>
      <c r="AT1310" s="11"/>
      <c r="AU1310" s="11"/>
    </row>
    <row r="13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11"/>
      <c r="AN1311" s="11"/>
      <c r="AO1311" s="8"/>
      <c r="AP1311" s="8"/>
      <c r="AQ1311" s="8"/>
      <c r="AR1311" s="8"/>
      <c r="AS1311" s="11"/>
      <c r="AT1311" s="11"/>
      <c r="AU1311" s="11"/>
    </row>
    <row r="1312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11"/>
      <c r="AN1312" s="11"/>
      <c r="AO1312" s="8"/>
      <c r="AP1312" s="8"/>
      <c r="AQ1312" s="8"/>
      <c r="AR1312" s="8"/>
      <c r="AS1312" s="11"/>
      <c r="AT1312" s="11"/>
      <c r="AU1312" s="11"/>
    </row>
    <row r="131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11"/>
      <c r="AN1313" s="11"/>
      <c r="AO1313" s="8"/>
      <c r="AP1313" s="8"/>
      <c r="AQ1313" s="8"/>
      <c r="AR1313" s="8"/>
      <c r="AS1313" s="11"/>
      <c r="AT1313" s="11"/>
      <c r="AU1313" s="11"/>
    </row>
    <row r="1314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11"/>
      <c r="AN1314" s="11"/>
      <c r="AO1314" s="8"/>
      <c r="AP1314" s="8"/>
      <c r="AQ1314" s="8"/>
      <c r="AR1314" s="8"/>
      <c r="AS1314" s="11"/>
      <c r="AT1314" s="11"/>
      <c r="AU1314" s="11"/>
    </row>
    <row r="131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11"/>
      <c r="AN1315" s="11"/>
      <c r="AO1315" s="8"/>
      <c r="AP1315" s="8"/>
      <c r="AQ1315" s="8"/>
      <c r="AR1315" s="8"/>
      <c r="AS1315" s="11"/>
      <c r="AT1315" s="11"/>
      <c r="AU1315" s="11"/>
    </row>
    <row r="1316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11"/>
      <c r="AN1316" s="11"/>
      <c r="AO1316" s="8"/>
      <c r="AP1316" s="8"/>
      <c r="AQ1316" s="8"/>
      <c r="AR1316" s="8"/>
      <c r="AS1316" s="11"/>
      <c r="AT1316" s="11"/>
      <c r="AU1316" s="11"/>
    </row>
    <row r="1317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11"/>
      <c r="AN1317" s="11"/>
      <c r="AO1317" s="8"/>
      <c r="AP1317" s="8"/>
      <c r="AQ1317" s="8"/>
      <c r="AR1317" s="8"/>
      <c r="AS1317" s="11"/>
      <c r="AT1317" s="11"/>
      <c r="AU1317" s="11"/>
    </row>
    <row r="1318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11"/>
      <c r="AN1318" s="11"/>
      <c r="AO1318" s="8"/>
      <c r="AP1318" s="8"/>
      <c r="AQ1318" s="8"/>
      <c r="AR1318" s="8"/>
      <c r="AS1318" s="11"/>
      <c r="AT1318" s="11"/>
      <c r="AU1318" s="11"/>
    </row>
    <row r="1319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11"/>
      <c r="AN1319" s="11"/>
      <c r="AO1319" s="8"/>
      <c r="AP1319" s="8"/>
      <c r="AQ1319" s="8"/>
      <c r="AR1319" s="8"/>
      <c r="AS1319" s="11"/>
      <c r="AT1319" s="11"/>
      <c r="AU1319" s="11"/>
    </row>
    <row r="1320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11"/>
      <c r="AN1320" s="11"/>
      <c r="AO1320" s="8"/>
      <c r="AP1320" s="8"/>
      <c r="AQ1320" s="8"/>
      <c r="AR1320" s="8"/>
      <c r="AS1320" s="11"/>
      <c r="AT1320" s="11"/>
      <c r="AU1320" s="11"/>
    </row>
    <row r="132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11"/>
      <c r="AN1321" s="11"/>
      <c r="AO1321" s="8"/>
      <c r="AP1321" s="8"/>
      <c r="AQ1321" s="8"/>
      <c r="AR1321" s="8"/>
      <c r="AS1321" s="11"/>
      <c r="AT1321" s="11"/>
      <c r="AU1321" s="11"/>
    </row>
    <row r="1322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11"/>
      <c r="AN1322" s="11"/>
      <c r="AO1322" s="8"/>
      <c r="AP1322" s="8"/>
      <c r="AQ1322" s="8"/>
      <c r="AR1322" s="8"/>
      <c r="AS1322" s="11"/>
      <c r="AT1322" s="11"/>
      <c r="AU1322" s="11"/>
    </row>
    <row r="132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11"/>
      <c r="AN1323" s="11"/>
      <c r="AO1323" s="8"/>
      <c r="AP1323" s="8"/>
      <c r="AQ1323" s="8"/>
      <c r="AR1323" s="8"/>
      <c r="AS1323" s="11"/>
      <c r="AT1323" s="11"/>
      <c r="AU1323" s="11"/>
    </row>
    <row r="1324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11"/>
      <c r="AN1324" s="11"/>
      <c r="AO1324" s="8"/>
      <c r="AP1324" s="8"/>
      <c r="AQ1324" s="8"/>
      <c r="AR1324" s="8"/>
      <c r="AS1324" s="11"/>
      <c r="AT1324" s="11"/>
      <c r="AU1324" s="11"/>
    </row>
    <row r="13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11"/>
      <c r="AN1325" s="11"/>
      <c r="AO1325" s="8"/>
      <c r="AP1325" s="8"/>
      <c r="AQ1325" s="8"/>
      <c r="AR1325" s="8"/>
      <c r="AS1325" s="11"/>
      <c r="AT1325" s="11"/>
      <c r="AU1325" s="11"/>
    </row>
    <row r="1326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11"/>
      <c r="AN1326" s="11"/>
      <c r="AO1326" s="8"/>
      <c r="AP1326" s="8"/>
      <c r="AQ1326" s="8"/>
      <c r="AR1326" s="8"/>
      <c r="AS1326" s="11"/>
      <c r="AT1326" s="11"/>
      <c r="AU1326" s="11"/>
    </row>
    <row r="1327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11"/>
      <c r="AN1327" s="11"/>
      <c r="AO1327" s="8"/>
      <c r="AP1327" s="8"/>
      <c r="AQ1327" s="8"/>
      <c r="AR1327" s="8"/>
      <c r="AS1327" s="11"/>
      <c r="AT1327" s="11"/>
      <c r="AU1327" s="11"/>
    </row>
    <row r="1328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11"/>
      <c r="AN1328" s="11"/>
      <c r="AO1328" s="8"/>
      <c r="AP1328" s="8"/>
      <c r="AQ1328" s="8"/>
      <c r="AR1328" s="8"/>
      <c r="AS1328" s="11"/>
      <c r="AT1328" s="11"/>
      <c r="AU1328" s="11"/>
    </row>
    <row r="1329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11"/>
      <c r="AN1329" s="11"/>
      <c r="AO1329" s="8"/>
      <c r="AP1329" s="8"/>
      <c r="AQ1329" s="8"/>
      <c r="AR1329" s="8"/>
      <c r="AS1329" s="11"/>
      <c r="AT1329" s="11"/>
      <c r="AU1329" s="11"/>
    </row>
    <row r="1330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11"/>
      <c r="AN1330" s="11"/>
      <c r="AO1330" s="8"/>
      <c r="AP1330" s="8"/>
      <c r="AQ1330" s="8"/>
      <c r="AR1330" s="8"/>
      <c r="AS1330" s="11"/>
      <c r="AT1330" s="11"/>
      <c r="AU1330" s="11"/>
    </row>
    <row r="133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11"/>
      <c r="AN1331" s="11"/>
      <c r="AO1331" s="8"/>
      <c r="AP1331" s="8"/>
      <c r="AQ1331" s="8"/>
      <c r="AR1331" s="8"/>
      <c r="AS1331" s="11"/>
      <c r="AT1331" s="11"/>
      <c r="AU1331" s="11"/>
    </row>
    <row r="1332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11"/>
      <c r="AN1332" s="11"/>
      <c r="AO1332" s="8"/>
      <c r="AP1332" s="8"/>
      <c r="AQ1332" s="8"/>
      <c r="AR1332" s="8"/>
      <c r="AS1332" s="11"/>
      <c r="AT1332" s="11"/>
      <c r="AU1332" s="11"/>
    </row>
    <row r="133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11"/>
      <c r="AN1333" s="11"/>
      <c r="AO1333" s="8"/>
      <c r="AP1333" s="8"/>
      <c r="AQ1333" s="8"/>
      <c r="AR1333" s="8"/>
      <c r="AS1333" s="11"/>
      <c r="AT1333" s="11"/>
      <c r="AU1333" s="11"/>
    </row>
    <row r="1334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11"/>
      <c r="AN1334" s="11"/>
      <c r="AO1334" s="8"/>
      <c r="AP1334" s="8"/>
      <c r="AQ1334" s="8"/>
      <c r="AR1334" s="8"/>
      <c r="AS1334" s="11"/>
      <c r="AT1334" s="11"/>
      <c r="AU1334" s="11"/>
    </row>
    <row r="133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11"/>
      <c r="AN1335" s="11"/>
      <c r="AO1335" s="8"/>
      <c r="AP1335" s="8"/>
      <c r="AQ1335" s="8"/>
      <c r="AR1335" s="8"/>
      <c r="AS1335" s="11"/>
      <c r="AT1335" s="11"/>
      <c r="AU1335" s="11"/>
    </row>
    <row r="1336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11"/>
      <c r="AN1336" s="11"/>
      <c r="AO1336" s="8"/>
      <c r="AP1336" s="8"/>
      <c r="AQ1336" s="8"/>
      <c r="AR1336" s="8"/>
      <c r="AS1336" s="11"/>
      <c r="AT1336" s="11"/>
      <c r="AU1336" s="11"/>
    </row>
    <row r="1337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11"/>
      <c r="AN1337" s="11"/>
      <c r="AO1337" s="8"/>
      <c r="AP1337" s="8"/>
      <c r="AQ1337" s="8"/>
      <c r="AR1337" s="8"/>
      <c r="AS1337" s="11"/>
      <c r="AT1337" s="11"/>
      <c r="AU1337" s="11"/>
    </row>
    <row r="1338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11"/>
      <c r="AN1338" s="11"/>
      <c r="AO1338" s="8"/>
      <c r="AP1338" s="8"/>
      <c r="AQ1338" s="8"/>
      <c r="AR1338" s="8"/>
      <c r="AS1338" s="11"/>
      <c r="AT1338" s="11"/>
      <c r="AU1338" s="11"/>
    </row>
    <row r="1339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11"/>
      <c r="AN1339" s="11"/>
      <c r="AO1339" s="8"/>
      <c r="AP1339" s="8"/>
      <c r="AQ1339" s="8"/>
      <c r="AR1339" s="8"/>
      <c r="AS1339" s="11"/>
      <c r="AT1339" s="11"/>
      <c r="AU1339" s="11"/>
    </row>
    <row r="1340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11"/>
      <c r="AN1340" s="11"/>
      <c r="AO1340" s="8"/>
      <c r="AP1340" s="8"/>
      <c r="AQ1340" s="8"/>
      <c r="AR1340" s="8"/>
      <c r="AS1340" s="11"/>
      <c r="AT1340" s="11"/>
      <c r="AU1340" s="11"/>
    </row>
    <row r="134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11"/>
      <c r="AN1341" s="11"/>
      <c r="AO1341" s="8"/>
      <c r="AP1341" s="8"/>
      <c r="AQ1341" s="8"/>
      <c r="AR1341" s="8"/>
      <c r="AS1341" s="11"/>
      <c r="AT1341" s="11"/>
      <c r="AU1341" s="11"/>
    </row>
    <row r="1342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11"/>
      <c r="AN1342" s="11"/>
      <c r="AO1342" s="8"/>
      <c r="AP1342" s="8"/>
      <c r="AQ1342" s="8"/>
      <c r="AR1342" s="8"/>
      <c r="AS1342" s="11"/>
      <c r="AT1342" s="11"/>
      <c r="AU1342" s="11"/>
    </row>
    <row r="134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11"/>
      <c r="AN1343" s="11"/>
      <c r="AO1343" s="8"/>
      <c r="AP1343" s="8"/>
      <c r="AQ1343" s="8"/>
      <c r="AR1343" s="8"/>
      <c r="AS1343" s="11"/>
      <c r="AT1343" s="11"/>
      <c r="AU1343" s="11"/>
    </row>
    <row r="1344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11"/>
      <c r="AN1344" s="11"/>
      <c r="AO1344" s="8"/>
      <c r="AP1344" s="8"/>
      <c r="AQ1344" s="8"/>
      <c r="AR1344" s="8"/>
      <c r="AS1344" s="11"/>
      <c r="AT1344" s="11"/>
      <c r="AU1344" s="11"/>
    </row>
    <row r="134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11"/>
      <c r="AN1345" s="11"/>
      <c r="AO1345" s="8"/>
      <c r="AP1345" s="8"/>
      <c r="AQ1345" s="8"/>
      <c r="AR1345" s="8"/>
      <c r="AS1345" s="11"/>
      <c r="AT1345" s="11"/>
      <c r="AU1345" s="11"/>
    </row>
    <row r="1346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11"/>
      <c r="AN1346" s="11"/>
      <c r="AO1346" s="8"/>
      <c r="AP1346" s="8"/>
      <c r="AQ1346" s="8"/>
      <c r="AR1346" s="8"/>
      <c r="AS1346" s="11"/>
      <c r="AT1346" s="11"/>
      <c r="AU1346" s="11"/>
    </row>
    <row r="1347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11"/>
      <c r="AN1347" s="11"/>
      <c r="AO1347" s="8"/>
      <c r="AP1347" s="8"/>
      <c r="AQ1347" s="8"/>
      <c r="AR1347" s="8"/>
      <c r="AS1347" s="11"/>
      <c r="AT1347" s="11"/>
      <c r="AU1347" s="11"/>
    </row>
    <row r="1348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11"/>
      <c r="AN1348" s="11"/>
      <c r="AO1348" s="8"/>
      <c r="AP1348" s="8"/>
      <c r="AQ1348" s="8"/>
      <c r="AR1348" s="8"/>
      <c r="AS1348" s="11"/>
      <c r="AT1348" s="11"/>
      <c r="AU1348" s="11"/>
    </row>
    <row r="1349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11"/>
      <c r="AN1349" s="11"/>
      <c r="AO1349" s="8"/>
      <c r="AP1349" s="8"/>
      <c r="AQ1349" s="8"/>
      <c r="AR1349" s="8"/>
      <c r="AS1349" s="11"/>
      <c r="AT1349" s="11"/>
      <c r="AU1349" s="11"/>
    </row>
    <row r="1350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11"/>
      <c r="AN1350" s="11"/>
      <c r="AO1350" s="8"/>
      <c r="AP1350" s="8"/>
      <c r="AQ1350" s="8"/>
      <c r="AR1350" s="8"/>
      <c r="AS1350" s="11"/>
      <c r="AT1350" s="11"/>
      <c r="AU1350" s="11"/>
    </row>
    <row r="135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11"/>
      <c r="AN1351" s="11"/>
      <c r="AO1351" s="8"/>
      <c r="AP1351" s="8"/>
      <c r="AQ1351" s="8"/>
      <c r="AR1351" s="8"/>
      <c r="AS1351" s="11"/>
      <c r="AT1351" s="11"/>
      <c r="AU1351" s="11"/>
    </row>
    <row r="1352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11"/>
      <c r="AN1352" s="11"/>
      <c r="AO1352" s="8"/>
      <c r="AP1352" s="8"/>
      <c r="AQ1352" s="8"/>
      <c r="AR1352" s="8"/>
      <c r="AS1352" s="11"/>
      <c r="AT1352" s="11"/>
      <c r="AU1352" s="11"/>
    </row>
    <row r="135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11"/>
      <c r="AN1353" s="11"/>
      <c r="AO1353" s="8"/>
      <c r="AP1353" s="8"/>
      <c r="AQ1353" s="8"/>
      <c r="AR1353" s="8"/>
      <c r="AS1353" s="11"/>
      <c r="AT1353" s="11"/>
      <c r="AU1353" s="11"/>
    </row>
    <row r="1354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11"/>
      <c r="AN1354" s="11"/>
      <c r="AO1354" s="8"/>
      <c r="AP1354" s="8"/>
      <c r="AQ1354" s="8"/>
      <c r="AR1354" s="8"/>
      <c r="AS1354" s="11"/>
      <c r="AT1354" s="11"/>
      <c r="AU1354" s="11"/>
    </row>
    <row r="135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11"/>
      <c r="AN1355" s="11"/>
      <c r="AO1355" s="8"/>
      <c r="AP1355" s="8"/>
      <c r="AQ1355" s="8"/>
      <c r="AR1355" s="8"/>
      <c r="AS1355" s="11"/>
      <c r="AT1355" s="11"/>
      <c r="AU1355" s="11"/>
    </row>
    <row r="1356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11"/>
      <c r="AN1356" s="11"/>
      <c r="AO1356" s="8"/>
      <c r="AP1356" s="8"/>
      <c r="AQ1356" s="8"/>
      <c r="AR1356" s="8"/>
      <c r="AS1356" s="11"/>
      <c r="AT1356" s="11"/>
      <c r="AU1356" s="11"/>
    </row>
    <row r="1357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11"/>
      <c r="AN1357" s="11"/>
      <c r="AO1357" s="8"/>
      <c r="AP1357" s="8"/>
      <c r="AQ1357" s="8"/>
      <c r="AR1357" s="8"/>
      <c r="AS1357" s="11"/>
      <c r="AT1357" s="11"/>
      <c r="AU1357" s="11"/>
    </row>
    <row r="1358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11"/>
      <c r="AN1358" s="11"/>
      <c r="AO1358" s="8"/>
      <c r="AP1358" s="8"/>
      <c r="AQ1358" s="8"/>
      <c r="AR1358" s="8"/>
      <c r="AS1358" s="11"/>
      <c r="AT1358" s="11"/>
      <c r="AU1358" s="11"/>
    </row>
    <row r="1359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11"/>
      <c r="AN1359" s="11"/>
      <c r="AO1359" s="8"/>
      <c r="AP1359" s="8"/>
      <c r="AQ1359" s="8"/>
      <c r="AR1359" s="8"/>
      <c r="AS1359" s="11"/>
      <c r="AT1359" s="11"/>
      <c r="AU1359" s="11"/>
    </row>
    <row r="1360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11"/>
      <c r="AN1360" s="11"/>
      <c r="AO1360" s="8"/>
      <c r="AP1360" s="8"/>
      <c r="AQ1360" s="8"/>
      <c r="AR1360" s="8"/>
      <c r="AS1360" s="11"/>
      <c r="AT1360" s="11"/>
      <c r="AU1360" s="11"/>
    </row>
    <row r="136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11"/>
      <c r="AN1361" s="11"/>
      <c r="AO1361" s="8"/>
      <c r="AP1361" s="8"/>
      <c r="AQ1361" s="8"/>
      <c r="AR1361" s="8"/>
      <c r="AS1361" s="11"/>
      <c r="AT1361" s="11"/>
      <c r="AU1361" s="11"/>
    </row>
    <row r="1362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11"/>
      <c r="AN1362" s="11"/>
      <c r="AO1362" s="8"/>
      <c r="AP1362" s="8"/>
      <c r="AQ1362" s="8"/>
      <c r="AR1362" s="8"/>
      <c r="AS1362" s="11"/>
      <c r="AT1362" s="11"/>
      <c r="AU1362" s="11"/>
    </row>
    <row r="136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11"/>
      <c r="AN1363" s="11"/>
      <c r="AO1363" s="8"/>
      <c r="AP1363" s="8"/>
      <c r="AQ1363" s="8"/>
      <c r="AR1363" s="8"/>
      <c r="AS1363" s="11"/>
      <c r="AT1363" s="11"/>
      <c r="AU1363" s="11"/>
    </row>
    <row r="1364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11"/>
      <c r="AN1364" s="11"/>
      <c r="AO1364" s="8"/>
      <c r="AP1364" s="8"/>
      <c r="AQ1364" s="8"/>
      <c r="AR1364" s="8"/>
      <c r="AS1364" s="11"/>
      <c r="AT1364" s="11"/>
      <c r="AU1364" s="11"/>
    </row>
    <row r="136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11"/>
      <c r="AN1365" s="11"/>
      <c r="AO1365" s="8"/>
      <c r="AP1365" s="8"/>
      <c r="AQ1365" s="8"/>
      <c r="AR1365" s="8"/>
      <c r="AS1365" s="11"/>
      <c r="AT1365" s="11"/>
      <c r="AU1365" s="11"/>
    </row>
    <row r="1366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11"/>
      <c r="AN1366" s="11"/>
      <c r="AO1366" s="8"/>
      <c r="AP1366" s="8"/>
      <c r="AQ1366" s="8"/>
      <c r="AR1366" s="8"/>
      <c r="AS1366" s="11"/>
      <c r="AT1366" s="11"/>
      <c r="AU1366" s="11"/>
    </row>
    <row r="1367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11"/>
      <c r="AN1367" s="11"/>
      <c r="AO1367" s="8"/>
      <c r="AP1367" s="8"/>
      <c r="AQ1367" s="8"/>
      <c r="AR1367" s="8"/>
      <c r="AS1367" s="11"/>
      <c r="AT1367" s="11"/>
      <c r="AU1367" s="11"/>
    </row>
    <row r="1368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11"/>
      <c r="AN1368" s="11"/>
      <c r="AO1368" s="8"/>
      <c r="AP1368" s="8"/>
      <c r="AQ1368" s="8"/>
      <c r="AR1368" s="8"/>
      <c r="AS1368" s="11"/>
      <c r="AT1368" s="11"/>
      <c r="AU1368" s="11"/>
    </row>
    <row r="1369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11"/>
      <c r="AN1369" s="11"/>
      <c r="AO1369" s="8"/>
      <c r="AP1369" s="8"/>
      <c r="AQ1369" s="8"/>
      <c r="AR1369" s="8"/>
      <c r="AS1369" s="11"/>
      <c r="AT1369" s="11"/>
      <c r="AU1369" s="11"/>
    </row>
    <row r="1370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11"/>
      <c r="AN1370" s="11"/>
      <c r="AO1370" s="8"/>
      <c r="AP1370" s="8"/>
      <c r="AQ1370" s="8"/>
      <c r="AR1370" s="8"/>
      <c r="AS1370" s="11"/>
      <c r="AT1370" s="11"/>
      <c r="AU1370" s="11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11"/>
      <c r="AN1371" s="11"/>
      <c r="AO1371" s="8"/>
      <c r="AP1371" s="8"/>
      <c r="AQ1371" s="8"/>
      <c r="AR1371" s="8"/>
      <c r="AS1371" s="11"/>
      <c r="AT1371" s="11"/>
      <c r="AU1371" s="11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11"/>
      <c r="AN1372" s="11"/>
      <c r="AO1372" s="8"/>
      <c r="AP1372" s="8"/>
      <c r="AQ1372" s="8"/>
      <c r="AR1372" s="8"/>
      <c r="AS1372" s="11"/>
      <c r="AT1372" s="11"/>
      <c r="AU1372" s="11"/>
    </row>
    <row r="137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11"/>
      <c r="AN1373" s="11"/>
      <c r="AO1373" s="8"/>
      <c r="AP1373" s="8"/>
      <c r="AQ1373" s="8"/>
      <c r="AR1373" s="8"/>
      <c r="AS1373" s="11"/>
      <c r="AT1373" s="11"/>
      <c r="AU1373" s="11"/>
    </row>
    <row r="1374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11"/>
      <c r="AN1374" s="11"/>
      <c r="AO1374" s="8"/>
      <c r="AP1374" s="8"/>
      <c r="AQ1374" s="8"/>
      <c r="AR1374" s="8"/>
      <c r="AS1374" s="11"/>
      <c r="AT1374" s="11"/>
      <c r="AU1374" s="11"/>
    </row>
    <row r="137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11"/>
      <c r="AN1375" s="11"/>
      <c r="AO1375" s="8"/>
      <c r="AP1375" s="8"/>
      <c r="AQ1375" s="8"/>
      <c r="AR1375" s="8"/>
      <c r="AS1375" s="11"/>
      <c r="AT1375" s="11"/>
      <c r="AU1375" s="11"/>
    </row>
    <row r="1376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11"/>
      <c r="AN1376" s="11"/>
      <c r="AO1376" s="8"/>
      <c r="AP1376" s="8"/>
      <c r="AQ1376" s="8"/>
      <c r="AR1376" s="8"/>
      <c r="AS1376" s="11"/>
      <c r="AT1376" s="11"/>
      <c r="AU1376" s="11"/>
    </row>
    <row r="1377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11"/>
      <c r="AN1377" s="11"/>
      <c r="AO1377" s="8"/>
      <c r="AP1377" s="8"/>
      <c r="AQ1377" s="8"/>
      <c r="AR1377" s="8"/>
      <c r="AS1377" s="11"/>
      <c r="AT1377" s="11"/>
      <c r="AU1377" s="11"/>
    </row>
    <row r="1378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11"/>
      <c r="AN1378" s="11"/>
      <c r="AO1378" s="8"/>
      <c r="AP1378" s="8"/>
      <c r="AQ1378" s="8"/>
      <c r="AR1378" s="8"/>
      <c r="AS1378" s="11"/>
      <c r="AT1378" s="11"/>
      <c r="AU1378" s="11"/>
    </row>
    <row r="1379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11"/>
      <c r="AN1379" s="11"/>
      <c r="AO1379" s="8"/>
      <c r="AP1379" s="8"/>
      <c r="AQ1379" s="8"/>
      <c r="AR1379" s="8"/>
      <c r="AS1379" s="11"/>
      <c r="AT1379" s="11"/>
      <c r="AU1379" s="11"/>
    </row>
    <row r="1380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11"/>
      <c r="AN1380" s="11"/>
      <c r="AO1380" s="8"/>
      <c r="AP1380" s="8"/>
      <c r="AQ1380" s="8"/>
      <c r="AR1380" s="8"/>
      <c r="AS1380" s="11"/>
      <c r="AT1380" s="11"/>
      <c r="AU1380" s="11"/>
    </row>
    <row r="138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11"/>
      <c r="AN1381" s="11"/>
      <c r="AO1381" s="8"/>
      <c r="AP1381" s="8"/>
      <c r="AQ1381" s="8"/>
      <c r="AR1381" s="8"/>
      <c r="AS1381" s="11"/>
      <c r="AT1381" s="11"/>
      <c r="AU1381" s="11"/>
    </row>
    <row r="1382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11"/>
      <c r="AN1382" s="11"/>
      <c r="AO1382" s="8"/>
      <c r="AP1382" s="8"/>
      <c r="AQ1382" s="8"/>
      <c r="AR1382" s="8"/>
      <c r="AS1382" s="11"/>
      <c r="AT1382" s="11"/>
      <c r="AU1382" s="11"/>
    </row>
    <row r="1383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11"/>
      <c r="AN1383" s="11"/>
      <c r="AO1383" s="8"/>
      <c r="AP1383" s="8"/>
      <c r="AQ1383" s="8"/>
      <c r="AR1383" s="8"/>
      <c r="AS1383" s="11"/>
      <c r="AT1383" s="11"/>
      <c r="AU1383" s="11"/>
    </row>
    <row r="1384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11"/>
      <c r="AN1384" s="11"/>
      <c r="AO1384" s="8"/>
      <c r="AP1384" s="8"/>
      <c r="AQ1384" s="8"/>
      <c r="AR1384" s="8"/>
      <c r="AS1384" s="11"/>
      <c r="AT1384" s="11"/>
      <c r="AU1384" s="11"/>
    </row>
    <row r="138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11"/>
      <c r="AN1385" s="11"/>
      <c r="AO1385" s="8"/>
      <c r="AP1385" s="8"/>
      <c r="AQ1385" s="8"/>
      <c r="AR1385" s="8"/>
      <c r="AS1385" s="11"/>
      <c r="AT1385" s="11"/>
      <c r="AU1385" s="11"/>
    </row>
    <row r="1386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11"/>
      <c r="AN1386" s="11"/>
      <c r="AO1386" s="8"/>
      <c r="AP1386" s="8"/>
      <c r="AQ1386" s="8"/>
      <c r="AR1386" s="8"/>
      <c r="AS1386" s="11"/>
      <c r="AT1386" s="11"/>
      <c r="AU1386" s="11"/>
    </row>
    <row r="1387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11"/>
      <c r="AN1387" s="11"/>
      <c r="AO1387" s="8"/>
      <c r="AP1387" s="8"/>
      <c r="AQ1387" s="8"/>
      <c r="AR1387" s="8"/>
      <c r="AS1387" s="11"/>
      <c r="AT1387" s="11"/>
      <c r="AU1387" s="11"/>
    </row>
    <row r="1388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11"/>
      <c r="AN1388" s="11"/>
      <c r="AO1388" s="8"/>
      <c r="AP1388" s="8"/>
      <c r="AQ1388" s="8"/>
      <c r="AR1388" s="8"/>
      <c r="AS1388" s="11"/>
      <c r="AT1388" s="11"/>
      <c r="AU1388" s="11"/>
    </row>
    <row r="1389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11"/>
      <c r="AN1389" s="11"/>
      <c r="AO1389" s="8"/>
      <c r="AP1389" s="8"/>
      <c r="AQ1389" s="8"/>
      <c r="AR1389" s="8"/>
      <c r="AS1389" s="11"/>
      <c r="AT1389" s="11"/>
      <c r="AU1389" s="11"/>
    </row>
    <row r="1390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11"/>
      <c r="AN1390" s="11"/>
      <c r="AO1390" s="8"/>
      <c r="AP1390" s="8"/>
      <c r="AQ1390" s="8"/>
      <c r="AR1390" s="8"/>
      <c r="AS1390" s="11"/>
      <c r="AT1390" s="11"/>
      <c r="AU1390" s="11"/>
    </row>
    <row r="139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11"/>
      <c r="AN1391" s="11"/>
      <c r="AO1391" s="8"/>
      <c r="AP1391" s="8"/>
      <c r="AQ1391" s="8"/>
      <c r="AR1391" s="8"/>
      <c r="AS1391" s="11"/>
      <c r="AT1391" s="11"/>
      <c r="AU1391" s="11"/>
    </row>
    <row r="1392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11"/>
      <c r="AN1392" s="11"/>
      <c r="AO1392" s="8"/>
      <c r="AP1392" s="8"/>
      <c r="AQ1392" s="8"/>
      <c r="AR1392" s="8"/>
      <c r="AS1392" s="11"/>
      <c r="AT1392" s="11"/>
      <c r="AU1392" s="11"/>
    </row>
    <row r="1393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11"/>
      <c r="AN1393" s="11"/>
      <c r="AO1393" s="8"/>
      <c r="AP1393" s="8"/>
      <c r="AQ1393" s="8"/>
      <c r="AR1393" s="8"/>
      <c r="AS1393" s="11"/>
      <c r="AT1393" s="11"/>
      <c r="AU1393" s="11"/>
    </row>
    <row r="1394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11"/>
      <c r="AN1394" s="11"/>
      <c r="AO1394" s="8"/>
      <c r="AP1394" s="8"/>
      <c r="AQ1394" s="8"/>
      <c r="AR1394" s="8"/>
      <c r="AS1394" s="11"/>
      <c r="AT1394" s="11"/>
      <c r="AU1394" s="11"/>
    </row>
    <row r="139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11"/>
      <c r="AN1395" s="11"/>
      <c r="AO1395" s="8"/>
      <c r="AP1395" s="8"/>
      <c r="AQ1395" s="8"/>
      <c r="AR1395" s="8"/>
      <c r="AS1395" s="11"/>
      <c r="AT1395" s="11"/>
      <c r="AU1395" s="11"/>
    </row>
    <row r="1396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11"/>
      <c r="AN1396" s="11"/>
      <c r="AO1396" s="8"/>
      <c r="AP1396" s="8"/>
      <c r="AQ1396" s="8"/>
      <c r="AR1396" s="8"/>
      <c r="AS1396" s="11"/>
      <c r="AT1396" s="11"/>
      <c r="AU1396" s="11"/>
    </row>
    <row r="1397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11"/>
      <c r="AN1397" s="11"/>
      <c r="AO1397" s="8"/>
      <c r="AP1397" s="8"/>
      <c r="AQ1397" s="8"/>
      <c r="AR1397" s="8"/>
      <c r="AS1397" s="11"/>
      <c r="AT1397" s="11"/>
      <c r="AU1397" s="11"/>
    </row>
    <row r="1398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11"/>
      <c r="AN1398" s="11"/>
      <c r="AO1398" s="8"/>
      <c r="AP1398" s="8"/>
      <c r="AQ1398" s="8"/>
      <c r="AR1398" s="8"/>
      <c r="AS1398" s="11"/>
      <c r="AT1398" s="11"/>
      <c r="AU1398" s="11"/>
    </row>
    <row r="1399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11"/>
      <c r="AN1399" s="11"/>
      <c r="AO1399" s="8"/>
      <c r="AP1399" s="8"/>
      <c r="AQ1399" s="8"/>
      <c r="AR1399" s="8"/>
      <c r="AS1399" s="11"/>
      <c r="AT1399" s="11"/>
      <c r="AU1399" s="11"/>
    </row>
    <row r="1400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11"/>
      <c r="AN1400" s="11"/>
      <c r="AO1400" s="8"/>
      <c r="AP1400" s="8"/>
      <c r="AQ1400" s="8"/>
      <c r="AR1400" s="8"/>
      <c r="AS1400" s="11"/>
      <c r="AT1400" s="11"/>
      <c r="AU1400" s="11"/>
    </row>
    <row r="140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11"/>
      <c r="AN1401" s="11"/>
      <c r="AO1401" s="8"/>
      <c r="AP1401" s="8"/>
      <c r="AQ1401" s="8"/>
      <c r="AR1401" s="8"/>
      <c r="AS1401" s="11"/>
      <c r="AT1401" s="11"/>
      <c r="AU1401" s="11"/>
    </row>
    <row r="1402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11"/>
      <c r="AN1402" s="11"/>
      <c r="AO1402" s="8"/>
      <c r="AP1402" s="8"/>
      <c r="AQ1402" s="8"/>
      <c r="AR1402" s="8"/>
      <c r="AS1402" s="11"/>
      <c r="AT1402" s="11"/>
      <c r="AU1402" s="11"/>
    </row>
    <row r="1403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11"/>
      <c r="AN1403" s="11"/>
      <c r="AO1403" s="8"/>
      <c r="AP1403" s="8"/>
      <c r="AQ1403" s="8"/>
      <c r="AR1403" s="8"/>
      <c r="AS1403" s="11"/>
      <c r="AT1403" s="11"/>
      <c r="AU1403" s="11"/>
    </row>
    <row r="1404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11"/>
      <c r="AN1404" s="11"/>
      <c r="AO1404" s="8"/>
      <c r="AP1404" s="8"/>
      <c r="AQ1404" s="8"/>
      <c r="AR1404" s="8"/>
      <c r="AS1404" s="11"/>
      <c r="AT1404" s="11"/>
      <c r="AU1404" s="11"/>
    </row>
    <row r="140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11"/>
      <c r="AN1405" s="11"/>
      <c r="AO1405" s="8"/>
      <c r="AP1405" s="8"/>
      <c r="AQ1405" s="8"/>
      <c r="AR1405" s="8"/>
      <c r="AS1405" s="11"/>
      <c r="AT1405" s="11"/>
      <c r="AU1405" s="11"/>
    </row>
    <row r="1406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11"/>
      <c r="AN1406" s="11"/>
      <c r="AO1406" s="8"/>
      <c r="AP1406" s="8"/>
      <c r="AQ1406" s="8"/>
      <c r="AR1406" s="8"/>
      <c r="AS1406" s="11"/>
      <c r="AT1406" s="11"/>
      <c r="AU1406" s="11"/>
    </row>
    <row r="1407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11"/>
      <c r="AN1407" s="11"/>
      <c r="AO1407" s="8"/>
      <c r="AP1407" s="8"/>
      <c r="AQ1407" s="8"/>
      <c r="AR1407" s="8"/>
      <c r="AS1407" s="11"/>
      <c r="AT1407" s="11"/>
      <c r="AU1407" s="11"/>
    </row>
    <row r="1408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11"/>
      <c r="AN1408" s="11"/>
      <c r="AO1408" s="8"/>
      <c r="AP1408" s="8"/>
      <c r="AQ1408" s="8"/>
      <c r="AR1408" s="8"/>
      <c r="AS1408" s="11"/>
      <c r="AT1408" s="11"/>
      <c r="AU1408" s="11"/>
    </row>
    <row r="1409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11"/>
      <c r="AN1409" s="11"/>
      <c r="AO1409" s="8"/>
      <c r="AP1409" s="8"/>
      <c r="AQ1409" s="8"/>
      <c r="AR1409" s="8"/>
      <c r="AS1409" s="11"/>
      <c r="AT1409" s="11"/>
      <c r="AU1409" s="11"/>
    </row>
    <row r="1410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11"/>
      <c r="AN1410" s="11"/>
      <c r="AO1410" s="8"/>
      <c r="AP1410" s="8"/>
      <c r="AQ1410" s="8"/>
      <c r="AR1410" s="8"/>
      <c r="AS1410" s="11"/>
      <c r="AT1410" s="11"/>
      <c r="AU1410" s="11"/>
    </row>
    <row r="14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11"/>
      <c r="AN1411" s="11"/>
      <c r="AO1411" s="8"/>
      <c r="AP1411" s="8"/>
      <c r="AQ1411" s="8"/>
      <c r="AR1411" s="8"/>
      <c r="AS1411" s="11"/>
      <c r="AT1411" s="11"/>
      <c r="AU1411" s="11"/>
    </row>
    <row r="1412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11"/>
      <c r="AN1412" s="11"/>
      <c r="AO1412" s="8"/>
      <c r="AP1412" s="8"/>
      <c r="AQ1412" s="8"/>
      <c r="AR1412" s="8"/>
      <c r="AS1412" s="11"/>
      <c r="AT1412" s="11"/>
      <c r="AU1412" s="11"/>
    </row>
    <row r="1413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11"/>
      <c r="AN1413" s="11"/>
      <c r="AO1413" s="8"/>
      <c r="AP1413" s="8"/>
      <c r="AQ1413" s="8"/>
      <c r="AR1413" s="8"/>
      <c r="AS1413" s="11"/>
      <c r="AT1413" s="11"/>
      <c r="AU1413" s="11"/>
    </row>
    <row r="1414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11"/>
      <c r="AN1414" s="11"/>
      <c r="AO1414" s="8"/>
      <c r="AP1414" s="8"/>
      <c r="AQ1414" s="8"/>
      <c r="AR1414" s="8"/>
      <c r="AS1414" s="11"/>
      <c r="AT1414" s="11"/>
      <c r="AU1414" s="11"/>
    </row>
    <row r="141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11"/>
      <c r="AN1415" s="11"/>
      <c r="AO1415" s="8"/>
      <c r="AP1415" s="8"/>
      <c r="AQ1415" s="8"/>
      <c r="AR1415" s="8"/>
      <c r="AS1415" s="11"/>
      <c r="AT1415" s="11"/>
      <c r="AU1415" s="11"/>
    </row>
    <row r="1416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11"/>
      <c r="AN1416" s="11"/>
      <c r="AO1416" s="8"/>
      <c r="AP1416" s="8"/>
      <c r="AQ1416" s="8"/>
      <c r="AR1416" s="8"/>
      <c r="AS1416" s="11"/>
      <c r="AT1416" s="11"/>
      <c r="AU1416" s="11"/>
    </row>
    <row r="1417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11"/>
      <c r="AN1417" s="11"/>
      <c r="AO1417" s="8"/>
      <c r="AP1417" s="8"/>
      <c r="AQ1417" s="8"/>
      <c r="AR1417" s="8"/>
      <c r="AS1417" s="11"/>
      <c r="AT1417" s="11"/>
      <c r="AU1417" s="11"/>
    </row>
    <row r="1418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11"/>
      <c r="AN1418" s="11"/>
      <c r="AO1418" s="8"/>
      <c r="AP1418" s="8"/>
      <c r="AQ1418" s="8"/>
      <c r="AR1418" s="8"/>
      <c r="AS1418" s="11"/>
      <c r="AT1418" s="11"/>
      <c r="AU1418" s="11"/>
    </row>
    <row r="1419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11"/>
      <c r="AN1419" s="11"/>
      <c r="AO1419" s="8"/>
      <c r="AP1419" s="8"/>
      <c r="AQ1419" s="8"/>
      <c r="AR1419" s="8"/>
      <c r="AS1419" s="11"/>
      <c r="AT1419" s="11"/>
      <c r="AU1419" s="11"/>
    </row>
    <row r="1420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11"/>
      <c r="AN1420" s="11"/>
      <c r="AO1420" s="8"/>
      <c r="AP1420" s="8"/>
      <c r="AQ1420" s="8"/>
      <c r="AR1420" s="8"/>
      <c r="AS1420" s="11"/>
      <c r="AT1420" s="11"/>
      <c r="AU1420" s="11"/>
    </row>
    <row r="142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11"/>
      <c r="AN1421" s="11"/>
      <c r="AO1421" s="8"/>
      <c r="AP1421" s="8"/>
      <c r="AQ1421" s="8"/>
      <c r="AR1421" s="8"/>
      <c r="AS1421" s="11"/>
      <c r="AT1421" s="11"/>
      <c r="AU1421" s="11"/>
    </row>
    <row r="1422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11"/>
      <c r="AN1422" s="11"/>
      <c r="AO1422" s="8"/>
      <c r="AP1422" s="8"/>
      <c r="AQ1422" s="8"/>
      <c r="AR1422" s="8"/>
      <c r="AS1422" s="11"/>
      <c r="AT1422" s="11"/>
      <c r="AU1422" s="11"/>
    </row>
    <row r="1423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11"/>
      <c r="AN1423" s="11"/>
      <c r="AO1423" s="8"/>
      <c r="AP1423" s="8"/>
      <c r="AQ1423" s="8"/>
      <c r="AR1423" s="8"/>
      <c r="AS1423" s="11"/>
      <c r="AT1423" s="11"/>
      <c r="AU1423" s="11"/>
    </row>
    <row r="1424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11"/>
      <c r="AN1424" s="11"/>
      <c r="AO1424" s="8"/>
      <c r="AP1424" s="8"/>
      <c r="AQ1424" s="8"/>
      <c r="AR1424" s="8"/>
      <c r="AS1424" s="11"/>
      <c r="AT1424" s="11"/>
      <c r="AU1424" s="11"/>
    </row>
    <row r="14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11"/>
      <c r="AN1425" s="11"/>
      <c r="AO1425" s="8"/>
      <c r="AP1425" s="8"/>
      <c r="AQ1425" s="8"/>
      <c r="AR1425" s="8"/>
      <c r="AS1425" s="11"/>
      <c r="AT1425" s="11"/>
      <c r="AU1425" s="11"/>
    </row>
    <row r="1426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11"/>
      <c r="AN1426" s="11"/>
      <c r="AO1426" s="8"/>
      <c r="AP1426" s="8"/>
      <c r="AQ1426" s="8"/>
      <c r="AR1426" s="8"/>
      <c r="AS1426" s="11"/>
      <c r="AT1426" s="11"/>
      <c r="AU1426" s="11"/>
    </row>
    <row r="1427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11"/>
      <c r="AN1427" s="11"/>
      <c r="AO1427" s="8"/>
      <c r="AP1427" s="8"/>
      <c r="AQ1427" s="8"/>
      <c r="AR1427" s="8"/>
      <c r="AS1427" s="11"/>
      <c r="AT1427" s="11"/>
      <c r="AU1427" s="11"/>
    </row>
    <row r="1428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11"/>
      <c r="AN1428" s="11"/>
      <c r="AO1428" s="8"/>
      <c r="AP1428" s="8"/>
      <c r="AQ1428" s="8"/>
      <c r="AR1428" s="8"/>
      <c r="AS1428" s="11"/>
      <c r="AT1428" s="11"/>
      <c r="AU1428" s="11"/>
    </row>
    <row r="1429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11"/>
      <c r="AN1429" s="11"/>
      <c r="AO1429" s="8"/>
      <c r="AP1429" s="8"/>
      <c r="AQ1429" s="8"/>
      <c r="AR1429" s="8"/>
      <c r="AS1429" s="11"/>
      <c r="AT1429" s="11"/>
      <c r="AU1429" s="11"/>
    </row>
    <row r="1430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11"/>
      <c r="AN1430" s="11"/>
      <c r="AO1430" s="8"/>
      <c r="AP1430" s="8"/>
      <c r="AQ1430" s="8"/>
      <c r="AR1430" s="8"/>
      <c r="AS1430" s="11"/>
      <c r="AT1430" s="11"/>
      <c r="AU1430" s="11"/>
    </row>
    <row r="143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11"/>
      <c r="AN1431" s="11"/>
      <c r="AO1431" s="8"/>
      <c r="AP1431" s="8"/>
      <c r="AQ1431" s="8"/>
      <c r="AR1431" s="8"/>
      <c r="AS1431" s="11"/>
      <c r="AT1431" s="11"/>
      <c r="AU1431" s="11"/>
    </row>
    <row r="1432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11"/>
      <c r="AN1432" s="11"/>
      <c r="AO1432" s="8"/>
      <c r="AP1432" s="8"/>
      <c r="AQ1432" s="8"/>
      <c r="AR1432" s="8"/>
      <c r="AS1432" s="11"/>
      <c r="AT1432" s="11"/>
      <c r="AU1432" s="11"/>
    </row>
    <row r="1433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11"/>
      <c r="AN1433" s="11"/>
      <c r="AO1433" s="8"/>
      <c r="AP1433" s="8"/>
      <c r="AQ1433" s="8"/>
      <c r="AR1433" s="8"/>
      <c r="AS1433" s="11"/>
      <c r="AT1433" s="11"/>
      <c r="AU1433" s="11"/>
    </row>
    <row r="1434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11"/>
      <c r="AN1434" s="11"/>
      <c r="AO1434" s="8"/>
      <c r="AP1434" s="8"/>
      <c r="AQ1434" s="8"/>
      <c r="AR1434" s="8"/>
      <c r="AS1434" s="11"/>
      <c r="AT1434" s="11"/>
      <c r="AU1434" s="11"/>
    </row>
    <row r="143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11"/>
      <c r="AN1435" s="11"/>
      <c r="AO1435" s="8"/>
      <c r="AP1435" s="8"/>
      <c r="AQ1435" s="8"/>
      <c r="AR1435" s="8"/>
      <c r="AS1435" s="11"/>
      <c r="AT1435" s="11"/>
      <c r="AU1435" s="11"/>
    </row>
    <row r="1436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11"/>
      <c r="AN1436" s="11"/>
      <c r="AO1436" s="8"/>
      <c r="AP1436" s="8"/>
      <c r="AQ1436" s="8"/>
      <c r="AR1436" s="8"/>
      <c r="AS1436" s="11"/>
      <c r="AT1436" s="11"/>
      <c r="AU1436" s="11"/>
    </row>
    <row r="1437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11"/>
      <c r="AN1437" s="11"/>
      <c r="AO1437" s="8"/>
      <c r="AP1437" s="8"/>
      <c r="AQ1437" s="8"/>
      <c r="AR1437" s="8"/>
      <c r="AS1437" s="11"/>
      <c r="AT1437" s="11"/>
      <c r="AU1437" s="11"/>
    </row>
    <row r="1438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11"/>
      <c r="AN1438" s="11"/>
      <c r="AO1438" s="8"/>
      <c r="AP1438" s="8"/>
      <c r="AQ1438" s="8"/>
      <c r="AR1438" s="8"/>
      <c r="AS1438" s="11"/>
      <c r="AT1438" s="11"/>
      <c r="AU1438" s="11"/>
    </row>
    <row r="1439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11"/>
      <c r="AN1439" s="11"/>
      <c r="AO1439" s="8"/>
      <c r="AP1439" s="8"/>
      <c r="AQ1439" s="8"/>
      <c r="AR1439" s="8"/>
      <c r="AS1439" s="11"/>
      <c r="AT1439" s="11"/>
      <c r="AU1439" s="11"/>
    </row>
    <row r="1440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11"/>
      <c r="AN1440" s="11"/>
      <c r="AO1440" s="8"/>
      <c r="AP1440" s="8"/>
      <c r="AQ1440" s="8"/>
      <c r="AR1440" s="8"/>
      <c r="AS1440" s="11"/>
      <c r="AT1440" s="11"/>
      <c r="AU1440" s="11"/>
    </row>
    <row r="144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11"/>
      <c r="AN1441" s="11"/>
      <c r="AO1441" s="8"/>
      <c r="AP1441" s="8"/>
      <c r="AQ1441" s="8"/>
      <c r="AR1441" s="8"/>
      <c r="AS1441" s="11"/>
      <c r="AT1441" s="11"/>
      <c r="AU1441" s="11"/>
    </row>
    <row r="1442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11"/>
      <c r="AN1442" s="11"/>
      <c r="AO1442" s="8"/>
      <c r="AP1442" s="8"/>
      <c r="AQ1442" s="8"/>
      <c r="AR1442" s="8"/>
      <c r="AS1442" s="11"/>
      <c r="AT1442" s="11"/>
      <c r="AU1442" s="11"/>
    </row>
    <row r="1443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11"/>
      <c r="AN1443" s="11"/>
      <c r="AO1443" s="8"/>
      <c r="AP1443" s="8"/>
      <c r="AQ1443" s="8"/>
      <c r="AR1443" s="8"/>
      <c r="AS1443" s="11"/>
      <c r="AT1443" s="11"/>
      <c r="AU1443" s="11"/>
    </row>
    <row r="1444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11"/>
      <c r="AN1444" s="11"/>
      <c r="AO1444" s="8"/>
      <c r="AP1444" s="8"/>
      <c r="AQ1444" s="8"/>
      <c r="AR1444" s="8"/>
      <c r="AS1444" s="11"/>
      <c r="AT1444" s="11"/>
      <c r="AU1444" s="11"/>
    </row>
    <row r="144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11"/>
      <c r="AN1445" s="11"/>
      <c r="AO1445" s="8"/>
      <c r="AP1445" s="8"/>
      <c r="AQ1445" s="8"/>
      <c r="AR1445" s="8"/>
      <c r="AS1445" s="11"/>
      <c r="AT1445" s="11"/>
      <c r="AU1445" s="11"/>
    </row>
    <row r="1446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11"/>
      <c r="AN1446" s="11"/>
      <c r="AO1446" s="8"/>
      <c r="AP1446" s="8"/>
      <c r="AQ1446" s="8"/>
      <c r="AR1446" s="8"/>
      <c r="AS1446" s="11"/>
      <c r="AT1446" s="11"/>
      <c r="AU1446" s="11"/>
    </row>
    <row r="1447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11"/>
      <c r="AN1447" s="11"/>
      <c r="AO1447" s="8"/>
      <c r="AP1447" s="8"/>
      <c r="AQ1447" s="8"/>
      <c r="AR1447" s="8"/>
      <c r="AS1447" s="11"/>
      <c r="AT1447" s="11"/>
      <c r="AU1447" s="11"/>
    </row>
    <row r="1448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11"/>
      <c r="AN1448" s="11"/>
      <c r="AO1448" s="8"/>
      <c r="AP1448" s="8"/>
      <c r="AQ1448" s="8"/>
      <c r="AR1448" s="8"/>
      <c r="AS1448" s="11"/>
      <c r="AT1448" s="11"/>
      <c r="AU1448" s="11"/>
    </row>
    <row r="1449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11"/>
      <c r="AN1449" s="11"/>
      <c r="AO1449" s="8"/>
      <c r="AP1449" s="8"/>
      <c r="AQ1449" s="8"/>
      <c r="AR1449" s="8"/>
      <c r="AS1449" s="11"/>
      <c r="AT1449" s="11"/>
      <c r="AU1449" s="11"/>
    </row>
    <row r="1450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11"/>
      <c r="AN1450" s="11"/>
      <c r="AO1450" s="8"/>
      <c r="AP1450" s="8"/>
      <c r="AQ1450" s="8"/>
      <c r="AR1450" s="8"/>
      <c r="AS1450" s="11"/>
      <c r="AT1450" s="11"/>
      <c r="AU1450" s="11"/>
    </row>
    <row r="145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11"/>
      <c r="AN1451" s="11"/>
      <c r="AO1451" s="8"/>
      <c r="AP1451" s="8"/>
      <c r="AQ1451" s="8"/>
      <c r="AR1451" s="8"/>
      <c r="AS1451" s="11"/>
      <c r="AT1451" s="11"/>
      <c r="AU1451" s="11"/>
    </row>
    <row r="1452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11"/>
      <c r="AN1452" s="11"/>
      <c r="AO1452" s="8"/>
      <c r="AP1452" s="8"/>
      <c r="AQ1452" s="8"/>
      <c r="AR1452" s="8"/>
      <c r="AS1452" s="11"/>
      <c r="AT1452" s="11"/>
      <c r="AU1452" s="11"/>
    </row>
    <row r="1453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11"/>
      <c r="AN1453" s="11"/>
      <c r="AO1453" s="8"/>
      <c r="AP1453" s="8"/>
      <c r="AQ1453" s="8"/>
      <c r="AR1453" s="8"/>
      <c r="AS1453" s="11"/>
      <c r="AT1453" s="11"/>
      <c r="AU1453" s="11"/>
    </row>
    <row r="1454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11"/>
      <c r="AN1454" s="11"/>
      <c r="AO1454" s="8"/>
      <c r="AP1454" s="8"/>
      <c r="AQ1454" s="8"/>
      <c r="AR1454" s="8"/>
      <c r="AS1454" s="11"/>
      <c r="AT1454" s="11"/>
      <c r="AU1454" s="11"/>
    </row>
    <row r="145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11"/>
      <c r="AN1455" s="11"/>
      <c r="AO1455" s="8"/>
      <c r="AP1455" s="8"/>
      <c r="AQ1455" s="8"/>
      <c r="AR1455" s="8"/>
      <c r="AS1455" s="11"/>
      <c r="AT1455" s="11"/>
      <c r="AU1455" s="11"/>
    </row>
    <row r="1456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11"/>
      <c r="AN1456" s="11"/>
      <c r="AO1456" s="8"/>
      <c r="AP1456" s="8"/>
      <c r="AQ1456" s="8"/>
      <c r="AR1456" s="8"/>
      <c r="AS1456" s="11"/>
      <c r="AT1456" s="11"/>
      <c r="AU1456" s="11"/>
    </row>
    <row r="1457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11"/>
      <c r="AN1457" s="11"/>
      <c r="AO1457" s="8"/>
      <c r="AP1457" s="8"/>
      <c r="AQ1457" s="8"/>
      <c r="AR1457" s="8"/>
      <c r="AS1457" s="11"/>
      <c r="AT1457" s="11"/>
      <c r="AU1457" s="11"/>
    </row>
    <row r="1458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11"/>
      <c r="AN1458" s="11"/>
      <c r="AO1458" s="8"/>
      <c r="AP1458" s="8"/>
      <c r="AQ1458" s="8"/>
      <c r="AR1458" s="8"/>
      <c r="AS1458" s="11"/>
      <c r="AT1458" s="11"/>
      <c r="AU1458" s="11"/>
    </row>
    <row r="1459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11"/>
      <c r="AN1459" s="11"/>
      <c r="AO1459" s="8"/>
      <c r="AP1459" s="8"/>
      <c r="AQ1459" s="8"/>
      <c r="AR1459" s="8"/>
      <c r="AS1459" s="11"/>
      <c r="AT1459" s="11"/>
      <c r="AU1459" s="11"/>
    </row>
    <row r="1460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11"/>
      <c r="AN1460" s="11"/>
      <c r="AO1460" s="8"/>
      <c r="AP1460" s="8"/>
      <c r="AQ1460" s="8"/>
      <c r="AR1460" s="8"/>
      <c r="AS1460" s="11"/>
      <c r="AT1460" s="11"/>
      <c r="AU1460" s="11"/>
    </row>
    <row r="146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11"/>
      <c r="AN1461" s="11"/>
      <c r="AO1461" s="8"/>
      <c r="AP1461" s="8"/>
      <c r="AQ1461" s="8"/>
      <c r="AR1461" s="8"/>
      <c r="AS1461" s="11"/>
      <c r="AT1461" s="11"/>
      <c r="AU1461" s="11"/>
    </row>
    <row r="1462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11"/>
      <c r="AN1462" s="11"/>
      <c r="AO1462" s="8"/>
      <c r="AP1462" s="8"/>
      <c r="AQ1462" s="8"/>
      <c r="AR1462" s="8"/>
      <c r="AS1462" s="11"/>
      <c r="AT1462" s="11"/>
      <c r="AU1462" s="11"/>
    </row>
    <row r="1463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11"/>
      <c r="AN1463" s="11"/>
      <c r="AO1463" s="8"/>
      <c r="AP1463" s="8"/>
      <c r="AQ1463" s="8"/>
      <c r="AR1463" s="8"/>
      <c r="AS1463" s="11"/>
      <c r="AT1463" s="11"/>
      <c r="AU1463" s="11"/>
    </row>
    <row r="1464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11"/>
      <c r="AN1464" s="11"/>
      <c r="AO1464" s="8"/>
      <c r="AP1464" s="8"/>
      <c r="AQ1464" s="8"/>
      <c r="AR1464" s="8"/>
      <c r="AS1464" s="11"/>
      <c r="AT1464" s="11"/>
      <c r="AU1464" s="11"/>
    </row>
    <row r="146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11"/>
      <c r="AN1465" s="11"/>
      <c r="AO1465" s="8"/>
      <c r="AP1465" s="8"/>
      <c r="AQ1465" s="8"/>
      <c r="AR1465" s="8"/>
      <c r="AS1465" s="11"/>
      <c r="AT1465" s="11"/>
      <c r="AU1465" s="11"/>
    </row>
    <row r="1466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11"/>
      <c r="AN1466" s="11"/>
      <c r="AO1466" s="8"/>
      <c r="AP1466" s="8"/>
      <c r="AQ1466" s="8"/>
      <c r="AR1466" s="8"/>
      <c r="AS1466" s="11"/>
      <c r="AT1466" s="11"/>
      <c r="AU1466" s="11"/>
    </row>
    <row r="1467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11"/>
      <c r="AN1467" s="11"/>
      <c r="AO1467" s="8"/>
      <c r="AP1467" s="8"/>
      <c r="AQ1467" s="8"/>
      <c r="AR1467" s="8"/>
      <c r="AS1467" s="11"/>
      <c r="AT1467" s="11"/>
      <c r="AU1467" s="11"/>
    </row>
    <row r="1468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11"/>
      <c r="AN1468" s="11"/>
      <c r="AO1468" s="8"/>
      <c r="AP1468" s="8"/>
      <c r="AQ1468" s="8"/>
      <c r="AR1468" s="8"/>
      <c r="AS1468" s="11"/>
      <c r="AT1468" s="11"/>
      <c r="AU1468" s="11"/>
    </row>
    <row r="1469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11"/>
      <c r="AN1469" s="11"/>
      <c r="AO1469" s="8"/>
      <c r="AP1469" s="8"/>
      <c r="AQ1469" s="8"/>
      <c r="AR1469" s="8"/>
      <c r="AS1469" s="11"/>
      <c r="AT1469" s="11"/>
      <c r="AU1469" s="11"/>
    </row>
    <row r="1470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11"/>
      <c r="AN1470" s="11"/>
      <c r="AO1470" s="8"/>
      <c r="AP1470" s="8"/>
      <c r="AQ1470" s="8"/>
      <c r="AR1470" s="8"/>
      <c r="AS1470" s="11"/>
      <c r="AT1470" s="11"/>
      <c r="AU1470" s="11"/>
    </row>
    <row r="147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11"/>
      <c r="AN1471" s="11"/>
      <c r="AO1471" s="8"/>
      <c r="AP1471" s="8"/>
      <c r="AQ1471" s="8"/>
      <c r="AR1471" s="8"/>
      <c r="AS1471" s="11"/>
      <c r="AT1471" s="11"/>
      <c r="AU1471" s="11"/>
    </row>
    <row r="1472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11"/>
      <c r="AN1472" s="11"/>
      <c r="AO1472" s="8"/>
      <c r="AP1472" s="8"/>
      <c r="AQ1472" s="8"/>
      <c r="AR1472" s="8"/>
      <c r="AS1472" s="11"/>
      <c r="AT1472" s="11"/>
      <c r="AU1472" s="11"/>
    </row>
    <row r="1473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11"/>
      <c r="AN1473" s="11"/>
      <c r="AO1473" s="8"/>
      <c r="AP1473" s="8"/>
      <c r="AQ1473" s="8"/>
      <c r="AR1473" s="8"/>
      <c r="AS1473" s="11"/>
      <c r="AT1473" s="11"/>
      <c r="AU1473" s="11"/>
    </row>
    <row r="1474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11"/>
      <c r="AN1474" s="11"/>
      <c r="AO1474" s="8"/>
      <c r="AP1474" s="8"/>
      <c r="AQ1474" s="8"/>
      <c r="AR1474" s="8"/>
      <c r="AS1474" s="11"/>
      <c r="AT1474" s="11"/>
      <c r="AU1474" s="11"/>
    </row>
    <row r="147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11"/>
      <c r="AN1475" s="11"/>
      <c r="AO1475" s="8"/>
      <c r="AP1475" s="8"/>
      <c r="AQ1475" s="8"/>
      <c r="AR1475" s="8"/>
      <c r="AS1475" s="11"/>
      <c r="AT1475" s="11"/>
      <c r="AU1475" s="11"/>
    </row>
    <row r="1476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11"/>
      <c r="AN1476" s="11"/>
      <c r="AO1476" s="8"/>
      <c r="AP1476" s="8"/>
      <c r="AQ1476" s="8"/>
      <c r="AR1476" s="8"/>
      <c r="AS1476" s="11"/>
      <c r="AT1476" s="11"/>
      <c r="AU1476" s="11"/>
    </row>
    <row r="1477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11"/>
      <c r="AN1477" s="11"/>
      <c r="AO1477" s="8"/>
      <c r="AP1477" s="8"/>
      <c r="AQ1477" s="8"/>
      <c r="AR1477" s="8"/>
      <c r="AS1477" s="11"/>
      <c r="AT1477" s="11"/>
      <c r="AU1477" s="11"/>
    </row>
    <row r="1478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11"/>
      <c r="AN1478" s="11"/>
      <c r="AO1478" s="8"/>
      <c r="AP1478" s="8"/>
      <c r="AQ1478" s="8"/>
      <c r="AR1478" s="8"/>
      <c r="AS1478" s="11"/>
      <c r="AT1478" s="11"/>
      <c r="AU1478" s="11"/>
    </row>
    <row r="1479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11"/>
      <c r="AN1479" s="11"/>
      <c r="AO1479" s="8"/>
      <c r="AP1479" s="8"/>
      <c r="AQ1479" s="8"/>
      <c r="AR1479" s="8"/>
      <c r="AS1479" s="11"/>
      <c r="AT1479" s="11"/>
      <c r="AU1479" s="11"/>
    </row>
  </sheetData>
  <drawing r:id="rId2"/>
  <legacyDrawing r:id="rId3"/>
</worksheet>
</file>