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PLData" sheetId="1" r:id="rId3"/>
    <sheet state="visible" name="legend-VPL" sheetId="2" r:id="rId4"/>
    <sheet state="visible" name="VPLData(raw)" sheetId="3" r:id="rId5"/>
    <sheet state="visible" name="provinha1a-cond-part1" sheetId="4" r:id="rId6"/>
    <sheet state="visible" name="provinha1b-cond-part1" sheetId="5" r:id="rId7"/>
    <sheet state="visible" name="provinha1a-cond-part2" sheetId="6" r:id="rId8"/>
    <sheet state="visible" name="provinha1b-cond-part2" sheetId="7" r:id="rId9"/>
    <sheet state="visible" name="provinha2a-loops" sheetId="8" r:id="rId10"/>
    <sheet state="visible" name="provinha2b-loops" sheetId="9" r:id="rId11"/>
    <sheet state="visible" name="provinha3a-recurs" sheetId="10" r:id="rId12"/>
    <sheet state="visible" name="provinha3c-recurs" sheetId="11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P1=504</t>
      </text>
    </comment>
    <comment authorId="0" ref="F1">
      <text>
        <t xml:space="preserve">P2=454</t>
      </text>
    </comment>
    <comment authorId="0" ref="I1">
      <text>
        <t xml:space="preserve">P3=457</t>
      </text>
    </comment>
    <comment authorId="0" ref="L1">
      <text>
        <t xml:space="preserve">P4=534</t>
      </text>
    </comment>
    <comment authorId="0" ref="O1">
      <text>
        <t xml:space="preserve">PA=498</t>
      </text>
    </comment>
    <comment authorId="0" ref="R1">
      <text>
        <t xml:space="preserve">PB=515</t>
      </text>
    </comment>
    <comment authorId="0" ref="U1">
      <text>
        <t xml:space="preserve">PC=528</t>
      </text>
    </comment>
    <comment authorId="0" ref="X1">
      <text>
        <t xml:space="preserve">PD=524</t>
      </text>
    </comment>
    <comment authorId="0" ref="AA1">
      <text>
        <t xml:space="preserve">PE=478</t>
      </text>
    </comment>
    <comment authorId="0" ref="AD1">
      <text>
        <t xml:space="preserve">PF=542</t>
      </text>
    </comment>
    <comment authorId="0" ref="AG1">
      <text>
        <t xml:space="preserve">PG=544</t>
      </text>
    </comment>
    <comment authorId="0" ref="AJ1">
      <text>
        <t xml:space="preserve">PH=545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6">
      <text>
        <t xml:space="preserve">non one student try to solve the exercise</t>
      </text>
    </comment>
  </commentList>
</comments>
</file>

<file path=xl/sharedStrings.xml><?xml version="1.0" encoding="utf-8"?>
<sst xmlns="http://schemas.openxmlformats.org/spreadsheetml/2006/main" count="1740" uniqueCount="291">
  <si>
    <t>UserID</t>
  </si>
  <si>
    <t>Code</t>
  </si>
  <si>
    <t>NroUSP</t>
  </si>
  <si>
    <t>ID</t>
  </si>
  <si>
    <t>Similar</t>
  </si>
  <si>
    <t>Topic</t>
  </si>
  <si>
    <t>ActivityID</t>
  </si>
  <si>
    <t>Time</t>
  </si>
  <si>
    <t>Title</t>
  </si>
  <si>
    <t>StartTime</t>
  </si>
  <si>
    <t>URL</t>
  </si>
  <si>
    <t>SolvedTime</t>
  </si>
  <si>
    <t>SolvedGrade</t>
  </si>
  <si>
    <t>P1</t>
  </si>
  <si>
    <t>SpendTime</t>
  </si>
  <si>
    <t>startP1</t>
  </si>
  <si>
    <t>corrP1</t>
  </si>
  <si>
    <t>exatP1</t>
  </si>
  <si>
    <t>startP2</t>
  </si>
  <si>
    <t>corrP2</t>
  </si>
  <si>
    <t>exatP2</t>
  </si>
  <si>
    <t>startP3</t>
  </si>
  <si>
    <t>corrP3</t>
  </si>
  <si>
    <t>exatP3</t>
  </si>
  <si>
    <t>startP4</t>
  </si>
  <si>
    <t>corrP4</t>
  </si>
  <si>
    <t>exatP4</t>
  </si>
  <si>
    <t>startPA</t>
  </si>
  <si>
    <t>cond</t>
  </si>
  <si>
    <t>corrPA</t>
  </si>
  <si>
    <t>exatPA</t>
  </si>
  <si>
    <t>pre</t>
  </si>
  <si>
    <t>Monitor de Temperatura Virtual</t>
  </si>
  <si>
    <t>startPB</t>
  </si>
  <si>
    <t>corrPB</t>
  </si>
  <si>
    <t>exatPB</t>
  </si>
  <si>
    <t>http://localhost/~gcc/moodle/mod/vpl/editor/report.php?id=504&amp;less=1490994000&amp;grade=10</t>
  </si>
  <si>
    <t>startPC</t>
  </si>
  <si>
    <t>corrPC</t>
  </si>
  <si>
    <t>exatPC</t>
  </si>
  <si>
    <t>startPD</t>
  </si>
  <si>
    <t>corrPD</t>
  </si>
  <si>
    <t>exatPD</t>
  </si>
  <si>
    <t>startPE</t>
  </si>
  <si>
    <t>corrPE</t>
  </si>
  <si>
    <t>exatPE</t>
  </si>
  <si>
    <t>startPF</t>
  </si>
  <si>
    <t>corrPF</t>
  </si>
  <si>
    <t>exatPF</t>
  </si>
  <si>
    <t>startPG</t>
  </si>
  <si>
    <t>corrPG</t>
  </si>
  <si>
    <t>exatPG</t>
  </si>
  <si>
    <t>startPH</t>
  </si>
  <si>
    <t>corrPH</t>
  </si>
  <si>
    <t>exatPH</t>
  </si>
  <si>
    <t>P2</t>
  </si>
  <si>
    <t>loops</t>
  </si>
  <si>
    <t>Divisores próprios</t>
  </si>
  <si>
    <t>http://localhost/~gcc/moodle/mod/vpl/editor/report.php?id=454&amp;less=1493154000&amp;grade=10</t>
  </si>
  <si>
    <t>P3</t>
  </si>
  <si>
    <t>Máximo comprimento das sequências de números granizo</t>
  </si>
  <si>
    <t>http://localhost/~gcc/moodle/mod/vpl/editor/report.php?id=457&amp;less=1493154000&amp;grade=10</t>
  </si>
  <si>
    <t>P4</t>
  </si>
  <si>
    <t>recurs</t>
  </si>
  <si>
    <t>Polinômios de Fibonacci</t>
  </si>
  <si>
    <t>http://localhost/~gcc/moodle/mod/vpl/editor/report.php?id=534&amp;less=1495789200&amp;grade=10</t>
  </si>
  <si>
    <t>Gerador de números da sorte</t>
  </si>
  <si>
    <t>Removed</t>
  </si>
  <si>
    <t>PA</t>
  </si>
  <si>
    <t>pos</t>
  </si>
  <si>
    <t>TMB - Taxa Metabólica Basal</t>
  </si>
  <si>
    <t>http://localhost/~gcc/moodle/mod/vpl/editor/report.php?id=498&amp;less=1493154000&amp;grade=10</t>
  </si>
  <si>
    <t>PB</t>
  </si>
  <si>
    <t>Calculadora de dieta</t>
  </si>
  <si>
    <t>http://localhost/~gcc/moodle/mod/vpl/editor/report.php?id=515&amp;less=1493154000&amp;grade=10</t>
  </si>
  <si>
    <t>PC</t>
  </si>
  <si>
    <t>Sequências de potências</t>
  </si>
  <si>
    <t>http://localhost/~gcc/moodle/mod/vpl/editor/report.php?id=528&amp;less=1495789200&amp;grade=10</t>
  </si>
  <si>
    <t>PD</t>
  </si>
  <si>
    <t>Caixa eletrônico</t>
  </si>
  <si>
    <t>http://localhost/~gcc/moodle/mod/vpl/editor/report.php?id=524&amp;less=1495789200&amp;grade=10</t>
  </si>
  <si>
    <t>PE</t>
  </si>
  <si>
    <t>Contagem de semi-primos para o algoritmo RSA</t>
  </si>
  <si>
    <t>http://localhost/~gcc/moodle/mod/vpl/editor/report.php?id=478&amp;less=1495789200&amp;grade=10</t>
  </si>
  <si>
    <t>PF</t>
  </si>
  <si>
    <t>Planning Poker</t>
  </si>
  <si>
    <t>http://localhost/~gcc/moodle/mod/vpl/editor/report.php?id=542&amp;less=1499778000&amp;grade=10</t>
  </si>
  <si>
    <t>PG</t>
  </si>
  <si>
    <t>Contagem de palindromos</t>
  </si>
  <si>
    <t>http://localhost/~gcc/moodle/mod/vpl/editor/report.php?id=544&amp;less=1499778000&amp;grade=10</t>
  </si>
  <si>
    <t>PH</t>
  </si>
  <si>
    <t>A saída do labirinto</t>
  </si>
  <si>
    <t>http://localhost/~gcc/moodle/mod/vpl/editor/report.php?id=545&amp;less=1499778000&amp;grade=10</t>
  </si>
  <si>
    <t>Exam</t>
  </si>
  <si>
    <t>NUSP</t>
  </si>
  <si>
    <t>note</t>
  </si>
  <si>
    <t>total</t>
  </si>
  <si>
    <t>max</t>
  </si>
  <si>
    <t>apply-multistructural</t>
  </si>
  <si>
    <t>apply-relational</t>
  </si>
  <si>
    <t>apply-unistructural</t>
  </si>
  <si>
    <t>evaluate-multistructural</t>
  </si>
  <si>
    <t>evaluate-unistructural</t>
  </si>
  <si>
    <t>remember-multistructural</t>
  </si>
  <si>
    <t>remember-unistructural</t>
  </si>
  <si>
    <t>understand-multistructural</t>
  </si>
  <si>
    <t>understand-unistructural</t>
  </si>
  <si>
    <t>etu</t>
  </si>
  <si>
    <t>mean</t>
  </si>
  <si>
    <t>10310662</t>
  </si>
  <si>
    <t>ABS</t>
  </si>
  <si>
    <t>10277001</t>
  </si>
  <si>
    <t>9846222</t>
  </si>
  <si>
    <t>4:11</t>
  </si>
  <si>
    <t>10276654</t>
  </si>
  <si>
    <t>10200054</t>
  </si>
  <si>
    <t>5:10</t>
  </si>
  <si>
    <t>8656201</t>
  </si>
  <si>
    <t>86562010</t>
  </si>
  <si>
    <t>2:12</t>
  </si>
  <si>
    <t>9274382</t>
  </si>
  <si>
    <t>92743820</t>
  </si>
  <si>
    <t>3:9</t>
  </si>
  <si>
    <t>10310492</t>
  </si>
  <si>
    <t>4:12</t>
  </si>
  <si>
    <t>9368772</t>
  </si>
  <si>
    <t>93687720</t>
  </si>
  <si>
    <t>3:4</t>
  </si>
  <si>
    <t>9921470</t>
  </si>
  <si>
    <t>90214700</t>
  </si>
  <si>
    <t>1:3</t>
  </si>
  <si>
    <t>10276960</t>
  </si>
  <si>
    <t>4:1</t>
  </si>
  <si>
    <t>9755822</t>
  </si>
  <si>
    <t>97055822</t>
  </si>
  <si>
    <t>5:5</t>
  </si>
  <si>
    <t>10310888</t>
  </si>
  <si>
    <t>2:11</t>
  </si>
  <si>
    <t>10310655</t>
  </si>
  <si>
    <t>2:10</t>
  </si>
  <si>
    <t>9795272</t>
  </si>
  <si>
    <t>2:13</t>
  </si>
  <si>
    <t>10277040</t>
  </si>
  <si>
    <t>5:3</t>
  </si>
  <si>
    <t>9805341</t>
  </si>
  <si>
    <t>0</t>
  </si>
  <si>
    <t>5:6</t>
  </si>
  <si>
    <t>10276907</t>
  </si>
  <si>
    <t>907</t>
  </si>
  <si>
    <t>1:4</t>
  </si>
  <si>
    <t>9436110</t>
  </si>
  <si>
    <t>5:7</t>
  </si>
  <si>
    <t>10352030</t>
  </si>
  <si>
    <t>1:12</t>
  </si>
  <si>
    <t>9790781</t>
  </si>
  <si>
    <t>7810</t>
  </si>
  <si>
    <t>2:3</t>
  </si>
  <si>
    <t>10351992</t>
  </si>
  <si>
    <t>1:5</t>
  </si>
  <si>
    <t>10277015</t>
  </si>
  <si>
    <t>4:7</t>
  </si>
  <si>
    <t>698531</t>
  </si>
  <si>
    <t>3:5</t>
  </si>
  <si>
    <t>10310676</t>
  </si>
  <si>
    <t>2:5</t>
  </si>
  <si>
    <t>10276932</t>
  </si>
  <si>
    <t>5:4</t>
  </si>
  <si>
    <t>9292462</t>
  </si>
  <si>
    <t>1:9</t>
  </si>
  <si>
    <t>10276661</t>
  </si>
  <si>
    <t>2:6</t>
  </si>
  <si>
    <t>9805320</t>
  </si>
  <si>
    <t>5:11</t>
  </si>
  <si>
    <t>9082496</t>
  </si>
  <si>
    <t>90824960</t>
  </si>
  <si>
    <t>3:10</t>
  </si>
  <si>
    <t>10276852</t>
  </si>
  <si>
    <t>3:6</t>
  </si>
  <si>
    <t>9424506</t>
  </si>
  <si>
    <t>5:9</t>
  </si>
  <si>
    <t>10277036</t>
  </si>
  <si>
    <t>1:10</t>
  </si>
  <si>
    <t>10276911</t>
  </si>
  <si>
    <t>1:7</t>
  </si>
  <si>
    <t>10310342</t>
  </si>
  <si>
    <t>4:2</t>
  </si>
  <si>
    <t>9795185</t>
  </si>
  <si>
    <t>97951850</t>
  </si>
  <si>
    <t>3:1</t>
  </si>
  <si>
    <t>10276682</t>
  </si>
  <si>
    <t>1:13</t>
  </si>
  <si>
    <t>10277022</t>
  </si>
  <si>
    <t>3:2</t>
  </si>
  <si>
    <t>10260351</t>
  </si>
  <si>
    <t>2:4</t>
  </si>
  <si>
    <t>10276720</t>
  </si>
  <si>
    <t>3:12</t>
  </si>
  <si>
    <t>10276974</t>
  </si>
  <si>
    <t>1:2</t>
  </si>
  <si>
    <t>10276949</t>
  </si>
  <si>
    <t>5:2</t>
  </si>
  <si>
    <t>10310551</t>
  </si>
  <si>
    <t>3:3</t>
  </si>
  <si>
    <t>10276737</t>
  </si>
  <si>
    <t>3:7</t>
  </si>
  <si>
    <t>10276762</t>
  </si>
  <si>
    <t>4:9</t>
  </si>
  <si>
    <t>10276831</t>
  </si>
  <si>
    <t>206831</t>
  </si>
  <si>
    <t>2:14</t>
  </si>
  <si>
    <t>9760151</t>
  </si>
  <si>
    <t>97601510</t>
  </si>
  <si>
    <t>2:7</t>
  </si>
  <si>
    <t>10262669</t>
  </si>
  <si>
    <t>5:12</t>
  </si>
  <si>
    <t>9363926</t>
  </si>
  <si>
    <t>600060</t>
  </si>
  <si>
    <t>4:10</t>
  </si>
  <si>
    <t>9285227</t>
  </si>
  <si>
    <t>285027</t>
  </si>
  <si>
    <t>5:1</t>
  </si>
  <si>
    <t>9842913</t>
  </si>
  <si>
    <t>98429130</t>
  </si>
  <si>
    <t>5:8</t>
  </si>
  <si>
    <t>10276995</t>
  </si>
  <si>
    <t>9311643</t>
  </si>
  <si>
    <t>4:5</t>
  </si>
  <si>
    <t>9065750</t>
  </si>
  <si>
    <t>10273971</t>
  </si>
  <si>
    <t>4:8</t>
  </si>
  <si>
    <t>10276981</t>
  </si>
  <si>
    <t>1:8</t>
  </si>
  <si>
    <t>10310759</t>
  </si>
  <si>
    <t>2:1</t>
  </si>
  <si>
    <t>10351971</t>
  </si>
  <si>
    <t>99214700</t>
  </si>
  <si>
    <t>1:6</t>
  </si>
  <si>
    <t>10276866</t>
  </si>
  <si>
    <t>2:9</t>
  </si>
  <si>
    <t>10276953</t>
  </si>
  <si>
    <t>4:4</t>
  </si>
  <si>
    <t>10377688</t>
  </si>
  <si>
    <t>2:8</t>
  </si>
  <si>
    <t>10276928</t>
  </si>
  <si>
    <t>1:1</t>
  </si>
  <si>
    <t>10377538</t>
  </si>
  <si>
    <t>2:2</t>
  </si>
  <si>
    <t>10276675</t>
  </si>
  <si>
    <t>1:11</t>
  </si>
  <si>
    <t>10310721</t>
  </si>
  <si>
    <t>4:6</t>
  </si>
  <si>
    <t>10310700</t>
  </si>
  <si>
    <t>9360772</t>
  </si>
  <si>
    <t>4:3</t>
  </si>
  <si>
    <t>10310471</t>
  </si>
  <si>
    <t>3:11</t>
  </si>
  <si>
    <t>9311640</t>
  </si>
  <si>
    <t>3:8</t>
  </si>
  <si>
    <t>97907810</t>
  </si>
  <si>
    <t>10775000</t>
  </si>
  <si>
    <t>93639260</t>
  </si>
  <si>
    <t>98053410</t>
  </si>
  <si>
    <t>analyse-relational</t>
  </si>
  <si>
    <t>97000800</t>
  </si>
  <si>
    <t>7000000</t>
  </si>
  <si>
    <t>200000</t>
  </si>
  <si>
    <t>92743000</t>
  </si>
  <si>
    <t>10277010</t>
  </si>
  <si>
    <t>900000</t>
  </si>
  <si>
    <t>10310490</t>
  </si>
  <si>
    <t>9800000</t>
  </si>
  <si>
    <t>8000000</t>
  </si>
  <si>
    <t>10270071</t>
  </si>
  <si>
    <t>93600000</t>
  </si>
  <si>
    <t>3:13</t>
  </si>
  <si>
    <t>10310650</t>
  </si>
  <si>
    <t>analyse-relational-1</t>
  </si>
  <si>
    <t>analyse-relational-2</t>
  </si>
  <si>
    <t>apply-multistructural-1</t>
  </si>
  <si>
    <t>apply-multistructural-2</t>
  </si>
  <si>
    <t>understand-relational</t>
  </si>
  <si>
    <t>97550822</t>
  </si>
  <si>
    <t>93630260</t>
  </si>
  <si>
    <t>9308772</t>
  </si>
  <si>
    <t>97558220</t>
  </si>
  <si>
    <t>9002490</t>
  </si>
  <si>
    <t>9065050</t>
  </si>
  <si>
    <t>10277000</t>
  </si>
  <si>
    <t>10000000</t>
  </si>
  <si>
    <t>10270949</t>
  </si>
  <si>
    <t>10310808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</si>
</sst>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#"/>
  </numFmts>
  <fonts count="5">
    <font>
      <sz val="10.0"/>
      <color rgb="FF000000"/>
      <name val="Arial"/>
    </font>
    <font/>
    <font>
      <u/>
      <color rgb="FF0000FF"/>
    </font>
    <font>
      <b/>
      <sz val="10.0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6E6FF"/>
        <bgColor rgb="FFE6E6FF"/>
      </patternFill>
    </fill>
    <fill>
      <patternFill patternType="solid">
        <fgColor rgb="FFFFDDC4"/>
        <bgColor rgb="FFFFDDC4"/>
      </patternFill>
    </fill>
    <fill>
      <patternFill patternType="solid">
        <fgColor rgb="FFB3B3B3"/>
        <bgColor rgb="FFB3B3B3"/>
      </patternFill>
    </fill>
    <fill>
      <patternFill patternType="solid">
        <fgColor rgb="FFFFFF99"/>
        <bgColor rgb="FFFFFF99"/>
      </patternFill>
    </fill>
    <fill>
      <patternFill patternType="solid">
        <fgColor rgb="FFFFBABA"/>
        <bgColor rgb="FFFFBABA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1" fillId="0" fontId="3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shrinkToFit="0" textRotation="90" wrapText="0"/>
    </xf>
    <xf borderId="1" fillId="3" fontId="3" numFmtId="0" xfId="0" applyAlignment="1" applyBorder="1" applyFill="1" applyFont="1">
      <alignment horizontal="center" shrinkToFit="0" textRotation="90" wrapText="0"/>
    </xf>
    <xf borderId="0" fillId="0" fontId="4" numFmtId="0" xfId="0" applyAlignment="1" applyFont="1">
      <alignment shrinkToFit="0" wrapText="0"/>
    </xf>
    <xf borderId="1" fillId="0" fontId="4" numFmtId="164" xfId="0" applyAlignment="1" applyBorder="1" applyFont="1" applyNumberFormat="1">
      <alignment shrinkToFit="0" wrapText="0"/>
    </xf>
    <xf borderId="2" fillId="0" fontId="4" numFmtId="9" xfId="0" applyAlignment="1" applyBorder="1" applyFont="1" applyNumberFormat="1">
      <alignment horizontal="left" shrinkToFit="0" wrapText="0"/>
    </xf>
    <xf borderId="3" fillId="0" fontId="1" numFmtId="0" xfId="0" applyBorder="1" applyFont="1"/>
    <xf borderId="1" fillId="0" fontId="4" numFmtId="0" xfId="0" applyAlignment="1" applyBorder="1" applyFont="1">
      <alignment horizontal="center" shrinkToFit="0" wrapText="0"/>
    </xf>
    <xf borderId="1" fillId="0" fontId="4" numFmtId="9" xfId="0" applyAlignment="1" applyBorder="1" applyFont="1" applyNumberFormat="1">
      <alignment horizontal="center" shrinkToFit="0" wrapText="0"/>
    </xf>
    <xf borderId="1" fillId="0" fontId="4" numFmtId="0" xfId="0" applyAlignment="1" applyBorder="1" applyFont="1">
      <alignment horizontal="center" shrinkToFit="0" wrapText="0"/>
    </xf>
    <xf borderId="1" fillId="4" fontId="4" numFmtId="0" xfId="0" applyAlignment="1" applyBorder="1" applyFill="1" applyFont="1">
      <alignment horizontal="center" shrinkToFit="0" wrapText="0"/>
    </xf>
    <xf borderId="1" fillId="0" fontId="4" numFmtId="9" xfId="0" applyAlignment="1" applyBorder="1" applyFont="1" applyNumberFormat="1">
      <alignment horizontal="left" shrinkToFit="0" wrapText="0"/>
    </xf>
    <xf borderId="1" fillId="5" fontId="4" numFmtId="165" xfId="0" applyAlignment="1" applyBorder="1" applyFill="1" applyFont="1" applyNumberFormat="1">
      <alignment horizontal="center" shrinkToFit="0" wrapText="0"/>
    </xf>
    <xf borderId="1" fillId="3" fontId="4" numFmtId="0" xfId="0" applyAlignment="1" applyBorder="1" applyFont="1">
      <alignment horizontal="center" shrinkToFit="0" wrapText="0"/>
    </xf>
    <xf borderId="1" fillId="6" fontId="4" numFmtId="0" xfId="0" applyAlignment="1" applyBorder="1" applyFill="1" applyFont="1">
      <alignment horizontal="center" shrinkToFit="0" wrapText="0"/>
    </xf>
    <xf borderId="1" fillId="7" fontId="4" numFmtId="0" xfId="0" applyAlignment="1" applyBorder="1" applyFill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/~gcc/moodle/mod/vpl/editor/report.php?id=542&amp;less=1499778000&amp;grade=10" TargetMode="External"/><Relationship Id="rId10" Type="http://schemas.openxmlformats.org/officeDocument/2006/relationships/hyperlink" Target="http://localhost/~gcc/moodle/mod/vpl/editor/report.php?id=478&amp;less=1495789200&amp;grade=10" TargetMode="External"/><Relationship Id="rId13" Type="http://schemas.openxmlformats.org/officeDocument/2006/relationships/hyperlink" Target="http://localhost/~gcc/moodle/mod/vpl/editor/report.php?id=545&amp;less=1499778000&amp;grade=10" TargetMode="External"/><Relationship Id="rId12" Type="http://schemas.openxmlformats.org/officeDocument/2006/relationships/hyperlink" Target="http://localhost/~gcc/moodle/mod/vpl/editor/report.php?id=544&amp;less=1499778000&amp;grade=10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localhost/~gcc/moodle/mod/vpl/editor/report.php?id=504&amp;less=1490994000&amp;grade=10" TargetMode="External"/><Relationship Id="rId3" Type="http://schemas.openxmlformats.org/officeDocument/2006/relationships/hyperlink" Target="http://localhost/~gcc/moodle/mod/vpl/editor/report.php?id=454&amp;less=1493154000&amp;grade=10" TargetMode="External"/><Relationship Id="rId4" Type="http://schemas.openxmlformats.org/officeDocument/2006/relationships/hyperlink" Target="http://localhost/~gcc/moodle/mod/vpl/editor/report.php?id=457&amp;less=1493154000&amp;grade=10" TargetMode="External"/><Relationship Id="rId9" Type="http://schemas.openxmlformats.org/officeDocument/2006/relationships/hyperlink" Target="http://localhost/~gcc/moodle/mod/vpl/editor/report.php?id=524&amp;less=1495789200&amp;grade=10" TargetMode="External"/><Relationship Id="rId15" Type="http://schemas.openxmlformats.org/officeDocument/2006/relationships/vmlDrawing" Target="../drawings/vmlDrawing2.vml"/><Relationship Id="rId14" Type="http://schemas.openxmlformats.org/officeDocument/2006/relationships/drawing" Target="../drawings/drawing2.xml"/><Relationship Id="rId5" Type="http://schemas.openxmlformats.org/officeDocument/2006/relationships/hyperlink" Target="http://localhost/~gcc/moodle/mod/vpl/editor/report.php?id=534&amp;less=1495789200&amp;grade=10" TargetMode="External"/><Relationship Id="rId6" Type="http://schemas.openxmlformats.org/officeDocument/2006/relationships/hyperlink" Target="http://localhost/~gcc/moodle/mod/vpl/editor/report.php?id=498&amp;less=1493154000&amp;grade=10" TargetMode="External"/><Relationship Id="rId7" Type="http://schemas.openxmlformats.org/officeDocument/2006/relationships/hyperlink" Target="http://localhost/~gcc/moodle/mod/vpl/editor/report.php?id=515&amp;less=1493154000&amp;grade=10" TargetMode="External"/><Relationship Id="rId8" Type="http://schemas.openxmlformats.org/officeDocument/2006/relationships/hyperlink" Target="http://localhost/~gcc/moodle/mod/vpl/editor/report.php?id=528&amp;less=1495789200&amp;grade=1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2" max="2" width="12.14"/>
    <col customWidth="1" min="3" max="3" width="14.43"/>
    <col customWidth="1" min="4" max="4" width="7.86"/>
    <col customWidth="1" min="5" max="5" width="8.43"/>
    <col customWidth="1" min="7" max="7" width="9.57"/>
    <col customWidth="1" min="8" max="8" width="9.43"/>
    <col customWidth="1" min="13" max="13" width="10.0"/>
    <col customWidth="1" min="14" max="14" width="9.57"/>
  </cols>
  <sheetData>
    <row r="1">
      <c r="A1" s="1" t="s">
        <v>0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29</v>
      </c>
      <c r="Q1" s="2" t="s">
        <v>30</v>
      </c>
      <c r="R1" s="2" t="s">
        <v>33</v>
      </c>
      <c r="S1" s="2" t="s">
        <v>34</v>
      </c>
      <c r="T1" s="2" t="s">
        <v>35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  <c r="AJ1" s="2" t="s">
        <v>52</v>
      </c>
      <c r="AK1" s="2" t="s">
        <v>53</v>
      </c>
      <c r="AL1" s="2" t="s">
        <v>54</v>
      </c>
    </row>
    <row r="2">
      <c r="A2" s="1">
        <v>10171.0</v>
      </c>
      <c r="B2" s="1">
        <v>698531.0</v>
      </c>
      <c r="C2">
        <f>IFERROR(__xludf.DUMMYFUNCTION("IFERROR(FILTER('VPLData(raw)'!C:C,'VPLData(raw)'!B:B=504,'VPLData(raw)'!A:A=A2),0)"),"1490868873")</f>
        <v>1490868873</v>
      </c>
      <c r="D2" s="7">
        <f>IFERROR(__xludf.DUMMYFUNCTION("IFERROR(IF(C2&gt;0, FILTER('VPLData(raw)'!E:E,'VPLData(raw)'!B:B=504,'VPLData(raw)'!A:A=A2), 0),0)"),"10")</f>
        <v>10</v>
      </c>
      <c r="E2">
        <f>IFERROR(__xludf.DUMMYFUNCTION("IFERROR(FILTER('VPLData(raw)'!F:F,'VPLData(raw)'!B:B=504,'VPLData(raw)'!A:A=A2),0)"),"1507")</f>
        <v>1507</v>
      </c>
      <c r="F2">
        <f>IFERROR(__xludf.DUMMYFUNCTION("IFERROR(FILTER('VPLData(raw)'!C:C,'VPLData(raw)'!B:B=454,'VPLData(raw)'!A:A=A2),0)"),"1491847467")</f>
        <v>1491847467</v>
      </c>
      <c r="G2">
        <f>IFERROR(__xludf.DUMMYFUNCTION("IFERROR(IF(F2&gt;0, FILTER('VPLData(raw)'!E:E,'VPLData(raw)'!B:B=454,'VPLData(raw)'!A:A=A2), 0),0)"),"10")</f>
        <v>10</v>
      </c>
      <c r="H2">
        <f>IFERROR(__xludf.DUMMYFUNCTION("IFERROR(FILTER('VPLData(raw)'!F:F,'VPLData(raw)'!B:B=454,'VPLData(raw)'!A:A=A2),0)"),"408")</f>
        <v>408</v>
      </c>
      <c r="I2">
        <f>IFERROR(__xludf.DUMMYFUNCTION("IFERROR(FILTER('VPLData(raw)'!C:C,'VPLData(raw)'!B:B=457,'VPLData(raw)'!A:A=A2),0)"),"1491848894")</f>
        <v>1491848894</v>
      </c>
      <c r="J2">
        <f>IFERROR(__xludf.DUMMYFUNCTION("IFERROR(IF(I2&gt;0, FILTER('VPLData(raw)'!E:E,'VPLData(raw)'!B:B=457,'VPLData(raw)'!A:A=A2), 0),0)"),"10")</f>
        <v>10</v>
      </c>
      <c r="K2">
        <f>IFERROR(__xludf.DUMMYFUNCTION("IFERROR(FILTER('VPLData(raw)'!F:F,'VPLData(raw)'!B:B=457,'VPLData(raw)'!A:A=A2),0)"),"1138")</f>
        <v>1138</v>
      </c>
      <c r="L2">
        <f>IFERROR(__xludf.DUMMYFUNCTION("IFERROR(FILTER('VPLData(raw)'!C:C,'VPLData(raw)'!B:B=534,'VPLData(raw)'!A:A=A2),0)"),"1495670139")</f>
        <v>1495670139</v>
      </c>
      <c r="M2">
        <f>IFERROR(__xludf.DUMMYFUNCTION("IFERROR(IF(L2&gt;0, FILTER('VPLData(raw)'!E:E,'VPLData(raw)'!B:B=534,'VPLData(raw)'!A:A=A2), 0),0)"),"10")</f>
        <v>10</v>
      </c>
      <c r="N2">
        <f>IFERROR(__xludf.DUMMYFUNCTION("IFERROR(FILTER('VPLData(raw)'!F:F,'VPLData(raw)'!B:B=534,'VPLData(raw)'!A:A=A2),0)"),"9869")</f>
        <v>9869</v>
      </c>
      <c r="O2">
        <f>IFERROR(__xludf.DUMMYFUNCTION("IFERROR(FILTER('VPLData(raw)'!C:C,'VPLData(raw)'!B:B=498,'VPLData(raw)'!A:A=A2),0)"),"1492868308")</f>
        <v>1492868308</v>
      </c>
      <c r="P2">
        <f>IFERROR(__xludf.DUMMYFUNCTION("IFERROR(IF(O2&gt;0, FILTER('VPLData(raw)'!E:E,'VPLData(raw)'!B:B=498,'VPLData(raw)'!A:A=A2), 0),0)"),"10")</f>
        <v>10</v>
      </c>
      <c r="Q2">
        <f>IFERROR(__xludf.DUMMYFUNCTION("IFERROR(FILTER('VPLData(raw)'!F:F,'VPLData(raw)'!B:B=498,'VPLData(raw)'!A:A=A2),0)"),"743")</f>
        <v>743</v>
      </c>
      <c r="R2">
        <f>IFERROR(__xludf.DUMMYFUNCTION("IFERROR(FILTER('VPLData(raw)'!C:C,'VPLData(raw)'!B:B=515,'VPLData(raw)'!A:A=A2),0)"),"1492869256")</f>
        <v>1492869256</v>
      </c>
      <c r="S2">
        <f>IFERROR(__xludf.DUMMYFUNCTION("IFERROR(IF(R2&gt;0, FILTER('VPLData(raw)'!E:E,'VPLData(raw)'!B:B=515,'VPLData(raw)'!A:A=A2), 0),0)"),"10")</f>
        <v>10</v>
      </c>
      <c r="T2">
        <f>IFERROR(__xludf.DUMMYFUNCTION("IFERROR(FILTER('VPLData(raw)'!F:F,'VPLData(raw)'!B:B=515,'VPLData(raw)'!A:A=A2),0)"),"842")</f>
        <v>842</v>
      </c>
      <c r="U2">
        <f>IFERROR(__xludf.DUMMYFUNCTION("IFERROR(FILTER('VPLData(raw)'!C:C,'VPLData(raw)'!B:B=528,'VPLData(raw)'!A:A=A2),0)"),"1494633914")</f>
        <v>1494633914</v>
      </c>
      <c r="V2">
        <f>IFERROR(__xludf.DUMMYFUNCTION("IFERROR(IF(U2&gt;0, FILTER('VPLData(raw)'!E:E,'VPLData(raw)'!B:B=528,'VPLData(raw)'!A:A=A2), 0),0)"),"10")</f>
        <v>10</v>
      </c>
      <c r="W2">
        <f>IFERROR(__xludf.DUMMYFUNCTION("IFERROR(FILTER('VPLData(raw)'!F:F,'VPLData(raw)'!B:B=528,'VPLData(raw)'!A:A=A2),0)"),"306")</f>
        <v>306</v>
      </c>
      <c r="X2">
        <f>IFERROR(__xludf.DUMMYFUNCTION("IFERROR(FILTER('VPLData(raw)'!C:C,'VPLData(raw)'!B:B=524,'VPLData(raw)'!A:A=A2),0)"),"1494634346")</f>
        <v>1494634346</v>
      </c>
      <c r="Y2">
        <f>IFERROR(__xludf.DUMMYFUNCTION("IFERROR(IF(X2&gt;0, FILTER('VPLData(raw)'!E:E,'VPLData(raw)'!B:B=524,'VPLData(raw)'!A:A=A2), 0),0)"),"10")</f>
        <v>10</v>
      </c>
      <c r="Z2">
        <f>IFERROR(__xludf.DUMMYFUNCTION("IFERROR(FILTER('VPLData(raw)'!F:F,'VPLData(raw)'!B:B=524,'VPLData(raw)'!A:A=A2),0)"),"1390")</f>
        <v>1390</v>
      </c>
      <c r="AA2">
        <f>IFERROR(__xludf.DUMMYFUNCTION("IFERROR(FILTER('VPLData(raw)'!C:C,'VPLData(raw)'!B:B=478,'VPLData(raw)'!A:A=A2),0)"),"1494635899")</f>
        <v>1494635899</v>
      </c>
      <c r="AB2">
        <f>IFERROR(__xludf.DUMMYFUNCTION("IFERROR(IF(AA2&gt;0, FILTER('VPLData(raw)'!E:E,'VPLData(raw)'!B:B=478,'VPLData(raw)'!A:A=A2), 0),0)"),"10")</f>
        <v>10</v>
      </c>
      <c r="AC2">
        <f>IFERROR(__xludf.DUMMYFUNCTION("IFERROR(FILTER('VPLData(raw)'!F:F,'VPLData(raw)'!B:B=478,'VPLData(raw)'!A:A=A2),0)"),"2382")</f>
        <v>2382</v>
      </c>
      <c r="AD2">
        <f>IFERROR(__xludf.DUMMYFUNCTION("IFERROR(FILTER('VPLData(raw)'!C:C,'VPLData(raw)'!B:B=542,'VPLData(raw)'!A:A=A2),0)"),"1498085984")</f>
        <v>1498085984</v>
      </c>
      <c r="AE2">
        <f>IFERROR(__xludf.DUMMYFUNCTION("IFERROR(IF(AD2&gt;0, FILTER('VPLData(raw)'!E:E,'VPLData(raw)'!B:B=542,'VPLData(raw)'!A:A=A2), 0),0)"),"10")</f>
        <v>10</v>
      </c>
      <c r="AF2">
        <f>IFERROR(__xludf.DUMMYFUNCTION("IFERROR(FILTER('VPLData(raw)'!F:F,'VPLData(raw)'!B:B=542,'VPLData(raw)'!A:A=A2),0)"),"1456")</f>
        <v>1456</v>
      </c>
      <c r="AG2">
        <f>IFERROR(__xludf.DUMMYFUNCTION("IFERROR(FILTER('VPLData(raw)'!C:C,'VPLData(raw)'!B:B=544,'VPLData(raw)'!A:A=A2),0)"),"1498088009")</f>
        <v>1498088009</v>
      </c>
      <c r="AH2">
        <f>IFERROR(__xludf.DUMMYFUNCTION("IFERROR(IF(AG2&gt;0, FILTER('VPLData(raw)'!E:E,'VPLData(raw)'!B:B=544,'VPLData(raw)'!A:A=A2), 0),0)"),"10")</f>
        <v>10</v>
      </c>
      <c r="AI2">
        <f>IFERROR(__xludf.DUMMYFUNCTION("IFERROR(FILTER('VPLData(raw)'!F:F,'VPLData(raw)'!B:B=544,'VPLData(raw)'!A:A=A2),0)"),"5514")</f>
        <v>5514</v>
      </c>
      <c r="AJ2">
        <f>IFERROR(__xludf.DUMMYFUNCTION("IFERROR(FILTER('VPLData(raw)'!C:C,'VPLData(raw)'!B:B=545,'VPLData(raw)'!A:A=A2),0)"),"1498094174")</f>
        <v>1498094174</v>
      </c>
      <c r="AK2">
        <f>IFERROR(__xludf.DUMMYFUNCTION("IFERROR(IF(AJ2&gt;0, FILTER('VPLData(raw)'!E:E,'VPLData(raw)'!B:B=545,'VPLData(raw)'!A:A=A2), 0),0)"),"10")</f>
        <v>10</v>
      </c>
      <c r="AL2">
        <f>IFERROR(__xludf.DUMMYFUNCTION("IFERROR(FILTER('VPLData(raw)'!F:F,'VPLData(raw)'!B:B=545,'VPLData(raw)'!A:A=A2),0)"),"9967")</f>
        <v>9967</v>
      </c>
    </row>
    <row r="3">
      <c r="A3" s="1">
        <v>10178.0</v>
      </c>
      <c r="B3" s="1">
        <v>8656201.0</v>
      </c>
      <c r="C3">
        <f>IFERROR(__xludf.DUMMYFUNCTION("IFERROR(FILTER('VPLData(raw)'!C:C,'VPLData(raw)'!B:B=504,'VPLData(raw)'!A:A=A3),0)"),"1490729390")</f>
        <v>1490729390</v>
      </c>
      <c r="D3" s="7">
        <f>IFERROR(__xludf.DUMMYFUNCTION("IFERROR(IF(C3&gt;0, FILTER('VPLData(raw)'!E:E,'VPLData(raw)'!B:B=504,'VPLData(raw)'!A:A=A3), 0),0)"),"10")</f>
        <v>10</v>
      </c>
      <c r="E3">
        <f>IFERROR(__xludf.DUMMYFUNCTION("IFERROR(FILTER('VPLData(raw)'!F:F,'VPLData(raw)'!B:B=504,'VPLData(raw)'!A:A=A3),0)"),"5240")</f>
        <v>5240</v>
      </c>
      <c r="F3">
        <f>IFERROR(__xludf.DUMMYFUNCTION("IFERROR(FILTER('VPLData(raw)'!C:C,'VPLData(raw)'!B:B=454,'VPLData(raw)'!A:A=A3),0)"),"1491346451")</f>
        <v>1491346451</v>
      </c>
      <c r="G3">
        <f>IFERROR(__xludf.DUMMYFUNCTION("IFERROR(IF(F3&gt;0, FILTER('VPLData(raw)'!E:E,'VPLData(raw)'!B:B=454,'VPLData(raw)'!A:A=A3), 0),0)"),"10")</f>
        <v>10</v>
      </c>
      <c r="H3">
        <f>IFERROR(__xludf.DUMMYFUNCTION("IFERROR(FILTER('VPLData(raw)'!F:F,'VPLData(raw)'!B:B=454,'VPLData(raw)'!A:A=A3),0)"),"2523")</f>
        <v>2523</v>
      </c>
      <c r="I3">
        <f>IFERROR(__xludf.DUMMYFUNCTION("IFERROR(FILTER('VPLData(raw)'!C:C,'VPLData(raw)'!B:B=457,'VPLData(raw)'!A:A=A3),0)"),"1492556739")</f>
        <v>1492556739</v>
      </c>
      <c r="J3">
        <f>IFERROR(__xludf.DUMMYFUNCTION("IFERROR(IF(I3&gt;0, FILTER('VPLData(raw)'!E:E,'VPLData(raw)'!B:B=457,'VPLData(raw)'!A:A=A3), 0),0)"),"10")</f>
        <v>10</v>
      </c>
      <c r="K3">
        <f>IFERROR(__xludf.DUMMYFUNCTION("IFERROR(FILTER('VPLData(raw)'!F:F,'VPLData(raw)'!B:B=457,'VPLData(raw)'!A:A=A3),0)"),"1481")</f>
        <v>1481</v>
      </c>
      <c r="L3">
        <f>IFERROR(__xludf.DUMMYFUNCTION("IFERROR(FILTER('VPLData(raw)'!C:C,'VPLData(raw)'!B:B=534,'VPLData(raw)'!A:A=A3),0)"),"0")</f>
        <v>0</v>
      </c>
      <c r="M3">
        <f>IFERROR(__xludf.DUMMYFUNCTION("IFERROR(IF(L3&gt;0, FILTER('VPLData(raw)'!E:E,'VPLData(raw)'!B:B=534,'VPLData(raw)'!A:A=A3), 0),0)"),"0")</f>
        <v>0</v>
      </c>
      <c r="N3">
        <f>IFERROR(__xludf.DUMMYFUNCTION("IFERROR(FILTER('VPLData(raw)'!F:F,'VPLData(raw)'!B:B=534,'VPLData(raw)'!A:A=A3),0)"),"0")</f>
        <v>0</v>
      </c>
      <c r="O3">
        <f>IFERROR(__xludf.DUMMYFUNCTION("IFERROR(FILTER('VPLData(raw)'!C:C,'VPLData(raw)'!B:B=498,'VPLData(raw)'!A:A=A3),0)"),"1492717778")</f>
        <v>1492717778</v>
      </c>
      <c r="P3">
        <f>IFERROR(__xludf.DUMMYFUNCTION("IFERROR(IF(O3&gt;0, FILTER('VPLData(raw)'!E:E,'VPLData(raw)'!B:B=498,'VPLData(raw)'!A:A=A3), 0),0)"),"10")</f>
        <v>10</v>
      </c>
      <c r="Q3">
        <f>IFERROR(__xludf.DUMMYFUNCTION("IFERROR(FILTER('VPLData(raw)'!F:F,'VPLData(raw)'!B:B=498,'VPLData(raw)'!A:A=A3),0)"),"235")</f>
        <v>235</v>
      </c>
      <c r="R3">
        <f>IFERROR(__xludf.DUMMYFUNCTION("IFERROR(FILTER('VPLData(raw)'!C:C,'VPLData(raw)'!B:B=515,'VPLData(raw)'!A:A=A3),0)"),"1492718267")</f>
        <v>1492718267</v>
      </c>
      <c r="S3">
        <f>IFERROR(__xludf.DUMMYFUNCTION("IFERROR(IF(R3&gt;0, FILTER('VPLData(raw)'!E:E,'VPLData(raw)'!B:B=515,'VPLData(raw)'!A:A=A3), 0),0)"),"10")</f>
        <v>10</v>
      </c>
      <c r="T3">
        <f>IFERROR(__xludf.DUMMYFUNCTION("IFERROR(FILTER('VPLData(raw)'!F:F,'VPLData(raw)'!B:B=515,'VPLData(raw)'!A:A=A3),0)"),"794")</f>
        <v>794</v>
      </c>
      <c r="U3">
        <f>IFERROR(__xludf.DUMMYFUNCTION("IFERROR(FILTER('VPLData(raw)'!C:C,'VPLData(raw)'!B:B=528,'VPLData(raw)'!A:A=A3),0)"),"0")</f>
        <v>0</v>
      </c>
      <c r="V3">
        <f>IFERROR(__xludf.DUMMYFUNCTION("IFERROR(IF(U3&gt;0, FILTER('VPLData(raw)'!E:E,'VPLData(raw)'!B:B=528,'VPLData(raw)'!A:A=A3), 0),0)"),"0")</f>
        <v>0</v>
      </c>
      <c r="W3">
        <f>IFERROR(__xludf.DUMMYFUNCTION("IFERROR(FILTER('VPLData(raw)'!F:F,'VPLData(raw)'!B:B=528,'VPLData(raw)'!A:A=A3),0)"),"0")</f>
        <v>0</v>
      </c>
      <c r="X3">
        <f>IFERROR(__xludf.DUMMYFUNCTION("IFERROR(FILTER('VPLData(raw)'!C:C,'VPLData(raw)'!B:B=524,'VPLData(raw)'!A:A=A3),0)"),"0")</f>
        <v>0</v>
      </c>
      <c r="Y3">
        <f>IFERROR(__xludf.DUMMYFUNCTION("IFERROR(IF(X3&gt;0, FILTER('VPLData(raw)'!E:E,'VPLData(raw)'!B:B=524,'VPLData(raw)'!A:A=A3), 0),0)"),"0")</f>
        <v>0</v>
      </c>
      <c r="Z3">
        <f>IFERROR(__xludf.DUMMYFUNCTION("IFERROR(FILTER('VPLData(raw)'!F:F,'VPLData(raw)'!B:B=524,'VPLData(raw)'!A:A=A3),0)"),"0")</f>
        <v>0</v>
      </c>
      <c r="AA3">
        <f>IFERROR(__xludf.DUMMYFUNCTION("IFERROR(FILTER('VPLData(raw)'!C:C,'VPLData(raw)'!B:B=478,'VPLData(raw)'!A:A=A3),0)"),"0")</f>
        <v>0</v>
      </c>
      <c r="AB3">
        <f>IFERROR(__xludf.DUMMYFUNCTION("IFERROR(IF(AA3&gt;0, FILTER('VPLData(raw)'!E:E,'VPLData(raw)'!B:B=478,'VPLData(raw)'!A:A=A3), 0),0)"),"0")</f>
        <v>0</v>
      </c>
      <c r="AC3">
        <f>IFERROR(__xludf.DUMMYFUNCTION("IFERROR(FILTER('VPLData(raw)'!F:F,'VPLData(raw)'!B:B=478,'VPLData(raw)'!A:A=A3),0)"),"0")</f>
        <v>0</v>
      </c>
      <c r="AD3">
        <f>IFERROR(__xludf.DUMMYFUNCTION("IFERROR(FILTER('VPLData(raw)'!C:C,'VPLData(raw)'!B:B=542,'VPLData(raw)'!A:A=A3),0)"),"1499306185")</f>
        <v>1499306185</v>
      </c>
      <c r="AE3" t="str">
        <f>IFERROR(__xludf.DUMMYFUNCTION("IFERROR(IF(AD3&gt;0, FILTER('VPLData(raw)'!E:E,'VPLData(raw)'!B:B=542,'VPLData(raw)'!A:A=A3), 0),0)"),"")</f>
        <v/>
      </c>
      <c r="AF3">
        <f>IFERROR(__xludf.DUMMYFUNCTION("IFERROR(FILTER('VPLData(raw)'!F:F,'VPLData(raw)'!B:B=542,'VPLData(raw)'!A:A=A3),0)"),"1424")</f>
        <v>1424</v>
      </c>
      <c r="AG3">
        <f>IFERROR(__xludf.DUMMYFUNCTION("IFERROR(FILTER('VPLData(raw)'!C:C,'VPLData(raw)'!B:B=544,'VPLData(raw)'!A:A=A3),0)"),"1499471692")</f>
        <v>1499471692</v>
      </c>
      <c r="AH3">
        <f>IFERROR(__xludf.DUMMYFUNCTION("IFERROR(IF(AG3&gt;0, FILTER('VPLData(raw)'!E:E,'VPLData(raw)'!B:B=544,'VPLData(raw)'!A:A=A3), 0),0)"),"10")</f>
        <v>10</v>
      </c>
      <c r="AI3">
        <f>IFERROR(__xludf.DUMMYFUNCTION("IFERROR(FILTER('VPLData(raw)'!F:F,'VPLData(raw)'!B:B=544,'VPLData(raw)'!A:A=A3),0)"),"1213")</f>
        <v>1213</v>
      </c>
      <c r="AJ3">
        <f>IFERROR(__xludf.DUMMYFUNCTION("IFERROR(FILTER('VPLData(raw)'!C:C,'VPLData(raw)'!B:B=545,'VPLData(raw)'!A:A=A3),0)"),"1499464857")</f>
        <v>1499464857</v>
      </c>
      <c r="AK3">
        <f>IFERROR(__xludf.DUMMYFUNCTION("IFERROR(IF(AJ3&gt;0, FILTER('VPLData(raw)'!E:E,'VPLData(raw)'!B:B=545,'VPLData(raw)'!A:A=A3), 0),0)"),"10")</f>
        <v>10</v>
      </c>
      <c r="AL3">
        <f>IFERROR(__xludf.DUMMYFUNCTION("IFERROR(FILTER('VPLData(raw)'!F:F,'VPLData(raw)'!B:B=545,'VPLData(raw)'!A:A=A3),0)"),"6677")</f>
        <v>6677</v>
      </c>
    </row>
    <row r="4">
      <c r="A4" s="1">
        <v>10212.0</v>
      </c>
      <c r="B4" s="1">
        <v>9065750.0</v>
      </c>
      <c r="C4">
        <f>IFERROR(__xludf.DUMMYFUNCTION("IFERROR(FILTER('VPLData(raw)'!C:C,'VPLData(raw)'!B:B=504,'VPLData(raw)'!A:A=A4),0)"),"0")</f>
        <v>0</v>
      </c>
      <c r="D4" s="7">
        <f>IFERROR(__xludf.DUMMYFUNCTION("IFERROR(IF(C4&gt;0, FILTER('VPLData(raw)'!E:E,'VPLData(raw)'!B:B=504,'VPLData(raw)'!A:A=A4), 0),0)"),"0")</f>
        <v>0</v>
      </c>
      <c r="E4">
        <f>IFERROR(__xludf.DUMMYFUNCTION("IFERROR(FILTER('VPLData(raw)'!F:F,'VPLData(raw)'!B:B=504,'VPLData(raw)'!A:A=A4),0)"),"0")</f>
        <v>0</v>
      </c>
      <c r="F4">
        <f>IFERROR(__xludf.DUMMYFUNCTION("IFERROR(FILTER('VPLData(raw)'!C:C,'VPLData(raw)'!B:B=454,'VPLData(raw)'!A:A=A4),0)"),"1491841522")</f>
        <v>1491841522</v>
      </c>
      <c r="G4">
        <f>IFERROR(__xludf.DUMMYFUNCTION("IFERROR(IF(F4&gt;0, FILTER('VPLData(raw)'!E:E,'VPLData(raw)'!B:B=454,'VPLData(raw)'!A:A=A4), 0),0)"),"10")</f>
        <v>10</v>
      </c>
      <c r="H4">
        <f>IFERROR(__xludf.DUMMYFUNCTION("IFERROR(FILTER('VPLData(raw)'!F:F,'VPLData(raw)'!B:B=454,'VPLData(raw)'!A:A=A4),0)"),"647")</f>
        <v>647</v>
      </c>
      <c r="I4">
        <f>IFERROR(__xludf.DUMMYFUNCTION("IFERROR(FILTER('VPLData(raw)'!C:C,'VPLData(raw)'!B:B=457,'VPLData(raw)'!A:A=A4),0)"),"1491849510")</f>
        <v>1491849510</v>
      </c>
      <c r="J4" t="str">
        <f>IFERROR(__xludf.DUMMYFUNCTION("IFERROR(IF(I4&gt;0, FILTER('VPLData(raw)'!E:E,'VPLData(raw)'!B:B=457,'VPLData(raw)'!A:A=A4), 0),0)"),"")</f>
        <v/>
      </c>
      <c r="K4">
        <f>IFERROR(__xludf.DUMMYFUNCTION("IFERROR(FILTER('VPLData(raw)'!F:F,'VPLData(raw)'!B:B=457,'VPLData(raw)'!A:A=A4),0)"),"9384")</f>
        <v>9384</v>
      </c>
      <c r="L4">
        <f>IFERROR(__xludf.DUMMYFUNCTION("IFERROR(FILTER('VPLData(raw)'!C:C,'VPLData(raw)'!B:B=534,'VPLData(raw)'!A:A=A4),0)"),"0")</f>
        <v>0</v>
      </c>
      <c r="M4">
        <f>IFERROR(__xludf.DUMMYFUNCTION("IFERROR(IF(L4&gt;0, FILTER('VPLData(raw)'!E:E,'VPLData(raw)'!B:B=534,'VPLData(raw)'!A:A=A4), 0),0)"),"0")</f>
        <v>0</v>
      </c>
      <c r="N4">
        <f>IFERROR(__xludf.DUMMYFUNCTION("IFERROR(FILTER('VPLData(raw)'!F:F,'VPLData(raw)'!B:B=534,'VPLData(raw)'!A:A=A4),0)"),"0")</f>
        <v>0</v>
      </c>
      <c r="O4">
        <f>IFERROR(__xludf.DUMMYFUNCTION("IFERROR(FILTER('VPLData(raw)'!C:C,'VPLData(raw)'!B:B=498,'VPLData(raw)'!A:A=A4),0)"),"0")</f>
        <v>0</v>
      </c>
      <c r="P4">
        <f>IFERROR(__xludf.DUMMYFUNCTION("IFERROR(IF(O4&gt;0, FILTER('VPLData(raw)'!E:E,'VPLData(raw)'!B:B=498,'VPLData(raw)'!A:A=A4), 0),0)"),"0")</f>
        <v>0</v>
      </c>
      <c r="Q4">
        <f>IFERROR(__xludf.DUMMYFUNCTION("IFERROR(FILTER('VPLData(raw)'!F:F,'VPLData(raw)'!B:B=498,'VPLData(raw)'!A:A=A4),0)"),"0")</f>
        <v>0</v>
      </c>
      <c r="R4">
        <f>IFERROR(__xludf.DUMMYFUNCTION("IFERROR(FILTER('VPLData(raw)'!C:C,'VPLData(raw)'!B:B=515,'VPLData(raw)'!A:A=A4),0)"),"0")</f>
        <v>0</v>
      </c>
      <c r="S4">
        <f>IFERROR(__xludf.DUMMYFUNCTION("IFERROR(IF(R4&gt;0, FILTER('VPLData(raw)'!E:E,'VPLData(raw)'!B:B=515,'VPLData(raw)'!A:A=A4), 0),0)"),"0")</f>
        <v>0</v>
      </c>
      <c r="T4">
        <f>IFERROR(__xludf.DUMMYFUNCTION("IFERROR(FILTER('VPLData(raw)'!F:F,'VPLData(raw)'!B:B=515,'VPLData(raw)'!A:A=A4),0)"),"0")</f>
        <v>0</v>
      </c>
      <c r="U4">
        <f>IFERROR(__xludf.DUMMYFUNCTION("IFERROR(FILTER('VPLData(raw)'!C:C,'VPLData(raw)'!B:B=528,'VPLData(raw)'!A:A=A4),0)"),"0")</f>
        <v>0</v>
      </c>
      <c r="V4">
        <f>IFERROR(__xludf.DUMMYFUNCTION("IFERROR(IF(U4&gt;0, FILTER('VPLData(raw)'!E:E,'VPLData(raw)'!B:B=528,'VPLData(raw)'!A:A=A4), 0),0)"),"0")</f>
        <v>0</v>
      </c>
      <c r="W4">
        <f>IFERROR(__xludf.DUMMYFUNCTION("IFERROR(FILTER('VPLData(raw)'!F:F,'VPLData(raw)'!B:B=528,'VPLData(raw)'!A:A=A4),0)"),"0")</f>
        <v>0</v>
      </c>
      <c r="X4">
        <f>IFERROR(__xludf.DUMMYFUNCTION("IFERROR(FILTER('VPLData(raw)'!C:C,'VPLData(raw)'!B:B=524,'VPLData(raw)'!A:A=A4),0)"),"0")</f>
        <v>0</v>
      </c>
      <c r="Y4">
        <f>IFERROR(__xludf.DUMMYFUNCTION("IFERROR(IF(X4&gt;0, FILTER('VPLData(raw)'!E:E,'VPLData(raw)'!B:B=524,'VPLData(raw)'!A:A=A4), 0),0)"),"0")</f>
        <v>0</v>
      </c>
      <c r="Z4">
        <f>IFERROR(__xludf.DUMMYFUNCTION("IFERROR(FILTER('VPLData(raw)'!F:F,'VPLData(raw)'!B:B=524,'VPLData(raw)'!A:A=A4),0)"),"0")</f>
        <v>0</v>
      </c>
      <c r="AA4">
        <f>IFERROR(__xludf.DUMMYFUNCTION("IFERROR(FILTER('VPLData(raw)'!C:C,'VPLData(raw)'!B:B=478,'VPLData(raw)'!A:A=A4),0)"),"0")</f>
        <v>0</v>
      </c>
      <c r="AB4">
        <f>IFERROR(__xludf.DUMMYFUNCTION("IFERROR(IF(AA4&gt;0, FILTER('VPLData(raw)'!E:E,'VPLData(raw)'!B:B=478,'VPLData(raw)'!A:A=A4), 0),0)"),"0")</f>
        <v>0</v>
      </c>
      <c r="AC4">
        <f>IFERROR(__xludf.DUMMYFUNCTION("IFERROR(FILTER('VPLData(raw)'!F:F,'VPLData(raw)'!B:B=478,'VPLData(raw)'!A:A=A4),0)"),"0")</f>
        <v>0</v>
      </c>
      <c r="AD4">
        <f>IFERROR(__xludf.DUMMYFUNCTION("IFERROR(FILTER('VPLData(raw)'!C:C,'VPLData(raw)'!B:B=542,'VPLData(raw)'!A:A=A4),0)"),"0")</f>
        <v>0</v>
      </c>
      <c r="AE4">
        <f>IFERROR(__xludf.DUMMYFUNCTION("IFERROR(IF(AD4&gt;0, FILTER('VPLData(raw)'!E:E,'VPLData(raw)'!B:B=542,'VPLData(raw)'!A:A=A4), 0),0)"),"0")</f>
        <v>0</v>
      </c>
      <c r="AF4">
        <f>IFERROR(__xludf.DUMMYFUNCTION("IFERROR(FILTER('VPLData(raw)'!F:F,'VPLData(raw)'!B:B=542,'VPLData(raw)'!A:A=A4),0)"),"0")</f>
        <v>0</v>
      </c>
      <c r="AG4">
        <f>IFERROR(__xludf.DUMMYFUNCTION("IFERROR(FILTER('VPLData(raw)'!C:C,'VPLData(raw)'!B:B=544,'VPLData(raw)'!A:A=A4),0)"),"0")</f>
        <v>0</v>
      </c>
      <c r="AH4">
        <f>IFERROR(__xludf.DUMMYFUNCTION("IFERROR(IF(AG4&gt;0, FILTER('VPLData(raw)'!E:E,'VPLData(raw)'!B:B=544,'VPLData(raw)'!A:A=A4), 0),0)"),"0")</f>
        <v>0</v>
      </c>
      <c r="AI4">
        <f>IFERROR(__xludf.DUMMYFUNCTION("IFERROR(FILTER('VPLData(raw)'!F:F,'VPLData(raw)'!B:B=544,'VPLData(raw)'!A:A=A4),0)"),"0")</f>
        <v>0</v>
      </c>
      <c r="AJ4">
        <f>IFERROR(__xludf.DUMMYFUNCTION("IFERROR(FILTER('VPLData(raw)'!C:C,'VPLData(raw)'!B:B=545,'VPLData(raw)'!A:A=A4),0)"),"0")</f>
        <v>0</v>
      </c>
      <c r="AK4">
        <f>IFERROR(__xludf.DUMMYFUNCTION("IFERROR(IF(AJ4&gt;0, FILTER('VPLData(raw)'!E:E,'VPLData(raw)'!B:B=545,'VPLData(raw)'!A:A=A4), 0),0)"),"0")</f>
        <v>0</v>
      </c>
      <c r="AL4">
        <f>IFERROR(__xludf.DUMMYFUNCTION("IFERROR(FILTER('VPLData(raw)'!F:F,'VPLData(raw)'!B:B=545,'VPLData(raw)'!A:A=A4),0)"),"0")</f>
        <v>0</v>
      </c>
    </row>
    <row r="5">
      <c r="A5" s="1">
        <v>10221.0</v>
      </c>
      <c r="B5" s="1">
        <v>9082496.0</v>
      </c>
      <c r="C5">
        <f>IFERROR(__xludf.DUMMYFUNCTION("IFERROR(FILTER('VPLData(raw)'!C:C,'VPLData(raw)'!B:B=504,'VPLData(raw)'!A:A=A5),0)"),"0")</f>
        <v>0</v>
      </c>
      <c r="D5" s="7">
        <f>IFERROR(__xludf.DUMMYFUNCTION("IFERROR(IF(C5&gt;0, FILTER('VPLData(raw)'!E:E,'VPLData(raw)'!B:B=504,'VPLData(raw)'!A:A=A5), 0),0)"),"0")</f>
        <v>0</v>
      </c>
      <c r="E5">
        <f>IFERROR(__xludf.DUMMYFUNCTION("IFERROR(FILTER('VPLData(raw)'!F:F,'VPLData(raw)'!B:B=504,'VPLData(raw)'!A:A=A5),0)"),"0")</f>
        <v>0</v>
      </c>
      <c r="F5">
        <f>IFERROR(__xludf.DUMMYFUNCTION("IFERROR(FILTER('VPLData(raw)'!C:C,'VPLData(raw)'!B:B=454,'VPLData(raw)'!A:A=A5),0)"),"0")</f>
        <v>0</v>
      </c>
      <c r="G5">
        <f>IFERROR(__xludf.DUMMYFUNCTION("IFERROR(IF(F5&gt;0, FILTER('VPLData(raw)'!E:E,'VPLData(raw)'!B:B=454,'VPLData(raw)'!A:A=A5), 0),0)"),"0")</f>
        <v>0</v>
      </c>
      <c r="H5">
        <f>IFERROR(__xludf.DUMMYFUNCTION("IFERROR(FILTER('VPLData(raw)'!F:F,'VPLData(raw)'!B:B=454,'VPLData(raw)'!A:A=A5),0)"),"0")</f>
        <v>0</v>
      </c>
      <c r="I5">
        <f>IFERROR(__xludf.DUMMYFUNCTION("IFERROR(FILTER('VPLData(raw)'!C:C,'VPLData(raw)'!B:B=457,'VPLData(raw)'!A:A=A5),0)"),"0")</f>
        <v>0</v>
      </c>
      <c r="J5">
        <f>IFERROR(__xludf.DUMMYFUNCTION("IFERROR(IF(I5&gt;0, FILTER('VPLData(raw)'!E:E,'VPLData(raw)'!B:B=457,'VPLData(raw)'!A:A=A5), 0),0)"),"0")</f>
        <v>0</v>
      </c>
      <c r="K5">
        <f>IFERROR(__xludf.DUMMYFUNCTION("IFERROR(FILTER('VPLData(raw)'!F:F,'VPLData(raw)'!B:B=457,'VPLData(raw)'!A:A=A5),0)"),"0")</f>
        <v>0</v>
      </c>
      <c r="L5">
        <f>IFERROR(__xludf.DUMMYFUNCTION("IFERROR(FILTER('VPLData(raw)'!C:C,'VPLData(raw)'!B:B=534,'VPLData(raw)'!A:A=A5),0)"),"0")</f>
        <v>0</v>
      </c>
      <c r="M5">
        <f>IFERROR(__xludf.DUMMYFUNCTION("IFERROR(IF(L5&gt;0, FILTER('VPLData(raw)'!E:E,'VPLData(raw)'!B:B=534,'VPLData(raw)'!A:A=A5), 0),0)"),"0")</f>
        <v>0</v>
      </c>
      <c r="N5">
        <f>IFERROR(__xludf.DUMMYFUNCTION("IFERROR(FILTER('VPLData(raw)'!F:F,'VPLData(raw)'!B:B=534,'VPLData(raw)'!A:A=A5),0)"),"0")</f>
        <v>0</v>
      </c>
      <c r="O5">
        <f>IFERROR(__xludf.DUMMYFUNCTION("IFERROR(FILTER('VPLData(raw)'!C:C,'VPLData(raw)'!B:B=498,'VPLData(raw)'!A:A=A5),0)"),"0")</f>
        <v>0</v>
      </c>
      <c r="P5">
        <f>IFERROR(__xludf.DUMMYFUNCTION("IFERROR(IF(O5&gt;0, FILTER('VPLData(raw)'!E:E,'VPLData(raw)'!B:B=498,'VPLData(raw)'!A:A=A5), 0),0)"),"0")</f>
        <v>0</v>
      </c>
      <c r="Q5">
        <f>IFERROR(__xludf.DUMMYFUNCTION("IFERROR(FILTER('VPLData(raw)'!F:F,'VPLData(raw)'!B:B=498,'VPLData(raw)'!A:A=A5),0)"),"0")</f>
        <v>0</v>
      </c>
      <c r="R5">
        <f>IFERROR(__xludf.DUMMYFUNCTION("IFERROR(FILTER('VPLData(raw)'!C:C,'VPLData(raw)'!B:B=515,'VPLData(raw)'!A:A=A5),0)"),"0")</f>
        <v>0</v>
      </c>
      <c r="S5">
        <f>IFERROR(__xludf.DUMMYFUNCTION("IFERROR(IF(R5&gt;0, FILTER('VPLData(raw)'!E:E,'VPLData(raw)'!B:B=515,'VPLData(raw)'!A:A=A5), 0),0)"),"0")</f>
        <v>0</v>
      </c>
      <c r="T5">
        <f>IFERROR(__xludf.DUMMYFUNCTION("IFERROR(FILTER('VPLData(raw)'!F:F,'VPLData(raw)'!B:B=515,'VPLData(raw)'!A:A=A5),0)"),"0")</f>
        <v>0</v>
      </c>
      <c r="U5">
        <f>IFERROR(__xludf.DUMMYFUNCTION("IFERROR(FILTER('VPLData(raw)'!C:C,'VPLData(raw)'!B:B=528,'VPLData(raw)'!A:A=A5),0)"),"0")</f>
        <v>0</v>
      </c>
      <c r="V5">
        <f>IFERROR(__xludf.DUMMYFUNCTION("IFERROR(IF(U5&gt;0, FILTER('VPLData(raw)'!E:E,'VPLData(raw)'!B:B=528,'VPLData(raw)'!A:A=A5), 0),0)"),"0")</f>
        <v>0</v>
      </c>
      <c r="W5">
        <f>IFERROR(__xludf.DUMMYFUNCTION("IFERROR(FILTER('VPLData(raw)'!F:F,'VPLData(raw)'!B:B=528,'VPLData(raw)'!A:A=A5),0)"),"0")</f>
        <v>0</v>
      </c>
      <c r="X5">
        <f>IFERROR(__xludf.DUMMYFUNCTION("IFERROR(FILTER('VPLData(raw)'!C:C,'VPLData(raw)'!B:B=524,'VPLData(raw)'!A:A=A5),0)"),"0")</f>
        <v>0</v>
      </c>
      <c r="Y5">
        <f>IFERROR(__xludf.DUMMYFUNCTION("IFERROR(IF(X5&gt;0, FILTER('VPLData(raw)'!E:E,'VPLData(raw)'!B:B=524,'VPLData(raw)'!A:A=A5), 0),0)"),"0")</f>
        <v>0</v>
      </c>
      <c r="Z5">
        <f>IFERROR(__xludf.DUMMYFUNCTION("IFERROR(FILTER('VPLData(raw)'!F:F,'VPLData(raw)'!B:B=524,'VPLData(raw)'!A:A=A5),0)"),"0")</f>
        <v>0</v>
      </c>
      <c r="AA5">
        <f>IFERROR(__xludf.DUMMYFUNCTION("IFERROR(FILTER('VPLData(raw)'!C:C,'VPLData(raw)'!B:B=478,'VPLData(raw)'!A:A=A5),0)"),"0")</f>
        <v>0</v>
      </c>
      <c r="AB5">
        <f>IFERROR(__xludf.DUMMYFUNCTION("IFERROR(IF(AA5&gt;0, FILTER('VPLData(raw)'!E:E,'VPLData(raw)'!B:B=478,'VPLData(raw)'!A:A=A5), 0),0)"),"0")</f>
        <v>0</v>
      </c>
      <c r="AC5">
        <f>IFERROR(__xludf.DUMMYFUNCTION("IFERROR(FILTER('VPLData(raw)'!F:F,'VPLData(raw)'!B:B=478,'VPLData(raw)'!A:A=A5),0)"),"0")</f>
        <v>0</v>
      </c>
      <c r="AD5">
        <f>IFERROR(__xludf.DUMMYFUNCTION("IFERROR(FILTER('VPLData(raw)'!C:C,'VPLData(raw)'!B:B=542,'VPLData(raw)'!A:A=A5),0)"),"1499463897")</f>
        <v>1499463897</v>
      </c>
      <c r="AE5">
        <f>IFERROR(__xludf.DUMMYFUNCTION("IFERROR(IF(AD5&gt;0, FILTER('VPLData(raw)'!E:E,'VPLData(raw)'!B:B=542,'VPLData(raw)'!A:A=A5), 0),0)"),"10")</f>
        <v>10</v>
      </c>
      <c r="AF5">
        <f>IFERROR(__xludf.DUMMYFUNCTION("IFERROR(FILTER('VPLData(raw)'!F:F,'VPLData(raw)'!B:B=542,'VPLData(raw)'!A:A=A5),0)"),"716")</f>
        <v>716</v>
      </c>
      <c r="AG5">
        <f>IFERROR(__xludf.DUMMYFUNCTION("IFERROR(FILTER('VPLData(raw)'!C:C,'VPLData(raw)'!B:B=544,'VPLData(raw)'!A:A=A5),0)"),"1499464652")</f>
        <v>1499464652</v>
      </c>
      <c r="AH5">
        <f>IFERROR(__xludf.DUMMYFUNCTION("IFERROR(IF(AG5&gt;0, FILTER('VPLData(raw)'!E:E,'VPLData(raw)'!B:B=544,'VPLData(raw)'!A:A=A5), 0),0)"),"10")</f>
        <v>10</v>
      </c>
      <c r="AI5">
        <f>IFERROR(__xludf.DUMMYFUNCTION("IFERROR(FILTER('VPLData(raw)'!F:F,'VPLData(raw)'!B:B=544,'VPLData(raw)'!A:A=A5),0)"),"831")</f>
        <v>831</v>
      </c>
      <c r="AJ5">
        <f>IFERROR(__xludf.DUMMYFUNCTION("IFERROR(FILTER('VPLData(raw)'!C:C,'VPLData(raw)'!B:B=545,'VPLData(raw)'!A:A=A5),0)"),"1499458633")</f>
        <v>1499458633</v>
      </c>
      <c r="AK5" t="str">
        <f>IFERROR(__xludf.DUMMYFUNCTION("IFERROR(IF(AJ5&gt;0, FILTER('VPLData(raw)'!E:E,'VPLData(raw)'!B:B=545,'VPLData(raw)'!A:A=A5), 0),0)"),"")</f>
        <v/>
      </c>
      <c r="AL5">
        <f>IFERROR(__xludf.DUMMYFUNCTION("IFERROR(FILTER('VPLData(raw)'!F:F,'VPLData(raw)'!B:B=545,'VPLData(raw)'!A:A=A5),0)"),"3112")</f>
        <v>3112</v>
      </c>
    </row>
    <row r="6">
      <c r="A6" s="1">
        <v>10227.0</v>
      </c>
      <c r="B6" s="1">
        <v>9274382.0</v>
      </c>
      <c r="C6">
        <f>IFERROR(__xludf.DUMMYFUNCTION("IFERROR(FILTER('VPLData(raw)'!C:C,'VPLData(raw)'!B:B=504,'VPLData(raw)'!A:A=A6),0)"),"1490835329")</f>
        <v>1490835329</v>
      </c>
      <c r="D6" s="7">
        <f>IFERROR(__xludf.DUMMYFUNCTION("IFERROR(IF(C6&gt;0, FILTER('VPLData(raw)'!E:E,'VPLData(raw)'!B:B=504,'VPLData(raw)'!A:A=A6), 0),0)"),"10")</f>
        <v>10</v>
      </c>
      <c r="E6">
        <f>IFERROR(__xludf.DUMMYFUNCTION("IFERROR(FILTER('VPLData(raw)'!F:F,'VPLData(raw)'!B:B=504,'VPLData(raw)'!A:A=A6),0)"),"3355")</f>
        <v>3355</v>
      </c>
      <c r="F6">
        <f>IFERROR(__xludf.DUMMYFUNCTION("IFERROR(FILTER('VPLData(raw)'!C:C,'VPLData(raw)'!B:B=454,'VPLData(raw)'!A:A=A6),0)"),"0")</f>
        <v>0</v>
      </c>
      <c r="G6">
        <f>IFERROR(__xludf.DUMMYFUNCTION("IFERROR(IF(F6&gt;0, FILTER('VPLData(raw)'!E:E,'VPLData(raw)'!B:B=454,'VPLData(raw)'!A:A=A6), 0),0)"),"0")</f>
        <v>0</v>
      </c>
      <c r="H6">
        <f>IFERROR(__xludf.DUMMYFUNCTION("IFERROR(FILTER('VPLData(raw)'!F:F,'VPLData(raw)'!B:B=454,'VPLData(raw)'!A:A=A6),0)"),"0")</f>
        <v>0</v>
      </c>
      <c r="I6">
        <f>IFERROR(__xludf.DUMMYFUNCTION("IFERROR(FILTER('VPLData(raw)'!C:C,'VPLData(raw)'!B:B=457,'VPLData(raw)'!A:A=A6),0)"),"0")</f>
        <v>0</v>
      </c>
      <c r="J6">
        <f>IFERROR(__xludf.DUMMYFUNCTION("IFERROR(IF(I6&gt;0, FILTER('VPLData(raw)'!E:E,'VPLData(raw)'!B:B=457,'VPLData(raw)'!A:A=A6), 0),0)"),"0")</f>
        <v>0</v>
      </c>
      <c r="K6">
        <f>IFERROR(__xludf.DUMMYFUNCTION("IFERROR(FILTER('VPLData(raw)'!F:F,'VPLData(raw)'!B:B=457,'VPLData(raw)'!A:A=A6),0)"),"0")</f>
        <v>0</v>
      </c>
      <c r="L6">
        <f>IFERROR(__xludf.DUMMYFUNCTION("IFERROR(FILTER('VPLData(raw)'!C:C,'VPLData(raw)'!B:B=534,'VPLData(raw)'!A:A=A6),0)"),"0")</f>
        <v>0</v>
      </c>
      <c r="M6">
        <f>IFERROR(__xludf.DUMMYFUNCTION("IFERROR(IF(L6&gt;0, FILTER('VPLData(raw)'!E:E,'VPLData(raw)'!B:B=534,'VPLData(raw)'!A:A=A6), 0),0)"),"0")</f>
        <v>0</v>
      </c>
      <c r="N6">
        <f>IFERROR(__xludf.DUMMYFUNCTION("IFERROR(FILTER('VPLData(raw)'!F:F,'VPLData(raw)'!B:B=534,'VPLData(raw)'!A:A=A6),0)"),"0")</f>
        <v>0</v>
      </c>
      <c r="O6">
        <f>IFERROR(__xludf.DUMMYFUNCTION("IFERROR(FILTER('VPLData(raw)'!C:C,'VPLData(raw)'!B:B=498,'VPLData(raw)'!A:A=A6),0)"),"1492468765")</f>
        <v>1492468765</v>
      </c>
      <c r="P6" t="str">
        <f>IFERROR(__xludf.DUMMYFUNCTION("IFERROR(IF(O6&gt;0, FILTER('VPLData(raw)'!E:E,'VPLData(raw)'!B:B=498,'VPLData(raw)'!A:A=A6), 0),0)"),"")</f>
        <v/>
      </c>
      <c r="Q6">
        <f>IFERROR(__xludf.DUMMYFUNCTION("IFERROR(FILTER('VPLData(raw)'!F:F,'VPLData(raw)'!B:B=498,'VPLData(raw)'!A:A=A6),0)"),"8048")</f>
        <v>8048</v>
      </c>
      <c r="R6">
        <f>IFERROR(__xludf.DUMMYFUNCTION("IFERROR(FILTER('VPLData(raw)'!C:C,'VPLData(raw)'!B:B=515,'VPLData(raw)'!A:A=A6),0)"),"0")</f>
        <v>0</v>
      </c>
      <c r="S6">
        <f>IFERROR(__xludf.DUMMYFUNCTION("IFERROR(IF(R6&gt;0, FILTER('VPLData(raw)'!E:E,'VPLData(raw)'!B:B=515,'VPLData(raw)'!A:A=A6), 0),0)"),"0")</f>
        <v>0</v>
      </c>
      <c r="T6">
        <f>IFERROR(__xludf.DUMMYFUNCTION("IFERROR(FILTER('VPLData(raw)'!F:F,'VPLData(raw)'!B:B=515,'VPLData(raw)'!A:A=A6),0)"),"0")</f>
        <v>0</v>
      </c>
      <c r="U6">
        <f>IFERROR(__xludf.DUMMYFUNCTION("IFERROR(FILTER('VPLData(raw)'!C:C,'VPLData(raw)'!B:B=528,'VPLData(raw)'!A:A=A6),0)"),"1494937632")</f>
        <v>1494937632</v>
      </c>
      <c r="V6">
        <f>IFERROR(__xludf.DUMMYFUNCTION("IFERROR(IF(U6&gt;0, FILTER('VPLData(raw)'!E:E,'VPLData(raw)'!B:B=528,'VPLData(raw)'!A:A=A6), 0),0)"),"10")</f>
        <v>10</v>
      </c>
      <c r="W6">
        <f>IFERROR(__xludf.DUMMYFUNCTION("IFERROR(FILTER('VPLData(raw)'!F:F,'VPLData(raw)'!B:B=528,'VPLData(raw)'!A:A=A6),0)"),"1629")</f>
        <v>1629</v>
      </c>
      <c r="X6">
        <f>IFERROR(__xludf.DUMMYFUNCTION("IFERROR(FILTER('VPLData(raw)'!C:C,'VPLData(raw)'!B:B=524,'VPLData(raw)'!A:A=A6),0)"),"1495503269")</f>
        <v>1495503269</v>
      </c>
      <c r="Y6" t="str">
        <f>IFERROR(__xludf.DUMMYFUNCTION("IFERROR(IF(X6&gt;0, FILTER('VPLData(raw)'!E:E,'VPLData(raw)'!B:B=524,'VPLData(raw)'!A:A=A6), 0),0)"),"")</f>
        <v/>
      </c>
      <c r="Z6">
        <f>IFERROR(__xludf.DUMMYFUNCTION("IFERROR(FILTER('VPLData(raw)'!F:F,'VPLData(raw)'!B:B=524,'VPLData(raw)'!A:A=A6),0)"),"2122")</f>
        <v>2122</v>
      </c>
      <c r="AA6">
        <f>IFERROR(__xludf.DUMMYFUNCTION("IFERROR(FILTER('VPLData(raw)'!C:C,'VPLData(raw)'!B:B=478,'VPLData(raw)'!A:A=A6),0)"),"0")</f>
        <v>0</v>
      </c>
      <c r="AB6">
        <f>IFERROR(__xludf.DUMMYFUNCTION("IFERROR(IF(AA6&gt;0, FILTER('VPLData(raw)'!E:E,'VPLData(raw)'!B:B=478,'VPLData(raw)'!A:A=A6), 0),0)"),"0")</f>
        <v>0</v>
      </c>
      <c r="AC6">
        <f>IFERROR(__xludf.DUMMYFUNCTION("IFERROR(FILTER('VPLData(raw)'!F:F,'VPLData(raw)'!B:B=478,'VPLData(raw)'!A:A=A6),0)"),"0")</f>
        <v>0</v>
      </c>
      <c r="AD6">
        <f>IFERROR(__xludf.DUMMYFUNCTION("IFERROR(FILTER('VPLData(raw)'!C:C,'VPLData(raw)'!B:B=542,'VPLData(raw)'!A:A=A6),0)"),"0")</f>
        <v>0</v>
      </c>
      <c r="AE6">
        <f>IFERROR(__xludf.DUMMYFUNCTION("IFERROR(IF(AD6&gt;0, FILTER('VPLData(raw)'!E:E,'VPLData(raw)'!B:B=542,'VPLData(raw)'!A:A=A6), 0),0)"),"0")</f>
        <v>0</v>
      </c>
      <c r="AF6">
        <f>IFERROR(__xludf.DUMMYFUNCTION("IFERROR(FILTER('VPLData(raw)'!F:F,'VPLData(raw)'!B:B=542,'VPLData(raw)'!A:A=A6),0)"),"0")</f>
        <v>0</v>
      </c>
      <c r="AG6">
        <f>IFERROR(__xludf.DUMMYFUNCTION("IFERROR(FILTER('VPLData(raw)'!C:C,'VPLData(raw)'!B:B=544,'VPLData(raw)'!A:A=A6),0)"),"1499296071")</f>
        <v>1499296071</v>
      </c>
      <c r="AH6" t="str">
        <f>IFERROR(__xludf.DUMMYFUNCTION("IFERROR(IF(AG6&gt;0, FILTER('VPLData(raw)'!E:E,'VPLData(raw)'!B:B=544,'VPLData(raw)'!A:A=A6), 0),0)"),"")</f>
        <v/>
      </c>
      <c r="AI6">
        <f>IFERROR(__xludf.DUMMYFUNCTION("IFERROR(FILTER('VPLData(raw)'!F:F,'VPLData(raw)'!B:B=544,'VPLData(raw)'!A:A=A6),0)"),"6271")</f>
        <v>6271</v>
      </c>
      <c r="AJ6">
        <f>IFERROR(__xludf.DUMMYFUNCTION("IFERROR(FILTER('VPLData(raw)'!C:C,'VPLData(raw)'!B:B=545,'VPLData(raw)'!A:A=A6),0)"),"1499288842")</f>
        <v>1499288842</v>
      </c>
      <c r="AK6">
        <f>IFERROR(__xludf.DUMMYFUNCTION("IFERROR(IF(AJ6&gt;0, FILTER('VPLData(raw)'!E:E,'VPLData(raw)'!B:B=545,'VPLData(raw)'!A:A=A6), 0),0)"),"10")</f>
        <v>10</v>
      </c>
      <c r="AL6">
        <f>IFERROR(__xludf.DUMMYFUNCTION("IFERROR(FILTER('VPLData(raw)'!F:F,'VPLData(raw)'!B:B=545,'VPLData(raw)'!A:A=A6),0)"),"15965")</f>
        <v>15965</v>
      </c>
    </row>
    <row r="7">
      <c r="A7" s="1">
        <v>10215.0</v>
      </c>
      <c r="B7" s="1">
        <v>9285227.0</v>
      </c>
      <c r="C7">
        <f>IFERROR(__xludf.DUMMYFUNCTION("IFERROR(FILTER('VPLData(raw)'!C:C,'VPLData(raw)'!B:B=504,'VPLData(raw)'!A:A=A7),0)"),"1490831849")</f>
        <v>1490831849</v>
      </c>
      <c r="D7" s="7">
        <f>IFERROR(__xludf.DUMMYFUNCTION("IFERROR(IF(C7&gt;0, FILTER('VPLData(raw)'!E:E,'VPLData(raw)'!B:B=504,'VPLData(raw)'!A:A=A7), 0),0)"),"10")</f>
        <v>10</v>
      </c>
      <c r="E7">
        <f>IFERROR(__xludf.DUMMYFUNCTION("IFERROR(FILTER('VPLData(raw)'!F:F,'VPLData(raw)'!B:B=504,'VPLData(raw)'!A:A=A7),0)"),"1029")</f>
        <v>1029</v>
      </c>
      <c r="F7">
        <f>IFERROR(__xludf.DUMMYFUNCTION("IFERROR(FILTER('VPLData(raw)'!C:C,'VPLData(raw)'!B:B=454,'VPLData(raw)'!A:A=A7),0)"),"1491835155")</f>
        <v>1491835155</v>
      </c>
      <c r="G7">
        <f>IFERROR(__xludf.DUMMYFUNCTION("IFERROR(IF(F7&gt;0, FILTER('VPLData(raw)'!E:E,'VPLData(raw)'!B:B=454,'VPLData(raw)'!A:A=A7), 0),0)"),"10")</f>
        <v>10</v>
      </c>
      <c r="H7">
        <f>IFERROR(__xludf.DUMMYFUNCTION("IFERROR(FILTER('VPLData(raw)'!F:F,'VPLData(raw)'!B:B=454,'VPLData(raw)'!A:A=A7),0)"),"219")</f>
        <v>219</v>
      </c>
      <c r="I7">
        <f>IFERROR(__xludf.DUMMYFUNCTION("IFERROR(FILTER('VPLData(raw)'!C:C,'VPLData(raw)'!B:B=457,'VPLData(raw)'!A:A=A7),0)"),"1491837226")</f>
        <v>1491837226</v>
      </c>
      <c r="J7">
        <f>IFERROR(__xludf.DUMMYFUNCTION("IFERROR(IF(I7&gt;0, FILTER('VPLData(raw)'!E:E,'VPLData(raw)'!B:B=457,'VPLData(raw)'!A:A=A7), 0),0)"),"10")</f>
        <v>10</v>
      </c>
      <c r="K7">
        <f>IFERROR(__xludf.DUMMYFUNCTION("IFERROR(FILTER('VPLData(raw)'!F:F,'VPLData(raw)'!B:B=457,'VPLData(raw)'!A:A=A7),0)"),"461")</f>
        <v>461</v>
      </c>
      <c r="L7">
        <f>IFERROR(__xludf.DUMMYFUNCTION("IFERROR(FILTER('VPLData(raw)'!C:C,'VPLData(raw)'!B:B=534,'VPLData(raw)'!A:A=A7),0)"),"0")</f>
        <v>0</v>
      </c>
      <c r="M7">
        <f>IFERROR(__xludf.DUMMYFUNCTION("IFERROR(IF(L7&gt;0, FILTER('VPLData(raw)'!E:E,'VPLData(raw)'!B:B=534,'VPLData(raw)'!A:A=A7), 0),0)"),"0")</f>
        <v>0</v>
      </c>
      <c r="N7">
        <f>IFERROR(__xludf.DUMMYFUNCTION("IFERROR(FILTER('VPLData(raw)'!F:F,'VPLData(raw)'!B:B=534,'VPLData(raw)'!A:A=A7),0)"),"0")</f>
        <v>0</v>
      </c>
      <c r="O7">
        <f>IFERROR(__xludf.DUMMYFUNCTION("IFERROR(FILTER('VPLData(raw)'!C:C,'VPLData(raw)'!B:B=498,'VPLData(raw)'!A:A=A7),0)"),"1492709200")</f>
        <v>1492709200</v>
      </c>
      <c r="P7">
        <f>IFERROR(__xludf.DUMMYFUNCTION("IFERROR(IF(O7&gt;0, FILTER('VPLData(raw)'!E:E,'VPLData(raw)'!B:B=498,'VPLData(raw)'!A:A=A7), 0),0)"),"10")</f>
        <v>10</v>
      </c>
      <c r="Q7">
        <f>IFERROR(__xludf.DUMMYFUNCTION("IFERROR(FILTER('VPLData(raw)'!F:F,'VPLData(raw)'!B:B=498,'VPLData(raw)'!A:A=A7),0)"),"1912")</f>
        <v>1912</v>
      </c>
      <c r="R7">
        <f>IFERROR(__xludf.DUMMYFUNCTION("IFERROR(FILTER('VPLData(raw)'!C:C,'VPLData(raw)'!B:B=515,'VPLData(raw)'!A:A=A7),0)"),"1492709443")</f>
        <v>1492709443</v>
      </c>
      <c r="S7" t="str">
        <f>IFERROR(__xludf.DUMMYFUNCTION("IFERROR(IF(R7&gt;0, FILTER('VPLData(raw)'!E:E,'VPLData(raw)'!B:B=515,'VPLData(raw)'!A:A=A7), 0),0)"),"")</f>
        <v/>
      </c>
      <c r="T7">
        <f>IFERROR(__xludf.DUMMYFUNCTION("IFERROR(FILTER('VPLData(raw)'!F:F,'VPLData(raw)'!B:B=515,'VPLData(raw)'!A:A=A7),0)"),"1545")</f>
        <v>1545</v>
      </c>
      <c r="U7">
        <f>IFERROR(__xludf.DUMMYFUNCTION("IFERROR(FILTER('VPLData(raw)'!C:C,'VPLData(raw)'!B:B=528,'VPLData(raw)'!A:A=A7),0)"),"1494383777")</f>
        <v>1494383777</v>
      </c>
      <c r="V7">
        <f>IFERROR(__xludf.DUMMYFUNCTION("IFERROR(IF(U7&gt;0, FILTER('VPLData(raw)'!E:E,'VPLData(raw)'!B:B=528,'VPLData(raw)'!A:A=A7), 0),0)"),"10")</f>
        <v>10</v>
      </c>
      <c r="W7">
        <f>IFERROR(__xludf.DUMMYFUNCTION("IFERROR(FILTER('VPLData(raw)'!F:F,'VPLData(raw)'!B:B=528,'VPLData(raw)'!A:A=A7),0)"),"1039")</f>
        <v>1039</v>
      </c>
      <c r="X7">
        <f>IFERROR(__xludf.DUMMYFUNCTION("IFERROR(FILTER('VPLData(raw)'!C:C,'VPLData(raw)'!B:B=524,'VPLData(raw)'!A:A=A7),0)"),"1494698641")</f>
        <v>1494698641</v>
      </c>
      <c r="Y7">
        <f>IFERROR(__xludf.DUMMYFUNCTION("IFERROR(IF(X7&gt;0, FILTER('VPLData(raw)'!E:E,'VPLData(raw)'!B:B=524,'VPLData(raw)'!A:A=A7), 0),0)"),"10")</f>
        <v>10</v>
      </c>
      <c r="Z7">
        <f>IFERROR(__xludf.DUMMYFUNCTION("IFERROR(FILTER('VPLData(raw)'!F:F,'VPLData(raw)'!B:B=524,'VPLData(raw)'!A:A=A7),0)"),"1278")</f>
        <v>1278</v>
      </c>
      <c r="AA7">
        <f>IFERROR(__xludf.DUMMYFUNCTION("IFERROR(FILTER('VPLData(raw)'!C:C,'VPLData(raw)'!B:B=478,'VPLData(raw)'!A:A=A7),0)"),"1494700096")</f>
        <v>1494700096</v>
      </c>
      <c r="AB7" t="str">
        <f>IFERROR(__xludf.DUMMYFUNCTION("IFERROR(IF(AA7&gt;0, FILTER('VPLData(raw)'!E:E,'VPLData(raw)'!B:B=478,'VPLData(raw)'!A:A=A7), 0),0)"),"")</f>
        <v/>
      </c>
      <c r="AC7">
        <f>IFERROR(__xludf.DUMMYFUNCTION("IFERROR(FILTER('VPLData(raw)'!F:F,'VPLData(raw)'!B:B=478,'VPLData(raw)'!A:A=A7),0)"),"1315")</f>
        <v>1315</v>
      </c>
      <c r="AD7">
        <f>IFERROR(__xludf.DUMMYFUNCTION("IFERROR(FILTER('VPLData(raw)'!C:C,'VPLData(raw)'!B:B=542,'VPLData(raw)'!A:A=A7),0)"),"1498193227")</f>
        <v>1498193227</v>
      </c>
      <c r="AE7">
        <f>IFERROR(__xludf.DUMMYFUNCTION("IFERROR(IF(AD7&gt;0, FILTER('VPLData(raw)'!E:E,'VPLData(raw)'!B:B=542,'VPLData(raw)'!A:A=A7), 0),0)"),"10")</f>
        <v>10</v>
      </c>
      <c r="AF7">
        <f>IFERROR(__xludf.DUMMYFUNCTION("IFERROR(FILTER('VPLData(raw)'!F:F,'VPLData(raw)'!B:B=542,'VPLData(raw)'!A:A=A7),0)"),"288")</f>
        <v>288</v>
      </c>
      <c r="AG7">
        <f>IFERROR(__xludf.DUMMYFUNCTION("IFERROR(FILTER('VPLData(raw)'!C:C,'VPLData(raw)'!B:B=544,'VPLData(raw)'!A:A=A7),0)"),"1499454603")</f>
        <v>1499454603</v>
      </c>
      <c r="AH7">
        <f>IFERROR(__xludf.DUMMYFUNCTION("IFERROR(IF(AG7&gt;0, FILTER('VPLData(raw)'!E:E,'VPLData(raw)'!B:B=544,'VPLData(raw)'!A:A=A7), 0),0)"),"10")</f>
        <v>10</v>
      </c>
      <c r="AI7">
        <f>IFERROR(__xludf.DUMMYFUNCTION("IFERROR(FILTER('VPLData(raw)'!F:F,'VPLData(raw)'!B:B=544,'VPLData(raw)'!A:A=A7),0)"),"497")</f>
        <v>497</v>
      </c>
      <c r="AJ7">
        <f>IFERROR(__xludf.DUMMYFUNCTION("IFERROR(FILTER('VPLData(raw)'!C:C,'VPLData(raw)'!B:B=545,'VPLData(raw)'!A:A=A7),0)"),"1497997065")</f>
        <v>1497997065</v>
      </c>
      <c r="AK7">
        <f>IFERROR(__xludf.DUMMYFUNCTION("IFERROR(IF(AJ7&gt;0, FILTER('VPLData(raw)'!E:E,'VPLData(raw)'!B:B=545,'VPLData(raw)'!A:A=A7), 0),0)"),"10")</f>
        <v>10</v>
      </c>
      <c r="AL7">
        <f>IFERROR(__xludf.DUMMYFUNCTION("IFERROR(FILTER('VPLData(raw)'!F:F,'VPLData(raw)'!B:B=545,'VPLData(raw)'!A:A=A7),0)"),"383")</f>
        <v>383</v>
      </c>
    </row>
    <row r="8">
      <c r="A8" s="1">
        <v>10229.0</v>
      </c>
      <c r="B8" s="1">
        <v>9292462.0</v>
      </c>
      <c r="C8">
        <f>IFERROR(__xludf.DUMMYFUNCTION("IFERROR(FILTER('VPLData(raw)'!C:C,'VPLData(raw)'!B:B=504,'VPLData(raw)'!A:A=A8),0)"),"0")</f>
        <v>0</v>
      </c>
      <c r="D8" s="7">
        <f>IFERROR(__xludf.DUMMYFUNCTION("IFERROR(IF(C8&gt;0, FILTER('VPLData(raw)'!E:E,'VPLData(raw)'!B:B=504,'VPLData(raw)'!A:A=A8), 0),0)"),"0")</f>
        <v>0</v>
      </c>
      <c r="E8">
        <f>IFERROR(__xludf.DUMMYFUNCTION("IFERROR(FILTER('VPLData(raw)'!F:F,'VPLData(raw)'!B:B=504,'VPLData(raw)'!A:A=A8),0)"),"0")</f>
        <v>0</v>
      </c>
      <c r="F8">
        <f>IFERROR(__xludf.DUMMYFUNCTION("IFERROR(FILTER('VPLData(raw)'!C:C,'VPLData(raw)'!B:B=454,'VPLData(raw)'!A:A=A8),0)"),"0")</f>
        <v>0</v>
      </c>
      <c r="G8">
        <f>IFERROR(__xludf.DUMMYFUNCTION("IFERROR(IF(F8&gt;0, FILTER('VPLData(raw)'!E:E,'VPLData(raw)'!B:B=454,'VPLData(raw)'!A:A=A8), 0),0)"),"0")</f>
        <v>0</v>
      </c>
      <c r="H8">
        <f>IFERROR(__xludf.DUMMYFUNCTION("IFERROR(FILTER('VPLData(raw)'!F:F,'VPLData(raw)'!B:B=454,'VPLData(raw)'!A:A=A8),0)"),"0")</f>
        <v>0</v>
      </c>
      <c r="I8">
        <f>IFERROR(__xludf.DUMMYFUNCTION("IFERROR(FILTER('VPLData(raw)'!C:C,'VPLData(raw)'!B:B=457,'VPLData(raw)'!A:A=A8),0)"),"0")</f>
        <v>0</v>
      </c>
      <c r="J8">
        <f>IFERROR(__xludf.DUMMYFUNCTION("IFERROR(IF(I8&gt;0, FILTER('VPLData(raw)'!E:E,'VPLData(raw)'!B:B=457,'VPLData(raw)'!A:A=A8), 0),0)"),"0")</f>
        <v>0</v>
      </c>
      <c r="K8">
        <f>IFERROR(__xludf.DUMMYFUNCTION("IFERROR(FILTER('VPLData(raw)'!F:F,'VPLData(raw)'!B:B=457,'VPLData(raw)'!A:A=A8),0)"),"0")</f>
        <v>0</v>
      </c>
      <c r="L8">
        <f>IFERROR(__xludf.DUMMYFUNCTION("IFERROR(FILTER('VPLData(raw)'!C:C,'VPLData(raw)'!B:B=534,'VPLData(raw)'!A:A=A8),0)"),"0")</f>
        <v>0</v>
      </c>
      <c r="M8">
        <f>IFERROR(__xludf.DUMMYFUNCTION("IFERROR(IF(L8&gt;0, FILTER('VPLData(raw)'!E:E,'VPLData(raw)'!B:B=534,'VPLData(raw)'!A:A=A8), 0),0)"),"0")</f>
        <v>0</v>
      </c>
      <c r="N8">
        <f>IFERROR(__xludf.DUMMYFUNCTION("IFERROR(FILTER('VPLData(raw)'!F:F,'VPLData(raw)'!B:B=534,'VPLData(raw)'!A:A=A8),0)"),"0")</f>
        <v>0</v>
      </c>
      <c r="O8">
        <f>IFERROR(__xludf.DUMMYFUNCTION("IFERROR(FILTER('VPLData(raw)'!C:C,'VPLData(raw)'!B:B=498,'VPLData(raw)'!A:A=A8),0)"),"0")</f>
        <v>0</v>
      </c>
      <c r="P8">
        <f>IFERROR(__xludf.DUMMYFUNCTION("IFERROR(IF(O8&gt;0, FILTER('VPLData(raw)'!E:E,'VPLData(raw)'!B:B=498,'VPLData(raw)'!A:A=A8), 0),0)"),"0")</f>
        <v>0</v>
      </c>
      <c r="Q8">
        <f>IFERROR(__xludf.DUMMYFUNCTION("IFERROR(FILTER('VPLData(raw)'!F:F,'VPLData(raw)'!B:B=498,'VPLData(raw)'!A:A=A8),0)"),"0")</f>
        <v>0</v>
      </c>
      <c r="R8">
        <f>IFERROR(__xludf.DUMMYFUNCTION("IFERROR(FILTER('VPLData(raw)'!C:C,'VPLData(raw)'!B:B=515,'VPLData(raw)'!A:A=A8),0)"),"0")</f>
        <v>0</v>
      </c>
      <c r="S8">
        <f>IFERROR(__xludf.DUMMYFUNCTION("IFERROR(IF(R8&gt;0, FILTER('VPLData(raw)'!E:E,'VPLData(raw)'!B:B=515,'VPLData(raw)'!A:A=A8), 0),0)"),"0")</f>
        <v>0</v>
      </c>
      <c r="T8">
        <f>IFERROR(__xludf.DUMMYFUNCTION("IFERROR(FILTER('VPLData(raw)'!F:F,'VPLData(raw)'!B:B=515,'VPLData(raw)'!A:A=A8),0)"),"0")</f>
        <v>0</v>
      </c>
      <c r="U8">
        <f>IFERROR(__xludf.DUMMYFUNCTION("IFERROR(FILTER('VPLData(raw)'!C:C,'VPLData(raw)'!B:B=528,'VPLData(raw)'!A:A=A8),0)"),"0")</f>
        <v>0</v>
      </c>
      <c r="V8">
        <f>IFERROR(__xludf.DUMMYFUNCTION("IFERROR(IF(U8&gt;0, FILTER('VPLData(raw)'!E:E,'VPLData(raw)'!B:B=528,'VPLData(raw)'!A:A=A8), 0),0)"),"0")</f>
        <v>0</v>
      </c>
      <c r="W8">
        <f>IFERROR(__xludf.DUMMYFUNCTION("IFERROR(FILTER('VPLData(raw)'!F:F,'VPLData(raw)'!B:B=528,'VPLData(raw)'!A:A=A8),0)"),"0")</f>
        <v>0</v>
      </c>
      <c r="X8">
        <f>IFERROR(__xludf.DUMMYFUNCTION("IFERROR(FILTER('VPLData(raw)'!C:C,'VPLData(raw)'!B:B=524,'VPLData(raw)'!A:A=A8),0)"),"0")</f>
        <v>0</v>
      </c>
      <c r="Y8">
        <f>IFERROR(__xludf.DUMMYFUNCTION("IFERROR(IF(X8&gt;0, FILTER('VPLData(raw)'!E:E,'VPLData(raw)'!B:B=524,'VPLData(raw)'!A:A=A8), 0),0)"),"0")</f>
        <v>0</v>
      </c>
      <c r="Z8">
        <f>IFERROR(__xludf.DUMMYFUNCTION("IFERROR(FILTER('VPLData(raw)'!F:F,'VPLData(raw)'!B:B=524,'VPLData(raw)'!A:A=A8),0)"),"0")</f>
        <v>0</v>
      </c>
      <c r="AA8">
        <f>IFERROR(__xludf.DUMMYFUNCTION("IFERROR(FILTER('VPLData(raw)'!C:C,'VPLData(raw)'!B:B=478,'VPLData(raw)'!A:A=A8),0)"),"0")</f>
        <v>0</v>
      </c>
      <c r="AB8">
        <f>IFERROR(__xludf.DUMMYFUNCTION("IFERROR(IF(AA8&gt;0, FILTER('VPLData(raw)'!E:E,'VPLData(raw)'!B:B=478,'VPLData(raw)'!A:A=A8), 0),0)"),"0")</f>
        <v>0</v>
      </c>
      <c r="AC8">
        <f>IFERROR(__xludf.DUMMYFUNCTION("IFERROR(FILTER('VPLData(raw)'!F:F,'VPLData(raw)'!B:B=478,'VPLData(raw)'!A:A=A8),0)"),"0")</f>
        <v>0</v>
      </c>
      <c r="AD8">
        <f>IFERROR(__xludf.DUMMYFUNCTION("IFERROR(FILTER('VPLData(raw)'!C:C,'VPLData(raw)'!B:B=542,'VPLData(raw)'!A:A=A8),0)"),"0")</f>
        <v>0</v>
      </c>
      <c r="AE8">
        <f>IFERROR(__xludf.DUMMYFUNCTION("IFERROR(IF(AD8&gt;0, FILTER('VPLData(raw)'!E:E,'VPLData(raw)'!B:B=542,'VPLData(raw)'!A:A=A8), 0),0)"),"0")</f>
        <v>0</v>
      </c>
      <c r="AF8">
        <f>IFERROR(__xludf.DUMMYFUNCTION("IFERROR(FILTER('VPLData(raw)'!F:F,'VPLData(raw)'!B:B=542,'VPLData(raw)'!A:A=A8),0)"),"0")</f>
        <v>0</v>
      </c>
      <c r="AG8">
        <f>IFERROR(__xludf.DUMMYFUNCTION("IFERROR(FILTER('VPLData(raw)'!C:C,'VPLData(raw)'!B:B=544,'VPLData(raw)'!A:A=A8),0)"),"0")</f>
        <v>0</v>
      </c>
      <c r="AH8">
        <f>IFERROR(__xludf.DUMMYFUNCTION("IFERROR(IF(AG8&gt;0, FILTER('VPLData(raw)'!E:E,'VPLData(raw)'!B:B=544,'VPLData(raw)'!A:A=A8), 0),0)"),"0")</f>
        <v>0</v>
      </c>
      <c r="AI8">
        <f>IFERROR(__xludf.DUMMYFUNCTION("IFERROR(FILTER('VPLData(raw)'!F:F,'VPLData(raw)'!B:B=544,'VPLData(raw)'!A:A=A8),0)"),"0")</f>
        <v>0</v>
      </c>
      <c r="AJ8">
        <f>IFERROR(__xludf.DUMMYFUNCTION("IFERROR(FILTER('VPLData(raw)'!C:C,'VPLData(raw)'!B:B=545,'VPLData(raw)'!A:A=A8),0)"),"0")</f>
        <v>0</v>
      </c>
      <c r="AK8">
        <f>IFERROR(__xludf.DUMMYFUNCTION("IFERROR(IF(AJ8&gt;0, FILTER('VPLData(raw)'!E:E,'VPLData(raw)'!B:B=545,'VPLData(raw)'!A:A=A8), 0),0)"),"0")</f>
        <v>0</v>
      </c>
      <c r="AL8">
        <f>IFERROR(__xludf.DUMMYFUNCTION("IFERROR(FILTER('VPLData(raw)'!F:F,'VPLData(raw)'!B:B=545,'VPLData(raw)'!A:A=A8),0)"),"0")</f>
        <v>0</v>
      </c>
    </row>
    <row r="9">
      <c r="A9" s="1">
        <v>10211.0</v>
      </c>
      <c r="B9" s="1">
        <v>9311643.0</v>
      </c>
      <c r="C9">
        <f>IFERROR(__xludf.DUMMYFUNCTION("IFERROR(FILTER('VPLData(raw)'!C:C,'VPLData(raw)'!B:B=504,'VPLData(raw)'!A:A=A9),0)"),"1490730339")</f>
        <v>1490730339</v>
      </c>
      <c r="D9" s="7">
        <f>IFERROR(__xludf.DUMMYFUNCTION("IFERROR(IF(C9&gt;0, FILTER('VPLData(raw)'!E:E,'VPLData(raw)'!B:B=504,'VPLData(raw)'!A:A=A9), 0),0)"),"10")</f>
        <v>10</v>
      </c>
      <c r="E9">
        <f>IFERROR(__xludf.DUMMYFUNCTION("IFERROR(FILTER('VPLData(raw)'!F:F,'VPLData(raw)'!B:B=504,'VPLData(raw)'!A:A=A9),0)"),"558")</f>
        <v>558</v>
      </c>
      <c r="F9">
        <f>IFERROR(__xludf.DUMMYFUNCTION("IFERROR(FILTER('VPLData(raw)'!C:C,'VPLData(raw)'!B:B=454,'VPLData(raw)'!A:A=A9),0)"),"1491835242")</f>
        <v>1491835242</v>
      </c>
      <c r="G9">
        <f>IFERROR(__xludf.DUMMYFUNCTION("IFERROR(IF(F9&gt;0, FILTER('VPLData(raw)'!E:E,'VPLData(raw)'!B:B=454,'VPLData(raw)'!A:A=A9), 0),0)"),"10")</f>
        <v>10</v>
      </c>
      <c r="H9">
        <f>IFERROR(__xludf.DUMMYFUNCTION("IFERROR(FILTER('VPLData(raw)'!F:F,'VPLData(raw)'!B:B=454,'VPLData(raw)'!A:A=A9),0)"),"1176")</f>
        <v>1176</v>
      </c>
      <c r="I9">
        <f>IFERROR(__xludf.DUMMYFUNCTION("IFERROR(FILTER('VPLData(raw)'!C:C,'VPLData(raw)'!B:B=457,'VPLData(raw)'!A:A=A9),0)"),"1491838533")</f>
        <v>1491838533</v>
      </c>
      <c r="J9">
        <f>IFERROR(__xludf.DUMMYFUNCTION("IFERROR(IF(I9&gt;0, FILTER('VPLData(raw)'!E:E,'VPLData(raw)'!B:B=457,'VPLData(raw)'!A:A=A9), 0),0)"),"10")</f>
        <v>10</v>
      </c>
      <c r="K9">
        <f>IFERROR(__xludf.DUMMYFUNCTION("IFERROR(FILTER('VPLData(raw)'!F:F,'VPLData(raw)'!B:B=457,'VPLData(raw)'!A:A=A9),0)"),"691")</f>
        <v>691</v>
      </c>
      <c r="L9">
        <f>IFERROR(__xludf.DUMMYFUNCTION("IFERROR(FILTER('VPLData(raw)'!C:C,'VPLData(raw)'!B:B=534,'VPLData(raw)'!A:A=A9),0)"),"0")</f>
        <v>0</v>
      </c>
      <c r="M9">
        <f>IFERROR(__xludf.DUMMYFUNCTION("IFERROR(IF(L9&gt;0, FILTER('VPLData(raw)'!E:E,'VPLData(raw)'!B:B=534,'VPLData(raw)'!A:A=A9), 0),0)"),"0")</f>
        <v>0</v>
      </c>
      <c r="N9">
        <f>IFERROR(__xludf.DUMMYFUNCTION("IFERROR(FILTER('VPLData(raw)'!F:F,'VPLData(raw)'!B:B=534,'VPLData(raw)'!A:A=A9),0)"),"0")</f>
        <v>0</v>
      </c>
      <c r="O9">
        <f>IFERROR(__xludf.DUMMYFUNCTION("IFERROR(FILTER('VPLData(raw)'!C:C,'VPLData(raw)'!B:B=498,'VPLData(raw)'!A:A=A9),0)"),"1492874129")</f>
        <v>1492874129</v>
      </c>
      <c r="P9">
        <f>IFERROR(__xludf.DUMMYFUNCTION("IFERROR(IF(O9&gt;0, FILTER('VPLData(raw)'!E:E,'VPLData(raw)'!B:B=498,'VPLData(raw)'!A:A=A9), 0),0)"),"10")</f>
        <v>10</v>
      </c>
      <c r="Q9">
        <f>IFERROR(__xludf.DUMMYFUNCTION("IFERROR(FILTER('VPLData(raw)'!F:F,'VPLData(raw)'!B:B=498,'VPLData(raw)'!A:A=A9),0)"),"211")</f>
        <v>211</v>
      </c>
      <c r="R9">
        <f>IFERROR(__xludf.DUMMYFUNCTION("IFERROR(FILTER('VPLData(raw)'!C:C,'VPLData(raw)'!B:B=515,'VPLData(raw)'!A:A=A9),0)"),"1492874734")</f>
        <v>1492874734</v>
      </c>
      <c r="S9">
        <f>IFERROR(__xludf.DUMMYFUNCTION("IFERROR(IF(R9&gt;0, FILTER('VPLData(raw)'!E:E,'VPLData(raw)'!B:B=515,'VPLData(raw)'!A:A=A9), 0),0)"),"10")</f>
        <v>10</v>
      </c>
      <c r="T9">
        <f>IFERROR(__xludf.DUMMYFUNCTION("IFERROR(FILTER('VPLData(raw)'!F:F,'VPLData(raw)'!B:B=515,'VPLData(raw)'!A:A=A9),0)"),"468")</f>
        <v>468</v>
      </c>
      <c r="U9">
        <f>IFERROR(__xludf.DUMMYFUNCTION("IFERROR(FILTER('VPLData(raw)'!C:C,'VPLData(raw)'!B:B=528,'VPLData(raw)'!A:A=A9),0)"),"1494591625")</f>
        <v>1494591625</v>
      </c>
      <c r="V9">
        <f>IFERROR(__xludf.DUMMYFUNCTION("IFERROR(IF(U9&gt;0, FILTER('VPLData(raw)'!E:E,'VPLData(raw)'!B:B=528,'VPLData(raw)'!A:A=A9), 0),0)"),"10")</f>
        <v>10</v>
      </c>
      <c r="W9">
        <f>IFERROR(__xludf.DUMMYFUNCTION("IFERROR(FILTER('VPLData(raw)'!F:F,'VPLData(raw)'!B:B=528,'VPLData(raw)'!A:A=A9),0)"),"110")</f>
        <v>110</v>
      </c>
      <c r="X9">
        <f>IFERROR(__xludf.DUMMYFUNCTION("IFERROR(FILTER('VPLData(raw)'!C:C,'VPLData(raw)'!B:B=524,'VPLData(raw)'!A:A=A9),0)"),"1494592008")</f>
        <v>1494592008</v>
      </c>
      <c r="Y9">
        <f>IFERROR(__xludf.DUMMYFUNCTION("IFERROR(IF(X9&gt;0, FILTER('VPLData(raw)'!E:E,'VPLData(raw)'!B:B=524,'VPLData(raw)'!A:A=A9), 0),0)"),"10")</f>
        <v>10</v>
      </c>
      <c r="Z9">
        <f>IFERROR(__xludf.DUMMYFUNCTION("IFERROR(FILTER('VPLData(raw)'!F:F,'VPLData(raw)'!B:B=524,'VPLData(raw)'!A:A=A9),0)"),"1057")</f>
        <v>1057</v>
      </c>
      <c r="AA9">
        <f>IFERROR(__xludf.DUMMYFUNCTION("IFERROR(FILTER('VPLData(raw)'!C:C,'VPLData(raw)'!B:B=478,'VPLData(raw)'!A:A=A9),0)"),"1494602932")</f>
        <v>1494602932</v>
      </c>
      <c r="AB9">
        <f>IFERROR(__xludf.DUMMYFUNCTION("IFERROR(IF(AA9&gt;0, FILTER('VPLData(raw)'!E:E,'VPLData(raw)'!B:B=478,'VPLData(raw)'!A:A=A9), 0),0)"),"10")</f>
        <v>10</v>
      </c>
      <c r="AC9">
        <f>IFERROR(__xludf.DUMMYFUNCTION("IFERROR(FILTER('VPLData(raw)'!F:F,'VPLData(raw)'!B:B=478,'VPLData(raw)'!A:A=A9),0)"),"2577")</f>
        <v>2577</v>
      </c>
      <c r="AD9">
        <f>IFERROR(__xludf.DUMMYFUNCTION("IFERROR(FILTER('VPLData(raw)'!C:C,'VPLData(raw)'!B:B=542,'VPLData(raw)'!A:A=A9),0)"),"0")</f>
        <v>0</v>
      </c>
      <c r="AE9">
        <f>IFERROR(__xludf.DUMMYFUNCTION("IFERROR(IF(AD9&gt;0, FILTER('VPLData(raw)'!E:E,'VPLData(raw)'!B:B=542,'VPLData(raw)'!A:A=A9), 0),0)"),"0")</f>
        <v>0</v>
      </c>
      <c r="AF9">
        <f>IFERROR(__xludf.DUMMYFUNCTION("IFERROR(FILTER('VPLData(raw)'!F:F,'VPLData(raw)'!B:B=542,'VPLData(raw)'!A:A=A9),0)"),"0")</f>
        <v>0</v>
      </c>
      <c r="AG9">
        <f>IFERROR(__xludf.DUMMYFUNCTION("IFERROR(FILTER('VPLData(raw)'!C:C,'VPLData(raw)'!B:B=544,'VPLData(raw)'!A:A=A9),0)"),"0")</f>
        <v>0</v>
      </c>
      <c r="AH9">
        <f>IFERROR(__xludf.DUMMYFUNCTION("IFERROR(IF(AG9&gt;0, FILTER('VPLData(raw)'!E:E,'VPLData(raw)'!B:B=544,'VPLData(raw)'!A:A=A9), 0),0)"),"0")</f>
        <v>0</v>
      </c>
      <c r="AI9">
        <f>IFERROR(__xludf.DUMMYFUNCTION("IFERROR(FILTER('VPLData(raw)'!F:F,'VPLData(raw)'!B:B=544,'VPLData(raw)'!A:A=A9),0)"),"0")</f>
        <v>0</v>
      </c>
      <c r="AJ9">
        <f>IFERROR(__xludf.DUMMYFUNCTION("IFERROR(FILTER('VPLData(raw)'!C:C,'VPLData(raw)'!B:B=545,'VPLData(raw)'!A:A=A9),0)"),"0")</f>
        <v>0</v>
      </c>
      <c r="AK9">
        <f>IFERROR(__xludf.DUMMYFUNCTION("IFERROR(IF(AJ9&gt;0, FILTER('VPLData(raw)'!E:E,'VPLData(raw)'!B:B=545,'VPLData(raw)'!A:A=A9), 0),0)"),"0")</f>
        <v>0</v>
      </c>
      <c r="AL9">
        <f>IFERROR(__xludf.DUMMYFUNCTION("IFERROR(FILTER('VPLData(raw)'!F:F,'VPLData(raw)'!B:B=545,'VPLData(raw)'!A:A=A9),0)"),"0")</f>
        <v>0</v>
      </c>
    </row>
    <row r="10">
      <c r="A10" s="1">
        <v>10189.0</v>
      </c>
      <c r="B10" s="1">
        <v>9363926.0</v>
      </c>
      <c r="C10">
        <f>IFERROR(__xludf.DUMMYFUNCTION("IFERROR(FILTER('VPLData(raw)'!C:C,'VPLData(raw)'!B:B=504,'VPLData(raw)'!A:A=A10),0)"),"1490832110")</f>
        <v>1490832110</v>
      </c>
      <c r="D10" s="7">
        <f>IFERROR(__xludf.DUMMYFUNCTION("IFERROR(IF(C10&gt;0, FILTER('VPLData(raw)'!E:E,'VPLData(raw)'!B:B=504,'VPLData(raw)'!A:A=A10), 0),0)"),"10")</f>
        <v>10</v>
      </c>
      <c r="E10">
        <f>IFERROR(__xludf.DUMMYFUNCTION("IFERROR(FILTER('VPLData(raw)'!F:F,'VPLData(raw)'!B:B=504,'VPLData(raw)'!A:A=A10),0)"),"5914")</f>
        <v>5914</v>
      </c>
      <c r="F10">
        <f>IFERROR(__xludf.DUMMYFUNCTION("IFERROR(FILTER('VPLData(raw)'!C:C,'VPLData(raw)'!B:B=454,'VPLData(raw)'!A:A=A10),0)"),"1491480039")</f>
        <v>1491480039</v>
      </c>
      <c r="G10">
        <f>IFERROR(__xludf.DUMMYFUNCTION("IFERROR(IF(F10&gt;0, FILTER('VPLData(raw)'!E:E,'VPLData(raw)'!B:B=454,'VPLData(raw)'!A:A=A10), 0),0)"),"10")</f>
        <v>10</v>
      </c>
      <c r="H10">
        <f>IFERROR(__xludf.DUMMYFUNCTION("IFERROR(FILTER('VPLData(raw)'!F:F,'VPLData(raw)'!B:B=454,'VPLData(raw)'!A:A=A10),0)"),"678")</f>
        <v>678</v>
      </c>
      <c r="I10">
        <f>IFERROR(__xludf.DUMMYFUNCTION("IFERROR(FILTER('VPLData(raw)'!C:C,'VPLData(raw)'!B:B=457,'VPLData(raw)'!A:A=A10),0)"),"1492478556")</f>
        <v>1492478556</v>
      </c>
      <c r="J10">
        <f>IFERROR(__xludf.DUMMYFUNCTION("IFERROR(IF(I10&gt;0, FILTER('VPLData(raw)'!E:E,'VPLData(raw)'!B:B=457,'VPLData(raw)'!A:A=A10), 0),0)"),"10")</f>
        <v>10</v>
      </c>
      <c r="K10">
        <f>IFERROR(__xludf.DUMMYFUNCTION("IFERROR(FILTER('VPLData(raw)'!F:F,'VPLData(raw)'!B:B=457,'VPLData(raw)'!A:A=A10),0)"),"265")</f>
        <v>265</v>
      </c>
      <c r="L10">
        <f>IFERROR(__xludf.DUMMYFUNCTION("IFERROR(FILTER('VPLData(raw)'!C:C,'VPLData(raw)'!B:B=534,'VPLData(raw)'!A:A=A10),0)"),"0")</f>
        <v>0</v>
      </c>
      <c r="M10">
        <f>IFERROR(__xludf.DUMMYFUNCTION("IFERROR(IF(L10&gt;0, FILTER('VPLData(raw)'!E:E,'VPLData(raw)'!B:B=534,'VPLData(raw)'!A:A=A10), 0),0)"),"0")</f>
        <v>0</v>
      </c>
      <c r="N10">
        <f>IFERROR(__xludf.DUMMYFUNCTION("IFERROR(FILTER('VPLData(raw)'!F:F,'VPLData(raw)'!B:B=534,'VPLData(raw)'!A:A=A10),0)"),"0")</f>
        <v>0</v>
      </c>
      <c r="O10">
        <f>IFERROR(__xludf.DUMMYFUNCTION("IFERROR(FILTER('VPLData(raw)'!C:C,'VPLData(raw)'!B:B=498,'VPLData(raw)'!A:A=A10),0)"),"1492709638")</f>
        <v>1492709638</v>
      </c>
      <c r="P10">
        <f>IFERROR(__xludf.DUMMYFUNCTION("IFERROR(IF(O10&gt;0, FILTER('VPLData(raw)'!E:E,'VPLData(raw)'!B:B=498,'VPLData(raw)'!A:A=A10), 0),0)"),"10")</f>
        <v>10</v>
      </c>
      <c r="Q10">
        <f>IFERROR(__xludf.DUMMYFUNCTION("IFERROR(FILTER('VPLData(raw)'!F:F,'VPLData(raw)'!B:B=498,'VPLData(raw)'!A:A=A10),0)"),"395")</f>
        <v>395</v>
      </c>
      <c r="R10">
        <f>IFERROR(__xludf.DUMMYFUNCTION("IFERROR(FILTER('VPLData(raw)'!C:C,'VPLData(raw)'!B:B=515,'VPLData(raw)'!A:A=A10),0)"),"1492710779")</f>
        <v>1492710779</v>
      </c>
      <c r="S10">
        <f>IFERROR(__xludf.DUMMYFUNCTION("IFERROR(IF(R10&gt;0, FILTER('VPLData(raw)'!E:E,'VPLData(raw)'!B:B=515,'VPLData(raw)'!A:A=A10), 0),0)"),"10")</f>
        <v>10</v>
      </c>
      <c r="T10">
        <f>IFERROR(__xludf.DUMMYFUNCTION("IFERROR(FILTER('VPLData(raw)'!F:F,'VPLData(raw)'!B:B=515,'VPLData(raw)'!A:A=A10),0)"),"6795")</f>
        <v>6795</v>
      </c>
      <c r="U10">
        <f>IFERROR(__xludf.DUMMYFUNCTION("IFERROR(FILTER('VPLData(raw)'!C:C,'VPLData(raw)'!B:B=528,'VPLData(raw)'!A:A=A10),0)"),"1495403539")</f>
        <v>1495403539</v>
      </c>
      <c r="V10">
        <f>IFERROR(__xludf.DUMMYFUNCTION("IFERROR(IF(U10&gt;0, FILTER('VPLData(raw)'!E:E,'VPLData(raw)'!B:B=528,'VPLData(raw)'!A:A=A10), 0),0)"),"10")</f>
        <v>10</v>
      </c>
      <c r="W10">
        <f>IFERROR(__xludf.DUMMYFUNCTION("IFERROR(FILTER('VPLData(raw)'!F:F,'VPLData(raw)'!B:B=528,'VPLData(raw)'!A:A=A10),0)"),"782")</f>
        <v>782</v>
      </c>
      <c r="X10">
        <f>IFERROR(__xludf.DUMMYFUNCTION("IFERROR(FILTER('VPLData(raw)'!C:C,'VPLData(raw)'!B:B=524,'VPLData(raw)'!A:A=A10),0)"),"1495660617")</f>
        <v>1495660617</v>
      </c>
      <c r="Y10" t="str">
        <f>IFERROR(__xludf.DUMMYFUNCTION("IFERROR(IF(X10&gt;0, FILTER('VPLData(raw)'!E:E,'VPLData(raw)'!B:B=524,'VPLData(raw)'!A:A=A10), 0),0)"),"")</f>
        <v/>
      </c>
      <c r="Z10">
        <f>IFERROR(__xludf.DUMMYFUNCTION("IFERROR(FILTER('VPLData(raw)'!F:F,'VPLData(raw)'!B:B=524,'VPLData(raw)'!A:A=A10),0)"),"801")</f>
        <v>801</v>
      </c>
      <c r="AA10">
        <f>IFERROR(__xludf.DUMMYFUNCTION("IFERROR(FILTER('VPLData(raw)'!C:C,'VPLData(raw)'!B:B=478,'VPLData(raw)'!A:A=A10),0)"),"1495555128")</f>
        <v>1495555128</v>
      </c>
      <c r="AB10">
        <f>IFERROR(__xludf.DUMMYFUNCTION("IFERROR(IF(AA10&gt;0, FILTER('VPLData(raw)'!E:E,'VPLData(raw)'!B:B=478,'VPLData(raw)'!A:A=A10), 0),0)"),"10")</f>
        <v>10</v>
      </c>
      <c r="AC10">
        <f>IFERROR(__xludf.DUMMYFUNCTION("IFERROR(FILTER('VPLData(raw)'!F:F,'VPLData(raw)'!B:B=478,'VPLData(raw)'!A:A=A10),0)"),"872")</f>
        <v>872</v>
      </c>
      <c r="AD10">
        <f>IFERROR(__xludf.DUMMYFUNCTION("IFERROR(FILTER('VPLData(raw)'!C:C,'VPLData(raw)'!B:B=542,'VPLData(raw)'!A:A=A10),0)"),"1499027343")</f>
        <v>1499027343</v>
      </c>
      <c r="AE10">
        <f>IFERROR(__xludf.DUMMYFUNCTION("IFERROR(IF(AD10&gt;0, FILTER('VPLData(raw)'!E:E,'VPLData(raw)'!B:B=542,'VPLData(raw)'!A:A=A10), 0),0)"),"10")</f>
        <v>10</v>
      </c>
      <c r="AF10">
        <f>IFERROR(__xludf.DUMMYFUNCTION("IFERROR(FILTER('VPLData(raw)'!F:F,'VPLData(raw)'!B:B=542,'VPLData(raw)'!A:A=A10),0)"),"948")</f>
        <v>948</v>
      </c>
      <c r="AG10">
        <f>IFERROR(__xludf.DUMMYFUNCTION("IFERROR(FILTER('VPLData(raw)'!C:C,'VPLData(raw)'!B:B=544,'VPLData(raw)'!A:A=A10),0)"),"0")</f>
        <v>0</v>
      </c>
      <c r="AH10">
        <f>IFERROR(__xludf.DUMMYFUNCTION("IFERROR(IF(AG10&gt;0, FILTER('VPLData(raw)'!E:E,'VPLData(raw)'!B:B=544,'VPLData(raw)'!A:A=A10), 0),0)"),"0")</f>
        <v>0</v>
      </c>
      <c r="AI10">
        <f>IFERROR(__xludf.DUMMYFUNCTION("IFERROR(FILTER('VPLData(raw)'!F:F,'VPLData(raw)'!B:B=544,'VPLData(raw)'!A:A=A10),0)"),"0")</f>
        <v>0</v>
      </c>
      <c r="AJ10">
        <f>IFERROR(__xludf.DUMMYFUNCTION("IFERROR(FILTER('VPLData(raw)'!C:C,'VPLData(raw)'!B:B=545,'VPLData(raw)'!A:A=A10),0)"),"0")</f>
        <v>0</v>
      </c>
      <c r="AK10">
        <f>IFERROR(__xludf.DUMMYFUNCTION("IFERROR(IF(AJ10&gt;0, FILTER('VPLData(raw)'!E:E,'VPLData(raw)'!B:B=545,'VPLData(raw)'!A:A=A10), 0),0)"),"0")</f>
        <v>0</v>
      </c>
      <c r="AL10">
        <f>IFERROR(__xludf.DUMMYFUNCTION("IFERROR(FILTER('VPLData(raw)'!F:F,'VPLData(raw)'!B:B=545,'VPLData(raw)'!A:A=A10),0)"),"0")</f>
        <v>0</v>
      </c>
      <c r="AM10" s="2"/>
    </row>
    <row r="11">
      <c r="A11" s="1">
        <v>10224.0</v>
      </c>
      <c r="B11" s="1">
        <v>9368772.0</v>
      </c>
      <c r="C11">
        <f>IFERROR(__xludf.DUMMYFUNCTION("IFERROR(FILTER('VPLData(raw)'!C:C,'VPLData(raw)'!B:B=504,'VPLData(raw)'!A:A=A11),0)"),"1490824247")</f>
        <v>1490824247</v>
      </c>
      <c r="D11" s="7">
        <f>IFERROR(__xludf.DUMMYFUNCTION("IFERROR(IF(C11&gt;0, FILTER('VPLData(raw)'!E:E,'VPLData(raw)'!B:B=504,'VPLData(raw)'!A:A=A11), 0),0)"),"10")</f>
        <v>10</v>
      </c>
      <c r="E11">
        <f>IFERROR(__xludf.DUMMYFUNCTION("IFERROR(FILTER('VPLData(raw)'!F:F,'VPLData(raw)'!B:B=504,'VPLData(raw)'!A:A=A11),0)"),"1127")</f>
        <v>1127</v>
      </c>
      <c r="F11">
        <f>IFERROR(__xludf.DUMMYFUNCTION("IFERROR(FILTER('VPLData(raw)'!C:C,'VPLData(raw)'!B:B=454,'VPLData(raw)'!A:A=A11),0)"),"1491354859")</f>
        <v>1491354859</v>
      </c>
      <c r="G11">
        <f>IFERROR(__xludf.DUMMYFUNCTION("IFERROR(IF(F11&gt;0, FILTER('VPLData(raw)'!E:E,'VPLData(raw)'!B:B=454,'VPLData(raw)'!A:A=A11), 0),0)"),"10")</f>
        <v>10</v>
      </c>
      <c r="H11">
        <f>IFERROR(__xludf.DUMMYFUNCTION("IFERROR(FILTER('VPLData(raw)'!F:F,'VPLData(raw)'!B:B=454,'VPLData(raw)'!A:A=A11),0)"),"426")</f>
        <v>426</v>
      </c>
      <c r="I11">
        <f>IFERROR(__xludf.DUMMYFUNCTION("IFERROR(FILTER('VPLData(raw)'!C:C,'VPLData(raw)'!B:B=457,'VPLData(raw)'!A:A=A11),0)"),"0")</f>
        <v>0</v>
      </c>
      <c r="J11">
        <f>IFERROR(__xludf.DUMMYFUNCTION("IFERROR(IF(I11&gt;0, FILTER('VPLData(raw)'!E:E,'VPLData(raw)'!B:B=457,'VPLData(raw)'!A:A=A11), 0),0)"),"0")</f>
        <v>0</v>
      </c>
      <c r="K11">
        <f>IFERROR(__xludf.DUMMYFUNCTION("IFERROR(FILTER('VPLData(raw)'!F:F,'VPLData(raw)'!B:B=457,'VPLData(raw)'!A:A=A11),0)"),"0")</f>
        <v>0</v>
      </c>
      <c r="L11">
        <f>IFERROR(__xludf.DUMMYFUNCTION("IFERROR(FILTER('VPLData(raw)'!C:C,'VPLData(raw)'!B:B=534,'VPLData(raw)'!A:A=A11),0)"),"0")</f>
        <v>0</v>
      </c>
      <c r="M11">
        <f>IFERROR(__xludf.DUMMYFUNCTION("IFERROR(IF(L11&gt;0, FILTER('VPLData(raw)'!E:E,'VPLData(raw)'!B:B=534,'VPLData(raw)'!A:A=A11), 0),0)"),"0")</f>
        <v>0</v>
      </c>
      <c r="N11">
        <f>IFERROR(__xludf.DUMMYFUNCTION("IFERROR(FILTER('VPLData(raw)'!F:F,'VPLData(raw)'!B:B=534,'VPLData(raw)'!A:A=A11),0)"),"0")</f>
        <v>0</v>
      </c>
      <c r="O11">
        <f>IFERROR(__xludf.DUMMYFUNCTION("IFERROR(FILTER('VPLData(raw)'!C:C,'VPLData(raw)'!B:B=498,'VPLData(raw)'!A:A=A11),0)"),"1493085514")</f>
        <v>1493085514</v>
      </c>
      <c r="P11">
        <f>IFERROR(__xludf.DUMMYFUNCTION("IFERROR(IF(O11&gt;0, FILTER('VPLData(raw)'!E:E,'VPLData(raw)'!B:B=498,'VPLData(raw)'!A:A=A11), 0),0)"),"10")</f>
        <v>10</v>
      </c>
      <c r="Q11">
        <f>IFERROR(__xludf.DUMMYFUNCTION("IFERROR(FILTER('VPLData(raw)'!F:F,'VPLData(raw)'!B:B=498,'VPLData(raw)'!A:A=A11),0)"),"479")</f>
        <v>479</v>
      </c>
      <c r="R11">
        <f>IFERROR(__xludf.DUMMYFUNCTION("IFERROR(FILTER('VPLData(raw)'!C:C,'VPLData(raw)'!B:B=515,'VPLData(raw)'!A:A=A11),0)"),"0")</f>
        <v>0</v>
      </c>
      <c r="S11">
        <f>IFERROR(__xludf.DUMMYFUNCTION("IFERROR(IF(R11&gt;0, FILTER('VPLData(raw)'!E:E,'VPLData(raw)'!B:B=515,'VPLData(raw)'!A:A=A11), 0),0)"),"0")</f>
        <v>0</v>
      </c>
      <c r="T11">
        <f>IFERROR(__xludf.DUMMYFUNCTION("IFERROR(FILTER('VPLData(raw)'!F:F,'VPLData(raw)'!B:B=515,'VPLData(raw)'!A:A=A11),0)"),"0")</f>
        <v>0</v>
      </c>
      <c r="U11">
        <f>IFERROR(__xludf.DUMMYFUNCTION("IFERROR(FILTER('VPLData(raw)'!C:C,'VPLData(raw)'!B:B=528,'VPLData(raw)'!A:A=A11),0)"),"1494472122")</f>
        <v>1494472122</v>
      </c>
      <c r="V11">
        <f>IFERROR(__xludf.DUMMYFUNCTION("IFERROR(IF(U11&gt;0, FILTER('VPLData(raw)'!E:E,'VPLData(raw)'!B:B=528,'VPLData(raw)'!A:A=A11), 0),0)"),"10")</f>
        <v>10</v>
      </c>
      <c r="W11">
        <f>IFERROR(__xludf.DUMMYFUNCTION("IFERROR(FILTER('VPLData(raw)'!F:F,'VPLData(raw)'!B:B=528,'VPLData(raw)'!A:A=A11),0)"),"135")</f>
        <v>135</v>
      </c>
      <c r="X11">
        <f>IFERROR(__xludf.DUMMYFUNCTION("IFERROR(FILTER('VPLData(raw)'!C:C,'VPLData(raw)'!B:B=524,'VPLData(raw)'!A:A=A11),0)"),"0")</f>
        <v>0</v>
      </c>
      <c r="Y11">
        <f>IFERROR(__xludf.DUMMYFUNCTION("IFERROR(IF(X11&gt;0, FILTER('VPLData(raw)'!E:E,'VPLData(raw)'!B:B=524,'VPLData(raw)'!A:A=A11), 0),0)"),"0")</f>
        <v>0</v>
      </c>
      <c r="Z11">
        <f>IFERROR(__xludf.DUMMYFUNCTION("IFERROR(FILTER('VPLData(raw)'!F:F,'VPLData(raw)'!B:B=524,'VPLData(raw)'!A:A=A11),0)"),"0")</f>
        <v>0</v>
      </c>
      <c r="AA11">
        <f>IFERROR(__xludf.DUMMYFUNCTION("IFERROR(FILTER('VPLData(raw)'!C:C,'VPLData(raw)'!B:B=478,'VPLData(raw)'!A:A=A11),0)"),"0")</f>
        <v>0</v>
      </c>
      <c r="AB11">
        <f>IFERROR(__xludf.DUMMYFUNCTION("IFERROR(IF(AA11&gt;0, FILTER('VPLData(raw)'!E:E,'VPLData(raw)'!B:B=478,'VPLData(raw)'!A:A=A11), 0),0)"),"0")</f>
        <v>0</v>
      </c>
      <c r="AC11">
        <f>IFERROR(__xludf.DUMMYFUNCTION("IFERROR(FILTER('VPLData(raw)'!F:F,'VPLData(raw)'!B:B=478,'VPLData(raw)'!A:A=A11),0)"),"0")</f>
        <v>0</v>
      </c>
      <c r="AD11">
        <f>IFERROR(__xludf.DUMMYFUNCTION("IFERROR(FILTER('VPLData(raw)'!C:C,'VPLData(raw)'!B:B=542,'VPLData(raw)'!A:A=A11),0)"),"0")</f>
        <v>0</v>
      </c>
      <c r="AE11">
        <f>IFERROR(__xludf.DUMMYFUNCTION("IFERROR(IF(AD11&gt;0, FILTER('VPLData(raw)'!E:E,'VPLData(raw)'!B:B=542,'VPLData(raw)'!A:A=A11), 0),0)"),"0")</f>
        <v>0</v>
      </c>
      <c r="AF11">
        <f>IFERROR(__xludf.DUMMYFUNCTION("IFERROR(FILTER('VPLData(raw)'!F:F,'VPLData(raw)'!B:B=542,'VPLData(raw)'!A:A=A11),0)"),"0")</f>
        <v>0</v>
      </c>
      <c r="AG11">
        <f>IFERROR(__xludf.DUMMYFUNCTION("IFERROR(FILTER('VPLData(raw)'!C:C,'VPLData(raw)'!B:B=544,'VPLData(raw)'!A:A=A11),0)"),"0")</f>
        <v>0</v>
      </c>
      <c r="AH11">
        <f>IFERROR(__xludf.DUMMYFUNCTION("IFERROR(IF(AG11&gt;0, FILTER('VPLData(raw)'!E:E,'VPLData(raw)'!B:B=544,'VPLData(raw)'!A:A=A11), 0),0)"),"0")</f>
        <v>0</v>
      </c>
      <c r="AI11">
        <f>IFERROR(__xludf.DUMMYFUNCTION("IFERROR(FILTER('VPLData(raw)'!F:F,'VPLData(raw)'!B:B=544,'VPLData(raw)'!A:A=A11),0)"),"0")</f>
        <v>0</v>
      </c>
      <c r="AJ11">
        <f>IFERROR(__xludf.DUMMYFUNCTION("IFERROR(FILTER('VPLData(raw)'!C:C,'VPLData(raw)'!B:B=545,'VPLData(raw)'!A:A=A11),0)"),"0")</f>
        <v>0</v>
      </c>
      <c r="AK11">
        <f>IFERROR(__xludf.DUMMYFUNCTION("IFERROR(IF(AJ11&gt;0, FILTER('VPLData(raw)'!E:E,'VPLData(raw)'!B:B=545,'VPLData(raw)'!A:A=A11), 0),0)"),"0")</f>
        <v>0</v>
      </c>
      <c r="AL11">
        <f>IFERROR(__xludf.DUMMYFUNCTION("IFERROR(FILTER('VPLData(raw)'!F:F,'VPLData(raw)'!B:B=545,'VPLData(raw)'!A:A=A11),0)"),"0")</f>
        <v>0</v>
      </c>
      <c r="AM11" s="2"/>
    </row>
    <row r="12">
      <c r="A12" s="1">
        <v>10222.0</v>
      </c>
      <c r="B12" s="1">
        <v>9436110.0</v>
      </c>
      <c r="C12">
        <f>IFERROR(__xludf.DUMMYFUNCTION("IFERROR(FILTER('VPLData(raw)'!C:C,'VPLData(raw)'!B:B=504,'VPLData(raw)'!A:A=A12),0)"),"0")</f>
        <v>0</v>
      </c>
      <c r="D12" s="7">
        <f>IFERROR(__xludf.DUMMYFUNCTION("IFERROR(IF(C12&gt;0, FILTER('VPLData(raw)'!E:E,'VPLData(raw)'!B:B=504,'VPLData(raw)'!A:A=A12), 0),0)"),"0")</f>
        <v>0</v>
      </c>
      <c r="E12">
        <f>IFERROR(__xludf.DUMMYFUNCTION("IFERROR(FILTER('VPLData(raw)'!F:F,'VPLData(raw)'!B:B=504,'VPLData(raw)'!A:A=A12),0)"),"0")</f>
        <v>0</v>
      </c>
      <c r="F12">
        <f>IFERROR(__xludf.DUMMYFUNCTION("IFERROR(FILTER('VPLData(raw)'!C:C,'VPLData(raw)'!B:B=454,'VPLData(raw)'!A:A=A12),0)"),"0")</f>
        <v>0</v>
      </c>
      <c r="G12">
        <f>IFERROR(__xludf.DUMMYFUNCTION("IFERROR(IF(F12&gt;0, FILTER('VPLData(raw)'!E:E,'VPLData(raw)'!B:B=454,'VPLData(raw)'!A:A=A12), 0),0)"),"0")</f>
        <v>0</v>
      </c>
      <c r="H12">
        <f>IFERROR(__xludf.DUMMYFUNCTION("IFERROR(FILTER('VPLData(raw)'!F:F,'VPLData(raw)'!B:B=454,'VPLData(raw)'!A:A=A12),0)"),"0")</f>
        <v>0</v>
      </c>
      <c r="I12">
        <f>IFERROR(__xludf.DUMMYFUNCTION("IFERROR(FILTER('VPLData(raw)'!C:C,'VPLData(raw)'!B:B=457,'VPLData(raw)'!A:A=A12),0)"),"0")</f>
        <v>0</v>
      </c>
      <c r="J12">
        <f>IFERROR(__xludf.DUMMYFUNCTION("IFERROR(IF(I12&gt;0, FILTER('VPLData(raw)'!E:E,'VPLData(raw)'!B:B=457,'VPLData(raw)'!A:A=A12), 0),0)"),"0")</f>
        <v>0</v>
      </c>
      <c r="K12">
        <f>IFERROR(__xludf.DUMMYFUNCTION("IFERROR(FILTER('VPLData(raw)'!F:F,'VPLData(raw)'!B:B=457,'VPLData(raw)'!A:A=A12),0)"),"0")</f>
        <v>0</v>
      </c>
      <c r="L12">
        <f>IFERROR(__xludf.DUMMYFUNCTION("IFERROR(FILTER('VPLData(raw)'!C:C,'VPLData(raw)'!B:B=534,'VPLData(raw)'!A:A=A12),0)"),"0")</f>
        <v>0</v>
      </c>
      <c r="M12">
        <f>IFERROR(__xludf.DUMMYFUNCTION("IFERROR(IF(L12&gt;0, FILTER('VPLData(raw)'!E:E,'VPLData(raw)'!B:B=534,'VPLData(raw)'!A:A=A12), 0),0)"),"0")</f>
        <v>0</v>
      </c>
      <c r="N12">
        <f>IFERROR(__xludf.DUMMYFUNCTION("IFERROR(FILTER('VPLData(raw)'!F:F,'VPLData(raw)'!B:B=534,'VPLData(raw)'!A:A=A12),0)"),"0")</f>
        <v>0</v>
      </c>
      <c r="O12">
        <f>IFERROR(__xludf.DUMMYFUNCTION("IFERROR(FILTER('VPLData(raw)'!C:C,'VPLData(raw)'!B:B=498,'VPLData(raw)'!A:A=A12),0)"),"0")</f>
        <v>0</v>
      </c>
      <c r="P12">
        <f>IFERROR(__xludf.DUMMYFUNCTION("IFERROR(IF(O12&gt;0, FILTER('VPLData(raw)'!E:E,'VPLData(raw)'!B:B=498,'VPLData(raw)'!A:A=A12), 0),0)"),"0")</f>
        <v>0</v>
      </c>
      <c r="Q12">
        <f>IFERROR(__xludf.DUMMYFUNCTION("IFERROR(FILTER('VPLData(raw)'!F:F,'VPLData(raw)'!B:B=498,'VPLData(raw)'!A:A=A12),0)"),"0")</f>
        <v>0</v>
      </c>
      <c r="R12">
        <f>IFERROR(__xludf.DUMMYFUNCTION("IFERROR(FILTER('VPLData(raw)'!C:C,'VPLData(raw)'!B:B=515,'VPLData(raw)'!A:A=A12),0)"),"0")</f>
        <v>0</v>
      </c>
      <c r="S12">
        <f>IFERROR(__xludf.DUMMYFUNCTION("IFERROR(IF(R12&gt;0, FILTER('VPLData(raw)'!E:E,'VPLData(raw)'!B:B=515,'VPLData(raw)'!A:A=A12), 0),0)"),"0")</f>
        <v>0</v>
      </c>
      <c r="T12">
        <f>IFERROR(__xludf.DUMMYFUNCTION("IFERROR(FILTER('VPLData(raw)'!F:F,'VPLData(raw)'!B:B=515,'VPLData(raw)'!A:A=A12),0)"),"0")</f>
        <v>0</v>
      </c>
      <c r="U12">
        <f>IFERROR(__xludf.DUMMYFUNCTION("IFERROR(FILTER('VPLData(raw)'!C:C,'VPLData(raw)'!B:B=528,'VPLData(raw)'!A:A=A12),0)"),"0")</f>
        <v>0</v>
      </c>
      <c r="V12">
        <f>IFERROR(__xludf.DUMMYFUNCTION("IFERROR(IF(U12&gt;0, FILTER('VPLData(raw)'!E:E,'VPLData(raw)'!B:B=528,'VPLData(raw)'!A:A=A12), 0),0)"),"0")</f>
        <v>0</v>
      </c>
      <c r="W12">
        <f>IFERROR(__xludf.DUMMYFUNCTION("IFERROR(FILTER('VPLData(raw)'!F:F,'VPLData(raw)'!B:B=528,'VPLData(raw)'!A:A=A12),0)"),"0")</f>
        <v>0</v>
      </c>
      <c r="X12">
        <f>IFERROR(__xludf.DUMMYFUNCTION("IFERROR(FILTER('VPLData(raw)'!C:C,'VPLData(raw)'!B:B=524,'VPLData(raw)'!A:A=A12),0)"),"0")</f>
        <v>0</v>
      </c>
      <c r="Y12">
        <f>IFERROR(__xludf.DUMMYFUNCTION("IFERROR(IF(X12&gt;0, FILTER('VPLData(raw)'!E:E,'VPLData(raw)'!B:B=524,'VPLData(raw)'!A:A=A12), 0),0)"),"0")</f>
        <v>0</v>
      </c>
      <c r="Z12">
        <f>IFERROR(__xludf.DUMMYFUNCTION("IFERROR(FILTER('VPLData(raw)'!F:F,'VPLData(raw)'!B:B=524,'VPLData(raw)'!A:A=A12),0)"),"0")</f>
        <v>0</v>
      </c>
      <c r="AA12">
        <f>IFERROR(__xludf.DUMMYFUNCTION("IFERROR(FILTER('VPLData(raw)'!C:C,'VPLData(raw)'!B:B=478,'VPLData(raw)'!A:A=A12),0)"),"0")</f>
        <v>0</v>
      </c>
      <c r="AB12">
        <f>IFERROR(__xludf.DUMMYFUNCTION("IFERROR(IF(AA12&gt;0, FILTER('VPLData(raw)'!E:E,'VPLData(raw)'!B:B=478,'VPLData(raw)'!A:A=A12), 0),0)"),"0")</f>
        <v>0</v>
      </c>
      <c r="AC12">
        <f>IFERROR(__xludf.DUMMYFUNCTION("IFERROR(FILTER('VPLData(raw)'!F:F,'VPLData(raw)'!B:B=478,'VPLData(raw)'!A:A=A12),0)"),"0")</f>
        <v>0</v>
      </c>
      <c r="AD12">
        <f>IFERROR(__xludf.DUMMYFUNCTION("IFERROR(FILTER('VPLData(raw)'!C:C,'VPLData(raw)'!B:B=542,'VPLData(raw)'!A:A=A12),0)"),"0")</f>
        <v>0</v>
      </c>
      <c r="AE12">
        <f>IFERROR(__xludf.DUMMYFUNCTION("IFERROR(IF(AD12&gt;0, FILTER('VPLData(raw)'!E:E,'VPLData(raw)'!B:B=542,'VPLData(raw)'!A:A=A12), 0),0)"),"0")</f>
        <v>0</v>
      </c>
      <c r="AF12">
        <f>IFERROR(__xludf.DUMMYFUNCTION("IFERROR(FILTER('VPLData(raw)'!F:F,'VPLData(raw)'!B:B=542,'VPLData(raw)'!A:A=A12),0)"),"0")</f>
        <v>0</v>
      </c>
      <c r="AG12">
        <f>IFERROR(__xludf.DUMMYFUNCTION("IFERROR(FILTER('VPLData(raw)'!C:C,'VPLData(raw)'!B:B=544,'VPLData(raw)'!A:A=A12),0)"),"0")</f>
        <v>0</v>
      </c>
      <c r="AH12">
        <f>IFERROR(__xludf.DUMMYFUNCTION("IFERROR(IF(AG12&gt;0, FILTER('VPLData(raw)'!E:E,'VPLData(raw)'!B:B=544,'VPLData(raw)'!A:A=A12), 0),0)"),"0")</f>
        <v>0</v>
      </c>
      <c r="AI12">
        <f>IFERROR(__xludf.DUMMYFUNCTION("IFERROR(FILTER('VPLData(raw)'!F:F,'VPLData(raw)'!B:B=544,'VPLData(raw)'!A:A=A12),0)"),"0")</f>
        <v>0</v>
      </c>
      <c r="AJ12">
        <f>IFERROR(__xludf.DUMMYFUNCTION("IFERROR(FILTER('VPLData(raw)'!C:C,'VPLData(raw)'!B:B=545,'VPLData(raw)'!A:A=A12),0)"),"0")</f>
        <v>0</v>
      </c>
      <c r="AK12">
        <f>IFERROR(__xludf.DUMMYFUNCTION("IFERROR(IF(AJ12&gt;0, FILTER('VPLData(raw)'!E:E,'VPLData(raw)'!B:B=545,'VPLData(raw)'!A:A=A12), 0),0)"),"0")</f>
        <v>0</v>
      </c>
      <c r="AL12">
        <f>IFERROR(__xludf.DUMMYFUNCTION("IFERROR(FILTER('VPLData(raw)'!F:F,'VPLData(raw)'!B:B=545,'VPLData(raw)'!A:A=A12),0)"),"0")</f>
        <v>0</v>
      </c>
      <c r="AM12" s="2"/>
    </row>
    <row r="13">
      <c r="A13" s="1">
        <v>10220.0</v>
      </c>
      <c r="B13" s="1">
        <v>9760151.0</v>
      </c>
      <c r="C13">
        <f>IFERROR(__xludf.DUMMYFUNCTION("IFERROR(FILTER('VPLData(raw)'!C:C,'VPLData(raw)'!B:B=504,'VPLData(raw)'!A:A=A13),0)"),"1490892710")</f>
        <v>1490892710</v>
      </c>
      <c r="D13" s="7" t="str">
        <f>IFERROR(__xludf.DUMMYFUNCTION("IFERROR(IF(C13&gt;0, FILTER('VPLData(raw)'!E:E,'VPLData(raw)'!B:B=504,'VPLData(raw)'!A:A=A13), 0),0)"),"")</f>
        <v/>
      </c>
      <c r="E13">
        <f>IFERROR(__xludf.DUMMYFUNCTION("IFERROR(FILTER('VPLData(raw)'!F:F,'VPLData(raw)'!B:B=504,'VPLData(raw)'!A:A=A13),0)"),"514")</f>
        <v>514</v>
      </c>
      <c r="F13">
        <f>IFERROR(__xludf.DUMMYFUNCTION("IFERROR(FILTER('VPLData(raw)'!C:C,'VPLData(raw)'!B:B=454,'VPLData(raw)'!A:A=A13),0)"),"0")</f>
        <v>0</v>
      </c>
      <c r="G13">
        <f>IFERROR(__xludf.DUMMYFUNCTION("IFERROR(IF(F13&gt;0, FILTER('VPLData(raw)'!E:E,'VPLData(raw)'!B:B=454,'VPLData(raw)'!A:A=A13), 0),0)"),"0")</f>
        <v>0</v>
      </c>
      <c r="H13">
        <f>IFERROR(__xludf.DUMMYFUNCTION("IFERROR(FILTER('VPLData(raw)'!F:F,'VPLData(raw)'!B:B=454,'VPLData(raw)'!A:A=A13),0)"),"0")</f>
        <v>0</v>
      </c>
      <c r="I13">
        <f>IFERROR(__xludf.DUMMYFUNCTION("IFERROR(FILTER('VPLData(raw)'!C:C,'VPLData(raw)'!B:B=457,'VPLData(raw)'!A:A=A13),0)"),"0")</f>
        <v>0</v>
      </c>
      <c r="J13">
        <f>IFERROR(__xludf.DUMMYFUNCTION("IFERROR(IF(I13&gt;0, FILTER('VPLData(raw)'!E:E,'VPLData(raw)'!B:B=457,'VPLData(raw)'!A:A=A13), 0),0)"),"0")</f>
        <v>0</v>
      </c>
      <c r="K13">
        <f>IFERROR(__xludf.DUMMYFUNCTION("IFERROR(FILTER('VPLData(raw)'!F:F,'VPLData(raw)'!B:B=457,'VPLData(raw)'!A:A=A13),0)"),"0")</f>
        <v>0</v>
      </c>
      <c r="L13">
        <f>IFERROR(__xludf.DUMMYFUNCTION("IFERROR(FILTER('VPLData(raw)'!C:C,'VPLData(raw)'!B:B=534,'VPLData(raw)'!A:A=A13),0)"),"0")</f>
        <v>0</v>
      </c>
      <c r="M13">
        <f>IFERROR(__xludf.DUMMYFUNCTION("IFERROR(IF(L13&gt;0, FILTER('VPLData(raw)'!E:E,'VPLData(raw)'!B:B=534,'VPLData(raw)'!A:A=A13), 0),0)"),"0")</f>
        <v>0</v>
      </c>
      <c r="N13">
        <f>IFERROR(__xludf.DUMMYFUNCTION("IFERROR(FILTER('VPLData(raw)'!F:F,'VPLData(raw)'!B:B=534,'VPLData(raw)'!A:A=A13),0)"),"0")</f>
        <v>0</v>
      </c>
      <c r="O13">
        <f>IFERROR(__xludf.DUMMYFUNCTION("IFERROR(FILTER('VPLData(raw)'!C:C,'VPLData(raw)'!B:B=498,'VPLData(raw)'!A:A=A13),0)"),"0")</f>
        <v>0</v>
      </c>
      <c r="P13">
        <f>IFERROR(__xludf.DUMMYFUNCTION("IFERROR(IF(O13&gt;0, FILTER('VPLData(raw)'!E:E,'VPLData(raw)'!B:B=498,'VPLData(raw)'!A:A=A13), 0),0)"),"0")</f>
        <v>0</v>
      </c>
      <c r="Q13">
        <f>IFERROR(__xludf.DUMMYFUNCTION("IFERROR(FILTER('VPLData(raw)'!F:F,'VPLData(raw)'!B:B=498,'VPLData(raw)'!A:A=A13),0)"),"0")</f>
        <v>0</v>
      </c>
      <c r="R13">
        <f>IFERROR(__xludf.DUMMYFUNCTION("IFERROR(FILTER('VPLData(raw)'!C:C,'VPLData(raw)'!B:B=515,'VPLData(raw)'!A:A=A13),0)"),"0")</f>
        <v>0</v>
      </c>
      <c r="S13">
        <f>IFERROR(__xludf.DUMMYFUNCTION("IFERROR(IF(R13&gt;0, FILTER('VPLData(raw)'!E:E,'VPLData(raw)'!B:B=515,'VPLData(raw)'!A:A=A13), 0),0)"),"0")</f>
        <v>0</v>
      </c>
      <c r="T13">
        <f>IFERROR(__xludf.DUMMYFUNCTION("IFERROR(FILTER('VPLData(raw)'!F:F,'VPLData(raw)'!B:B=515,'VPLData(raw)'!A:A=A13),0)"),"0")</f>
        <v>0</v>
      </c>
      <c r="U13">
        <f>IFERROR(__xludf.DUMMYFUNCTION("IFERROR(FILTER('VPLData(raw)'!C:C,'VPLData(raw)'!B:B=528,'VPLData(raw)'!A:A=A13),0)"),"0")</f>
        <v>0</v>
      </c>
      <c r="V13">
        <f>IFERROR(__xludf.DUMMYFUNCTION("IFERROR(IF(U13&gt;0, FILTER('VPLData(raw)'!E:E,'VPLData(raw)'!B:B=528,'VPLData(raw)'!A:A=A13), 0),0)"),"0")</f>
        <v>0</v>
      </c>
      <c r="W13">
        <f>IFERROR(__xludf.DUMMYFUNCTION("IFERROR(FILTER('VPLData(raw)'!F:F,'VPLData(raw)'!B:B=528,'VPLData(raw)'!A:A=A13),0)"),"0")</f>
        <v>0</v>
      </c>
      <c r="X13">
        <f>IFERROR(__xludf.DUMMYFUNCTION("IFERROR(FILTER('VPLData(raw)'!C:C,'VPLData(raw)'!B:B=524,'VPLData(raw)'!A:A=A13),0)"),"0")</f>
        <v>0</v>
      </c>
      <c r="Y13">
        <f>IFERROR(__xludf.DUMMYFUNCTION("IFERROR(IF(X13&gt;0, FILTER('VPLData(raw)'!E:E,'VPLData(raw)'!B:B=524,'VPLData(raw)'!A:A=A13), 0),0)"),"0")</f>
        <v>0</v>
      </c>
      <c r="Z13">
        <f>IFERROR(__xludf.DUMMYFUNCTION("IFERROR(FILTER('VPLData(raw)'!F:F,'VPLData(raw)'!B:B=524,'VPLData(raw)'!A:A=A13),0)"),"0")</f>
        <v>0</v>
      </c>
      <c r="AA13">
        <f>IFERROR(__xludf.DUMMYFUNCTION("IFERROR(FILTER('VPLData(raw)'!C:C,'VPLData(raw)'!B:B=478,'VPLData(raw)'!A:A=A13),0)"),"0")</f>
        <v>0</v>
      </c>
      <c r="AB13">
        <f>IFERROR(__xludf.DUMMYFUNCTION("IFERROR(IF(AA13&gt;0, FILTER('VPLData(raw)'!E:E,'VPLData(raw)'!B:B=478,'VPLData(raw)'!A:A=A13), 0),0)"),"0")</f>
        <v>0</v>
      </c>
      <c r="AC13">
        <f>IFERROR(__xludf.DUMMYFUNCTION("IFERROR(FILTER('VPLData(raw)'!F:F,'VPLData(raw)'!B:B=478,'VPLData(raw)'!A:A=A13),0)"),"0")</f>
        <v>0</v>
      </c>
      <c r="AD13">
        <f>IFERROR(__xludf.DUMMYFUNCTION("IFERROR(FILTER('VPLData(raw)'!C:C,'VPLData(raw)'!B:B=542,'VPLData(raw)'!A:A=A13),0)"),"0")</f>
        <v>0</v>
      </c>
      <c r="AE13">
        <f>IFERROR(__xludf.DUMMYFUNCTION("IFERROR(IF(AD13&gt;0, FILTER('VPLData(raw)'!E:E,'VPLData(raw)'!B:B=542,'VPLData(raw)'!A:A=A13), 0),0)"),"0")</f>
        <v>0</v>
      </c>
      <c r="AF13">
        <f>IFERROR(__xludf.DUMMYFUNCTION("IFERROR(FILTER('VPLData(raw)'!F:F,'VPLData(raw)'!B:B=542,'VPLData(raw)'!A:A=A13),0)"),"0")</f>
        <v>0</v>
      </c>
      <c r="AG13">
        <f>IFERROR(__xludf.DUMMYFUNCTION("IFERROR(FILTER('VPLData(raw)'!C:C,'VPLData(raw)'!B:B=544,'VPLData(raw)'!A:A=A13),0)"),"0")</f>
        <v>0</v>
      </c>
      <c r="AH13">
        <f>IFERROR(__xludf.DUMMYFUNCTION("IFERROR(IF(AG13&gt;0, FILTER('VPLData(raw)'!E:E,'VPLData(raw)'!B:B=544,'VPLData(raw)'!A:A=A13), 0),0)"),"0")</f>
        <v>0</v>
      </c>
      <c r="AI13">
        <f>IFERROR(__xludf.DUMMYFUNCTION("IFERROR(FILTER('VPLData(raw)'!F:F,'VPLData(raw)'!B:B=544,'VPLData(raw)'!A:A=A13),0)"),"0")</f>
        <v>0</v>
      </c>
      <c r="AJ13">
        <f>IFERROR(__xludf.DUMMYFUNCTION("IFERROR(FILTER('VPLData(raw)'!C:C,'VPLData(raw)'!B:B=545,'VPLData(raw)'!A:A=A13),0)"),"0")</f>
        <v>0</v>
      </c>
      <c r="AK13">
        <f>IFERROR(__xludf.DUMMYFUNCTION("IFERROR(IF(AJ13&gt;0, FILTER('VPLData(raw)'!E:E,'VPLData(raw)'!B:B=545,'VPLData(raw)'!A:A=A13), 0),0)"),"0")</f>
        <v>0</v>
      </c>
      <c r="AL13">
        <f>IFERROR(__xludf.DUMMYFUNCTION("IFERROR(FILTER('VPLData(raw)'!F:F,'VPLData(raw)'!B:B=545,'VPLData(raw)'!A:A=A13),0)"),"0")</f>
        <v>0</v>
      </c>
      <c r="AM13" s="2"/>
    </row>
    <row r="14">
      <c r="A14" s="1">
        <v>10187.0</v>
      </c>
      <c r="B14" s="1">
        <v>9790781.0</v>
      </c>
      <c r="C14">
        <f>IFERROR(__xludf.DUMMYFUNCTION("IFERROR(FILTER('VPLData(raw)'!C:C,'VPLData(raw)'!B:B=504,'VPLData(raw)'!A:A=A14),0)"),"1490724656")</f>
        <v>1490724656</v>
      </c>
      <c r="D14" s="7">
        <f>IFERROR(__xludf.DUMMYFUNCTION("IFERROR(IF(C14&gt;0, FILTER('VPLData(raw)'!E:E,'VPLData(raw)'!B:B=504,'VPLData(raw)'!A:A=A14), 0),0)"),"10")</f>
        <v>10</v>
      </c>
      <c r="E14">
        <f>IFERROR(__xludf.DUMMYFUNCTION("IFERROR(FILTER('VPLData(raw)'!F:F,'VPLData(raw)'!B:B=504,'VPLData(raw)'!A:A=A14),0)"),"573")</f>
        <v>573</v>
      </c>
      <c r="F14">
        <f>IFERROR(__xludf.DUMMYFUNCTION("IFERROR(FILTER('VPLData(raw)'!C:C,'VPLData(raw)'!B:B=454,'VPLData(raw)'!A:A=A14),0)"),"1491508032")</f>
        <v>1491508032</v>
      </c>
      <c r="G14">
        <f>IFERROR(__xludf.DUMMYFUNCTION("IFERROR(IF(F14&gt;0, FILTER('VPLData(raw)'!E:E,'VPLData(raw)'!B:B=454,'VPLData(raw)'!A:A=A14), 0),0)"),"10")</f>
        <v>10</v>
      </c>
      <c r="H14">
        <f>IFERROR(__xludf.DUMMYFUNCTION("IFERROR(FILTER('VPLData(raw)'!F:F,'VPLData(raw)'!B:B=454,'VPLData(raw)'!A:A=A14),0)"),"254")</f>
        <v>254</v>
      </c>
      <c r="I14">
        <f>IFERROR(__xludf.DUMMYFUNCTION("IFERROR(FILTER('VPLData(raw)'!C:C,'VPLData(raw)'!B:B=457,'VPLData(raw)'!A:A=A14),0)"),"1492534312")</f>
        <v>1492534312</v>
      </c>
      <c r="J14">
        <f>IFERROR(__xludf.DUMMYFUNCTION("IFERROR(IF(I14&gt;0, FILTER('VPLData(raw)'!E:E,'VPLData(raw)'!B:B=457,'VPLData(raw)'!A:A=A14), 0),0)"),"10")</f>
        <v>10</v>
      </c>
      <c r="K14">
        <f>IFERROR(__xludf.DUMMYFUNCTION("IFERROR(FILTER('VPLData(raw)'!F:F,'VPLData(raw)'!B:B=457,'VPLData(raw)'!A:A=A14),0)"),"4913")</f>
        <v>4913</v>
      </c>
      <c r="L14">
        <f>IFERROR(__xludf.DUMMYFUNCTION("IFERROR(FILTER('VPLData(raw)'!C:C,'VPLData(raw)'!B:B=534,'VPLData(raw)'!A:A=A14),0)"),"0")</f>
        <v>0</v>
      </c>
      <c r="M14">
        <f>IFERROR(__xludf.DUMMYFUNCTION("IFERROR(IF(L14&gt;0, FILTER('VPLData(raw)'!E:E,'VPLData(raw)'!B:B=534,'VPLData(raw)'!A:A=A14), 0),0)"),"0")</f>
        <v>0</v>
      </c>
      <c r="N14">
        <f>IFERROR(__xludf.DUMMYFUNCTION("IFERROR(FILTER('VPLData(raw)'!F:F,'VPLData(raw)'!B:B=534,'VPLData(raw)'!A:A=A14),0)"),"0")</f>
        <v>0</v>
      </c>
      <c r="O14">
        <f>IFERROR(__xludf.DUMMYFUNCTION("IFERROR(FILTER('VPLData(raw)'!C:C,'VPLData(raw)'!B:B=498,'VPLData(raw)'!A:A=A14),0)"),"1492478131")</f>
        <v>1492478131</v>
      </c>
      <c r="P14">
        <f>IFERROR(__xludf.DUMMYFUNCTION("IFERROR(IF(O14&gt;0, FILTER('VPLData(raw)'!E:E,'VPLData(raw)'!B:B=498,'VPLData(raw)'!A:A=A14), 0),0)"),"10")</f>
        <v>10</v>
      </c>
      <c r="Q14">
        <f>IFERROR(__xludf.DUMMYFUNCTION("IFERROR(FILTER('VPLData(raw)'!F:F,'VPLData(raw)'!B:B=498,'VPLData(raw)'!A:A=A14),0)"),"341")</f>
        <v>341</v>
      </c>
      <c r="R14">
        <f>IFERROR(__xludf.DUMMYFUNCTION("IFERROR(FILTER('VPLData(raw)'!C:C,'VPLData(raw)'!B:B=515,'VPLData(raw)'!A:A=A14),0)"),"1492478707")</f>
        <v>1492478707</v>
      </c>
      <c r="S14">
        <f>IFERROR(__xludf.DUMMYFUNCTION("IFERROR(IF(R14&gt;0, FILTER('VPLData(raw)'!E:E,'VPLData(raw)'!B:B=515,'VPLData(raw)'!A:A=A14), 0),0)"),"10")</f>
        <v>10</v>
      </c>
      <c r="T14">
        <f>IFERROR(__xludf.DUMMYFUNCTION("IFERROR(FILTER('VPLData(raw)'!F:F,'VPLData(raw)'!B:B=515,'VPLData(raw)'!A:A=A14),0)"),"2266")</f>
        <v>2266</v>
      </c>
      <c r="U14">
        <f>IFERROR(__xludf.DUMMYFUNCTION("IFERROR(FILTER('VPLData(raw)'!C:C,'VPLData(raw)'!B:B=528,'VPLData(raw)'!A:A=A14),0)"),"0")</f>
        <v>0</v>
      </c>
      <c r="V14">
        <f>IFERROR(__xludf.DUMMYFUNCTION("IFERROR(IF(U14&gt;0, FILTER('VPLData(raw)'!E:E,'VPLData(raw)'!B:B=528,'VPLData(raw)'!A:A=A14), 0),0)"),"0")</f>
        <v>0</v>
      </c>
      <c r="W14">
        <f>IFERROR(__xludf.DUMMYFUNCTION("IFERROR(FILTER('VPLData(raw)'!F:F,'VPLData(raw)'!B:B=528,'VPLData(raw)'!A:A=A14),0)"),"0")</f>
        <v>0</v>
      </c>
      <c r="X14">
        <f>IFERROR(__xludf.DUMMYFUNCTION("IFERROR(FILTER('VPLData(raw)'!C:C,'VPLData(raw)'!B:B=524,'VPLData(raw)'!A:A=A14),0)"),"0")</f>
        <v>0</v>
      </c>
      <c r="Y14">
        <f>IFERROR(__xludf.DUMMYFUNCTION("IFERROR(IF(X14&gt;0, FILTER('VPLData(raw)'!E:E,'VPLData(raw)'!B:B=524,'VPLData(raw)'!A:A=A14), 0),0)"),"0")</f>
        <v>0</v>
      </c>
      <c r="Z14">
        <f>IFERROR(__xludf.DUMMYFUNCTION("IFERROR(FILTER('VPLData(raw)'!F:F,'VPLData(raw)'!B:B=524,'VPLData(raw)'!A:A=A14),0)"),"0")</f>
        <v>0</v>
      </c>
      <c r="AA14">
        <f>IFERROR(__xludf.DUMMYFUNCTION("IFERROR(FILTER('VPLData(raw)'!C:C,'VPLData(raw)'!B:B=478,'VPLData(raw)'!A:A=A14),0)"),"0")</f>
        <v>0</v>
      </c>
      <c r="AB14">
        <f>IFERROR(__xludf.DUMMYFUNCTION("IFERROR(IF(AA14&gt;0, FILTER('VPLData(raw)'!E:E,'VPLData(raw)'!B:B=478,'VPLData(raw)'!A:A=A14), 0),0)"),"0")</f>
        <v>0</v>
      </c>
      <c r="AC14">
        <f>IFERROR(__xludf.DUMMYFUNCTION("IFERROR(FILTER('VPLData(raw)'!F:F,'VPLData(raw)'!B:B=478,'VPLData(raw)'!A:A=A14),0)"),"0")</f>
        <v>0</v>
      </c>
      <c r="AD14">
        <f>IFERROR(__xludf.DUMMYFUNCTION("IFERROR(FILTER('VPLData(raw)'!C:C,'VPLData(raw)'!B:B=542,'VPLData(raw)'!A:A=A14),0)"),"0")</f>
        <v>0</v>
      </c>
      <c r="AE14">
        <f>IFERROR(__xludf.DUMMYFUNCTION("IFERROR(IF(AD14&gt;0, FILTER('VPLData(raw)'!E:E,'VPLData(raw)'!B:B=542,'VPLData(raw)'!A:A=A14), 0),0)"),"0")</f>
        <v>0</v>
      </c>
      <c r="AF14">
        <f>IFERROR(__xludf.DUMMYFUNCTION("IFERROR(FILTER('VPLData(raw)'!F:F,'VPLData(raw)'!B:B=542,'VPLData(raw)'!A:A=A14),0)"),"0")</f>
        <v>0</v>
      </c>
      <c r="AG14">
        <f>IFERROR(__xludf.DUMMYFUNCTION("IFERROR(FILTER('VPLData(raw)'!C:C,'VPLData(raw)'!B:B=544,'VPLData(raw)'!A:A=A14),0)"),"0")</f>
        <v>0</v>
      </c>
      <c r="AH14">
        <f>IFERROR(__xludf.DUMMYFUNCTION("IFERROR(IF(AG14&gt;0, FILTER('VPLData(raw)'!E:E,'VPLData(raw)'!B:B=544,'VPLData(raw)'!A:A=A14), 0),0)"),"0")</f>
        <v>0</v>
      </c>
      <c r="AI14">
        <f>IFERROR(__xludf.DUMMYFUNCTION("IFERROR(FILTER('VPLData(raw)'!F:F,'VPLData(raw)'!B:B=544,'VPLData(raw)'!A:A=A14),0)"),"0")</f>
        <v>0</v>
      </c>
      <c r="AJ14">
        <f>IFERROR(__xludf.DUMMYFUNCTION("IFERROR(FILTER('VPLData(raw)'!C:C,'VPLData(raw)'!B:B=545,'VPLData(raw)'!A:A=A14),0)"),"0")</f>
        <v>0</v>
      </c>
      <c r="AK14">
        <f>IFERROR(__xludf.DUMMYFUNCTION("IFERROR(IF(AJ14&gt;0, FILTER('VPLData(raw)'!E:E,'VPLData(raw)'!B:B=545,'VPLData(raw)'!A:A=A14), 0),0)"),"0")</f>
        <v>0</v>
      </c>
      <c r="AL14">
        <f>IFERROR(__xludf.DUMMYFUNCTION("IFERROR(FILTER('VPLData(raw)'!F:F,'VPLData(raw)'!B:B=545,'VPLData(raw)'!A:A=A14),0)"),"0")</f>
        <v>0</v>
      </c>
      <c r="AM14" s="2"/>
    </row>
    <row r="15">
      <c r="A15" s="1">
        <v>10223.0</v>
      </c>
      <c r="B15" s="1">
        <v>9795185.0</v>
      </c>
      <c r="C15">
        <f>IFERROR(__xludf.DUMMYFUNCTION("IFERROR(FILTER('VPLData(raw)'!C:C,'VPLData(raw)'!B:B=504,'VPLData(raw)'!A:A=A15),0)"),"0")</f>
        <v>0</v>
      </c>
      <c r="D15" s="7">
        <f>IFERROR(__xludf.DUMMYFUNCTION("IFERROR(IF(C15&gt;0, FILTER('VPLData(raw)'!E:E,'VPLData(raw)'!B:B=504,'VPLData(raw)'!A:A=A15), 0),0)"),"0")</f>
        <v>0</v>
      </c>
      <c r="E15">
        <f>IFERROR(__xludf.DUMMYFUNCTION("IFERROR(FILTER('VPLData(raw)'!F:F,'VPLData(raw)'!B:B=504,'VPLData(raw)'!A:A=A15),0)"),"0")</f>
        <v>0</v>
      </c>
      <c r="F15">
        <f>IFERROR(__xludf.DUMMYFUNCTION("IFERROR(FILTER('VPLData(raw)'!C:C,'VPLData(raw)'!B:B=454,'VPLData(raw)'!A:A=A15),0)"),"1491408835")</f>
        <v>1491408835</v>
      </c>
      <c r="G15">
        <f>IFERROR(__xludf.DUMMYFUNCTION("IFERROR(IF(F15&gt;0, FILTER('VPLData(raw)'!E:E,'VPLData(raw)'!B:B=454,'VPLData(raw)'!A:A=A15), 0),0)"),"10")</f>
        <v>10</v>
      </c>
      <c r="H15">
        <f>IFERROR(__xludf.DUMMYFUNCTION("IFERROR(FILTER('VPLData(raw)'!F:F,'VPLData(raw)'!B:B=454,'VPLData(raw)'!A:A=A15),0)"),"216")</f>
        <v>216</v>
      </c>
      <c r="I15">
        <f>IFERROR(__xludf.DUMMYFUNCTION("IFERROR(FILTER('VPLData(raw)'!C:C,'VPLData(raw)'!B:B=457,'VPLData(raw)'!A:A=A15),0)"),"1492099491")</f>
        <v>1492099491</v>
      </c>
      <c r="J15">
        <f>IFERROR(__xludf.DUMMYFUNCTION("IFERROR(IF(I15&gt;0, FILTER('VPLData(raw)'!E:E,'VPLData(raw)'!B:B=457,'VPLData(raw)'!A:A=A15), 0),0)"),"10")</f>
        <v>10</v>
      </c>
      <c r="K15">
        <f>IFERROR(__xludf.DUMMYFUNCTION("IFERROR(FILTER('VPLData(raw)'!F:F,'VPLData(raw)'!B:B=457,'VPLData(raw)'!A:A=A15),0)"),"5600")</f>
        <v>5600</v>
      </c>
      <c r="L15">
        <f>IFERROR(__xludf.DUMMYFUNCTION("IFERROR(FILTER('VPLData(raw)'!C:C,'VPLData(raw)'!B:B=534,'VPLData(raw)'!A:A=A15),0)"),"0")</f>
        <v>0</v>
      </c>
      <c r="M15">
        <f>IFERROR(__xludf.DUMMYFUNCTION("IFERROR(IF(L15&gt;0, FILTER('VPLData(raw)'!E:E,'VPLData(raw)'!B:B=534,'VPLData(raw)'!A:A=A15), 0),0)"),"0")</f>
        <v>0</v>
      </c>
      <c r="N15">
        <f>IFERROR(__xludf.DUMMYFUNCTION("IFERROR(FILTER('VPLData(raw)'!F:F,'VPLData(raw)'!B:B=534,'VPLData(raw)'!A:A=A15),0)"),"0")</f>
        <v>0</v>
      </c>
      <c r="O15">
        <f>IFERROR(__xludf.DUMMYFUNCTION("IFERROR(FILTER('VPLData(raw)'!C:C,'VPLData(raw)'!B:B=498,'VPLData(raw)'!A:A=A15),0)"),"0")</f>
        <v>0</v>
      </c>
      <c r="P15">
        <f>IFERROR(__xludf.DUMMYFUNCTION("IFERROR(IF(O15&gt;0, FILTER('VPLData(raw)'!E:E,'VPLData(raw)'!B:B=498,'VPLData(raw)'!A:A=A15), 0),0)"),"0")</f>
        <v>0</v>
      </c>
      <c r="Q15">
        <f>IFERROR(__xludf.DUMMYFUNCTION("IFERROR(FILTER('VPLData(raw)'!F:F,'VPLData(raw)'!B:B=498,'VPLData(raw)'!A:A=A15),0)"),"0")</f>
        <v>0</v>
      </c>
      <c r="R15">
        <f>IFERROR(__xludf.DUMMYFUNCTION("IFERROR(FILTER('VPLData(raw)'!C:C,'VPLData(raw)'!B:B=515,'VPLData(raw)'!A:A=A15),0)"),"0")</f>
        <v>0</v>
      </c>
      <c r="S15">
        <f>IFERROR(__xludf.DUMMYFUNCTION("IFERROR(IF(R15&gt;0, FILTER('VPLData(raw)'!E:E,'VPLData(raw)'!B:B=515,'VPLData(raw)'!A:A=A15), 0),0)"),"0")</f>
        <v>0</v>
      </c>
      <c r="T15">
        <f>IFERROR(__xludf.DUMMYFUNCTION("IFERROR(FILTER('VPLData(raw)'!F:F,'VPLData(raw)'!B:B=515,'VPLData(raw)'!A:A=A15),0)"),"0")</f>
        <v>0</v>
      </c>
      <c r="U15">
        <f>IFERROR(__xludf.DUMMYFUNCTION("IFERROR(FILTER('VPLData(raw)'!C:C,'VPLData(raw)'!B:B=528,'VPLData(raw)'!A:A=A15),0)"),"0")</f>
        <v>0</v>
      </c>
      <c r="V15">
        <f>IFERROR(__xludf.DUMMYFUNCTION("IFERROR(IF(U15&gt;0, FILTER('VPLData(raw)'!E:E,'VPLData(raw)'!B:B=528,'VPLData(raw)'!A:A=A15), 0),0)"),"0")</f>
        <v>0</v>
      </c>
      <c r="W15">
        <f>IFERROR(__xludf.DUMMYFUNCTION("IFERROR(FILTER('VPLData(raw)'!F:F,'VPLData(raw)'!B:B=528,'VPLData(raw)'!A:A=A15),0)"),"0")</f>
        <v>0</v>
      </c>
      <c r="X15">
        <f>IFERROR(__xludf.DUMMYFUNCTION("IFERROR(FILTER('VPLData(raw)'!C:C,'VPLData(raw)'!B:B=524,'VPLData(raw)'!A:A=A15),0)"),"0")</f>
        <v>0</v>
      </c>
      <c r="Y15">
        <f>IFERROR(__xludf.DUMMYFUNCTION("IFERROR(IF(X15&gt;0, FILTER('VPLData(raw)'!E:E,'VPLData(raw)'!B:B=524,'VPLData(raw)'!A:A=A15), 0),0)"),"0")</f>
        <v>0</v>
      </c>
      <c r="Z15">
        <f>IFERROR(__xludf.DUMMYFUNCTION("IFERROR(FILTER('VPLData(raw)'!F:F,'VPLData(raw)'!B:B=524,'VPLData(raw)'!A:A=A15),0)"),"0")</f>
        <v>0</v>
      </c>
      <c r="AA15">
        <f>IFERROR(__xludf.DUMMYFUNCTION("IFERROR(FILTER('VPLData(raw)'!C:C,'VPLData(raw)'!B:B=478,'VPLData(raw)'!A:A=A15),0)"),"0")</f>
        <v>0</v>
      </c>
      <c r="AB15">
        <f>IFERROR(__xludf.DUMMYFUNCTION("IFERROR(IF(AA15&gt;0, FILTER('VPLData(raw)'!E:E,'VPLData(raw)'!B:B=478,'VPLData(raw)'!A:A=A15), 0),0)"),"0")</f>
        <v>0</v>
      </c>
      <c r="AC15">
        <f>IFERROR(__xludf.DUMMYFUNCTION("IFERROR(FILTER('VPLData(raw)'!F:F,'VPLData(raw)'!B:B=478,'VPLData(raw)'!A:A=A15),0)"),"0")</f>
        <v>0</v>
      </c>
      <c r="AD15">
        <f>IFERROR(__xludf.DUMMYFUNCTION("IFERROR(FILTER('VPLData(raw)'!C:C,'VPLData(raw)'!B:B=542,'VPLData(raw)'!A:A=A15),0)"),"0")</f>
        <v>0</v>
      </c>
      <c r="AE15">
        <f>IFERROR(__xludf.DUMMYFUNCTION("IFERROR(IF(AD15&gt;0, FILTER('VPLData(raw)'!E:E,'VPLData(raw)'!B:B=542,'VPLData(raw)'!A:A=A15), 0),0)"),"0")</f>
        <v>0</v>
      </c>
      <c r="AF15">
        <f>IFERROR(__xludf.DUMMYFUNCTION("IFERROR(FILTER('VPLData(raw)'!F:F,'VPLData(raw)'!B:B=542,'VPLData(raw)'!A:A=A15),0)"),"0")</f>
        <v>0</v>
      </c>
      <c r="AG15">
        <f>IFERROR(__xludf.DUMMYFUNCTION("IFERROR(FILTER('VPLData(raw)'!C:C,'VPLData(raw)'!B:B=544,'VPLData(raw)'!A:A=A15),0)"),"0")</f>
        <v>0</v>
      </c>
      <c r="AH15">
        <f>IFERROR(__xludf.DUMMYFUNCTION("IFERROR(IF(AG15&gt;0, FILTER('VPLData(raw)'!E:E,'VPLData(raw)'!B:B=544,'VPLData(raw)'!A:A=A15), 0),0)"),"0")</f>
        <v>0</v>
      </c>
      <c r="AI15">
        <f>IFERROR(__xludf.DUMMYFUNCTION("IFERROR(FILTER('VPLData(raw)'!F:F,'VPLData(raw)'!B:B=544,'VPLData(raw)'!A:A=A15),0)"),"0")</f>
        <v>0</v>
      </c>
      <c r="AJ15">
        <f>IFERROR(__xludf.DUMMYFUNCTION("IFERROR(FILTER('VPLData(raw)'!C:C,'VPLData(raw)'!B:B=545,'VPLData(raw)'!A:A=A15),0)"),"0")</f>
        <v>0</v>
      </c>
      <c r="AK15">
        <f>IFERROR(__xludf.DUMMYFUNCTION("IFERROR(IF(AJ15&gt;0, FILTER('VPLData(raw)'!E:E,'VPLData(raw)'!B:B=545,'VPLData(raw)'!A:A=A15), 0),0)"),"0")</f>
        <v>0</v>
      </c>
      <c r="AL15">
        <f>IFERROR(__xludf.DUMMYFUNCTION("IFERROR(FILTER('VPLData(raw)'!F:F,'VPLData(raw)'!B:B=545,'VPLData(raw)'!A:A=A15),0)"),"0")</f>
        <v>0</v>
      </c>
      <c r="AM15" s="2"/>
    </row>
    <row r="16">
      <c r="A16" s="1">
        <v>10200.0</v>
      </c>
      <c r="B16" s="1">
        <v>9795272.0</v>
      </c>
      <c r="C16">
        <f>IFERROR(__xludf.DUMMYFUNCTION("IFERROR(FILTER('VPLData(raw)'!C:C,'VPLData(raw)'!B:B=504,'VPLData(raw)'!A:A=A16),0)"),"1490836953")</f>
        <v>1490836953</v>
      </c>
      <c r="D16" s="7">
        <f>IFERROR(__xludf.DUMMYFUNCTION("IFERROR(IF(C16&gt;0, FILTER('VPLData(raw)'!E:E,'VPLData(raw)'!B:B=504,'VPLData(raw)'!A:A=A16), 0),0)"),"10")</f>
        <v>10</v>
      </c>
      <c r="E16">
        <f>IFERROR(__xludf.DUMMYFUNCTION("IFERROR(FILTER('VPLData(raw)'!F:F,'VPLData(raw)'!B:B=504,'VPLData(raw)'!A:A=A16),0)"),"4854")</f>
        <v>4854</v>
      </c>
      <c r="F16">
        <f>IFERROR(__xludf.DUMMYFUNCTION("IFERROR(FILTER('VPLData(raw)'!C:C,'VPLData(raw)'!B:B=454,'VPLData(raw)'!A:A=A16),0)"),"1491847204")</f>
        <v>1491847204</v>
      </c>
      <c r="G16">
        <f>IFERROR(__xludf.DUMMYFUNCTION("IFERROR(IF(F16&gt;0, FILTER('VPLData(raw)'!E:E,'VPLData(raw)'!B:B=454,'VPLData(raw)'!A:A=A16), 0),0)"),"10")</f>
        <v>10</v>
      </c>
      <c r="H16">
        <f>IFERROR(__xludf.DUMMYFUNCTION("IFERROR(FILTER('VPLData(raw)'!F:F,'VPLData(raw)'!B:B=454,'VPLData(raw)'!A:A=A16),0)"),"4507")</f>
        <v>4507</v>
      </c>
      <c r="I16">
        <f>IFERROR(__xludf.DUMMYFUNCTION("IFERROR(FILTER('VPLData(raw)'!C:C,'VPLData(raw)'!B:B=457,'VPLData(raw)'!A:A=A16),0)"),"1492285440")</f>
        <v>1492285440</v>
      </c>
      <c r="J16">
        <f>IFERROR(__xludf.DUMMYFUNCTION("IFERROR(IF(I16&gt;0, FILTER('VPLData(raw)'!E:E,'VPLData(raw)'!B:B=457,'VPLData(raw)'!A:A=A16), 0),0)"),"10")</f>
        <v>10</v>
      </c>
      <c r="K16">
        <f>IFERROR(__xludf.DUMMYFUNCTION("IFERROR(FILTER('VPLData(raw)'!F:F,'VPLData(raw)'!B:B=457,'VPLData(raw)'!A:A=A16),0)"),"25241")</f>
        <v>25241</v>
      </c>
      <c r="L16">
        <f>IFERROR(__xludf.DUMMYFUNCTION("IFERROR(FILTER('VPLData(raw)'!C:C,'VPLData(raw)'!B:B=534,'VPLData(raw)'!A:A=A16),0)"),"1495645952")</f>
        <v>1495645952</v>
      </c>
      <c r="M16" t="str">
        <f>IFERROR(__xludf.DUMMYFUNCTION("IFERROR(IF(L16&gt;0, FILTER('VPLData(raw)'!E:E,'VPLData(raw)'!B:B=534,'VPLData(raw)'!A:A=A16), 0),0)"),"")</f>
        <v/>
      </c>
      <c r="N16">
        <f>IFERROR(__xludf.DUMMYFUNCTION("IFERROR(FILTER('VPLData(raw)'!F:F,'VPLData(raw)'!B:B=534,'VPLData(raw)'!A:A=A16),0)"),"20554")</f>
        <v>20554</v>
      </c>
      <c r="O16">
        <f>IFERROR(__xludf.DUMMYFUNCTION("IFERROR(FILTER('VPLData(raw)'!C:C,'VPLData(raw)'!B:B=498,'VPLData(raw)'!A:A=A16),0)"),"1492892078")</f>
        <v>1492892078</v>
      </c>
      <c r="P16">
        <f>IFERROR(__xludf.DUMMYFUNCTION("IFERROR(IF(O16&gt;0, FILTER('VPLData(raw)'!E:E,'VPLData(raw)'!B:B=498,'VPLData(raw)'!A:A=A16), 0),0)"),"10")</f>
        <v>10</v>
      </c>
      <c r="Q16">
        <f>IFERROR(__xludf.DUMMYFUNCTION("IFERROR(FILTER('VPLData(raw)'!F:F,'VPLData(raw)'!B:B=498,'VPLData(raw)'!A:A=A16),0)"),"1188")</f>
        <v>1188</v>
      </c>
      <c r="R16">
        <f>IFERROR(__xludf.DUMMYFUNCTION("IFERROR(FILTER('VPLData(raw)'!C:C,'VPLData(raw)'!B:B=515,'VPLData(raw)'!A:A=A16),0)"),"0")</f>
        <v>0</v>
      </c>
      <c r="S16">
        <f>IFERROR(__xludf.DUMMYFUNCTION("IFERROR(IF(R16&gt;0, FILTER('VPLData(raw)'!E:E,'VPLData(raw)'!B:B=515,'VPLData(raw)'!A:A=A16), 0),0)"),"0")</f>
        <v>0</v>
      </c>
      <c r="T16">
        <f>IFERROR(__xludf.DUMMYFUNCTION("IFERROR(FILTER('VPLData(raw)'!F:F,'VPLData(raw)'!B:B=515,'VPLData(raw)'!A:A=A16),0)"),"0")</f>
        <v>0</v>
      </c>
      <c r="U16">
        <f>IFERROR(__xludf.DUMMYFUNCTION("IFERROR(FILTER('VPLData(raw)'!C:C,'VPLData(raw)'!B:B=528,'VPLData(raw)'!A:A=A16),0)"),"1494701103")</f>
        <v>1494701103</v>
      </c>
      <c r="V16">
        <f>IFERROR(__xludf.DUMMYFUNCTION("IFERROR(IF(U16&gt;0, FILTER('VPLData(raw)'!E:E,'VPLData(raw)'!B:B=528,'VPLData(raw)'!A:A=A16), 0),0)"),"10")</f>
        <v>10</v>
      </c>
      <c r="W16">
        <f>IFERROR(__xludf.DUMMYFUNCTION("IFERROR(FILTER('VPLData(raw)'!F:F,'VPLData(raw)'!B:B=528,'VPLData(raw)'!A:A=A16),0)"),"4156")</f>
        <v>4156</v>
      </c>
      <c r="X16">
        <f>IFERROR(__xludf.DUMMYFUNCTION("IFERROR(FILTER('VPLData(raw)'!C:C,'VPLData(raw)'!B:B=524,'VPLData(raw)'!A:A=A16),0)"),"1494783372")</f>
        <v>1494783372</v>
      </c>
      <c r="Y16">
        <f>IFERROR(__xludf.DUMMYFUNCTION("IFERROR(IF(X16&gt;0, FILTER('VPLData(raw)'!E:E,'VPLData(raw)'!B:B=524,'VPLData(raw)'!A:A=A16), 0),0)"),"10")</f>
        <v>10</v>
      </c>
      <c r="Z16">
        <f>IFERROR(__xludf.DUMMYFUNCTION("IFERROR(FILTER('VPLData(raw)'!F:F,'VPLData(raw)'!B:B=524,'VPLData(raw)'!A:A=A16),0)"),"3177")</f>
        <v>3177</v>
      </c>
      <c r="AA16">
        <f>IFERROR(__xludf.DUMMYFUNCTION("IFERROR(FILTER('VPLData(raw)'!C:C,'VPLData(raw)'!B:B=478,'VPLData(raw)'!A:A=A16),0)"),"0")</f>
        <v>0</v>
      </c>
      <c r="AB16">
        <f>IFERROR(__xludf.DUMMYFUNCTION("IFERROR(IF(AA16&gt;0, FILTER('VPLData(raw)'!E:E,'VPLData(raw)'!B:B=478,'VPLData(raw)'!A:A=A16), 0),0)"),"0")</f>
        <v>0</v>
      </c>
      <c r="AC16">
        <f>IFERROR(__xludf.DUMMYFUNCTION("IFERROR(FILTER('VPLData(raw)'!F:F,'VPLData(raw)'!B:B=478,'VPLData(raw)'!A:A=A16),0)"),"0")</f>
        <v>0</v>
      </c>
      <c r="AD16">
        <f>IFERROR(__xludf.DUMMYFUNCTION("IFERROR(FILTER('VPLData(raw)'!C:C,'VPLData(raw)'!B:B=542,'VPLData(raw)'!A:A=A16),0)"),"0")</f>
        <v>0</v>
      </c>
      <c r="AE16">
        <f>IFERROR(__xludf.DUMMYFUNCTION("IFERROR(IF(AD16&gt;0, FILTER('VPLData(raw)'!E:E,'VPLData(raw)'!B:B=542,'VPLData(raw)'!A:A=A16), 0),0)"),"0")</f>
        <v>0</v>
      </c>
      <c r="AF16">
        <f>IFERROR(__xludf.DUMMYFUNCTION("IFERROR(FILTER('VPLData(raw)'!F:F,'VPLData(raw)'!B:B=542,'VPLData(raw)'!A:A=A16),0)"),"0")</f>
        <v>0</v>
      </c>
      <c r="AG16">
        <f>IFERROR(__xludf.DUMMYFUNCTION("IFERROR(FILTER('VPLData(raw)'!C:C,'VPLData(raw)'!B:B=544,'VPLData(raw)'!A:A=A16),0)"),"0")</f>
        <v>0</v>
      </c>
      <c r="AH16">
        <f>IFERROR(__xludf.DUMMYFUNCTION("IFERROR(IF(AG16&gt;0, FILTER('VPLData(raw)'!E:E,'VPLData(raw)'!B:B=544,'VPLData(raw)'!A:A=A16), 0),0)"),"0")</f>
        <v>0</v>
      </c>
      <c r="AI16">
        <f>IFERROR(__xludf.DUMMYFUNCTION("IFERROR(FILTER('VPLData(raw)'!F:F,'VPLData(raw)'!B:B=544,'VPLData(raw)'!A:A=A16),0)"),"0")</f>
        <v>0</v>
      </c>
      <c r="AJ16">
        <f>IFERROR(__xludf.DUMMYFUNCTION("IFERROR(FILTER('VPLData(raw)'!C:C,'VPLData(raw)'!B:B=545,'VPLData(raw)'!A:A=A16),0)"),"0")</f>
        <v>0</v>
      </c>
      <c r="AK16">
        <f>IFERROR(__xludf.DUMMYFUNCTION("IFERROR(IF(AJ16&gt;0, FILTER('VPLData(raw)'!E:E,'VPLData(raw)'!B:B=545,'VPLData(raw)'!A:A=A16), 0),0)"),"0")</f>
        <v>0</v>
      </c>
      <c r="AL16">
        <f>IFERROR(__xludf.DUMMYFUNCTION("IFERROR(FILTER('VPLData(raw)'!F:F,'VPLData(raw)'!B:B=545,'VPLData(raw)'!A:A=A16),0)"),"0")</f>
        <v>0</v>
      </c>
      <c r="AM16" s="2"/>
    </row>
    <row r="17">
      <c r="A17" s="1">
        <v>10233.0</v>
      </c>
      <c r="B17" s="1">
        <v>9805320.0</v>
      </c>
      <c r="C17">
        <f>IFERROR(__xludf.DUMMYFUNCTION("IFERROR(FILTER('VPLData(raw)'!C:C,'VPLData(raw)'!B:B=504,'VPLData(raw)'!A:A=A17),0)"),"0")</f>
        <v>0</v>
      </c>
      <c r="D17" s="7">
        <f>IFERROR(__xludf.DUMMYFUNCTION("IFERROR(IF(C17&gt;0, FILTER('VPLData(raw)'!E:E,'VPLData(raw)'!B:B=504,'VPLData(raw)'!A:A=A17), 0),0)"),"0")</f>
        <v>0</v>
      </c>
      <c r="E17">
        <f>IFERROR(__xludf.DUMMYFUNCTION("IFERROR(FILTER('VPLData(raw)'!F:F,'VPLData(raw)'!B:B=504,'VPLData(raw)'!A:A=A17),0)"),"0")</f>
        <v>0</v>
      </c>
      <c r="F17">
        <f>IFERROR(__xludf.DUMMYFUNCTION("IFERROR(FILTER('VPLData(raw)'!C:C,'VPLData(raw)'!B:B=454,'VPLData(raw)'!A:A=A17),0)"),"0")</f>
        <v>0</v>
      </c>
      <c r="G17">
        <f>IFERROR(__xludf.DUMMYFUNCTION("IFERROR(IF(F17&gt;0, FILTER('VPLData(raw)'!E:E,'VPLData(raw)'!B:B=454,'VPLData(raw)'!A:A=A17), 0),0)"),"0")</f>
        <v>0</v>
      </c>
      <c r="H17">
        <f>IFERROR(__xludf.DUMMYFUNCTION("IFERROR(FILTER('VPLData(raw)'!F:F,'VPLData(raw)'!B:B=454,'VPLData(raw)'!A:A=A17),0)"),"0")</f>
        <v>0</v>
      </c>
      <c r="I17">
        <f>IFERROR(__xludf.DUMMYFUNCTION("IFERROR(FILTER('VPLData(raw)'!C:C,'VPLData(raw)'!B:B=457,'VPLData(raw)'!A:A=A17),0)"),"0")</f>
        <v>0</v>
      </c>
      <c r="J17">
        <f>IFERROR(__xludf.DUMMYFUNCTION("IFERROR(IF(I17&gt;0, FILTER('VPLData(raw)'!E:E,'VPLData(raw)'!B:B=457,'VPLData(raw)'!A:A=A17), 0),0)"),"0")</f>
        <v>0</v>
      </c>
      <c r="K17">
        <f>IFERROR(__xludf.DUMMYFUNCTION("IFERROR(FILTER('VPLData(raw)'!F:F,'VPLData(raw)'!B:B=457,'VPLData(raw)'!A:A=A17),0)"),"0")</f>
        <v>0</v>
      </c>
      <c r="L17">
        <f>IFERROR(__xludf.DUMMYFUNCTION("IFERROR(FILTER('VPLData(raw)'!C:C,'VPLData(raw)'!B:B=534,'VPLData(raw)'!A:A=A17),0)"),"0")</f>
        <v>0</v>
      </c>
      <c r="M17">
        <f>IFERROR(__xludf.DUMMYFUNCTION("IFERROR(IF(L17&gt;0, FILTER('VPLData(raw)'!E:E,'VPLData(raw)'!B:B=534,'VPLData(raw)'!A:A=A17), 0),0)"),"0")</f>
        <v>0</v>
      </c>
      <c r="N17">
        <f>IFERROR(__xludf.DUMMYFUNCTION("IFERROR(FILTER('VPLData(raw)'!F:F,'VPLData(raw)'!B:B=534,'VPLData(raw)'!A:A=A17),0)"),"0")</f>
        <v>0</v>
      </c>
      <c r="O17">
        <f>IFERROR(__xludf.DUMMYFUNCTION("IFERROR(FILTER('VPLData(raw)'!C:C,'VPLData(raw)'!B:B=498,'VPLData(raw)'!A:A=A17),0)"),"0")</f>
        <v>0</v>
      </c>
      <c r="P17">
        <f>IFERROR(__xludf.DUMMYFUNCTION("IFERROR(IF(O17&gt;0, FILTER('VPLData(raw)'!E:E,'VPLData(raw)'!B:B=498,'VPLData(raw)'!A:A=A17), 0),0)"),"0")</f>
        <v>0</v>
      </c>
      <c r="Q17">
        <f>IFERROR(__xludf.DUMMYFUNCTION("IFERROR(FILTER('VPLData(raw)'!F:F,'VPLData(raw)'!B:B=498,'VPLData(raw)'!A:A=A17),0)"),"0")</f>
        <v>0</v>
      </c>
      <c r="R17">
        <f>IFERROR(__xludf.DUMMYFUNCTION("IFERROR(FILTER('VPLData(raw)'!C:C,'VPLData(raw)'!B:B=515,'VPLData(raw)'!A:A=A17),0)"),"0")</f>
        <v>0</v>
      </c>
      <c r="S17">
        <f>IFERROR(__xludf.DUMMYFUNCTION("IFERROR(IF(R17&gt;0, FILTER('VPLData(raw)'!E:E,'VPLData(raw)'!B:B=515,'VPLData(raw)'!A:A=A17), 0),0)"),"0")</f>
        <v>0</v>
      </c>
      <c r="T17">
        <f>IFERROR(__xludf.DUMMYFUNCTION("IFERROR(FILTER('VPLData(raw)'!F:F,'VPLData(raw)'!B:B=515,'VPLData(raw)'!A:A=A17),0)"),"0")</f>
        <v>0</v>
      </c>
      <c r="U17">
        <f>IFERROR(__xludf.DUMMYFUNCTION("IFERROR(FILTER('VPLData(raw)'!C:C,'VPLData(raw)'!B:B=528,'VPLData(raw)'!A:A=A17),0)"),"0")</f>
        <v>0</v>
      </c>
      <c r="V17">
        <f>IFERROR(__xludf.DUMMYFUNCTION("IFERROR(IF(U17&gt;0, FILTER('VPLData(raw)'!E:E,'VPLData(raw)'!B:B=528,'VPLData(raw)'!A:A=A17), 0),0)"),"0")</f>
        <v>0</v>
      </c>
      <c r="W17">
        <f>IFERROR(__xludf.DUMMYFUNCTION("IFERROR(FILTER('VPLData(raw)'!F:F,'VPLData(raw)'!B:B=528,'VPLData(raw)'!A:A=A17),0)"),"0")</f>
        <v>0</v>
      </c>
      <c r="X17">
        <f>IFERROR(__xludf.DUMMYFUNCTION("IFERROR(FILTER('VPLData(raw)'!C:C,'VPLData(raw)'!B:B=524,'VPLData(raw)'!A:A=A17),0)"),"0")</f>
        <v>0</v>
      </c>
      <c r="Y17">
        <f>IFERROR(__xludf.DUMMYFUNCTION("IFERROR(IF(X17&gt;0, FILTER('VPLData(raw)'!E:E,'VPLData(raw)'!B:B=524,'VPLData(raw)'!A:A=A17), 0),0)"),"0")</f>
        <v>0</v>
      </c>
      <c r="Z17">
        <f>IFERROR(__xludf.DUMMYFUNCTION("IFERROR(FILTER('VPLData(raw)'!F:F,'VPLData(raw)'!B:B=524,'VPLData(raw)'!A:A=A17),0)"),"0")</f>
        <v>0</v>
      </c>
      <c r="AA17">
        <f>IFERROR(__xludf.DUMMYFUNCTION("IFERROR(FILTER('VPLData(raw)'!C:C,'VPLData(raw)'!B:B=478,'VPLData(raw)'!A:A=A17),0)"),"0")</f>
        <v>0</v>
      </c>
      <c r="AB17">
        <f>IFERROR(__xludf.DUMMYFUNCTION("IFERROR(IF(AA17&gt;0, FILTER('VPLData(raw)'!E:E,'VPLData(raw)'!B:B=478,'VPLData(raw)'!A:A=A17), 0),0)"),"0")</f>
        <v>0</v>
      </c>
      <c r="AC17">
        <f>IFERROR(__xludf.DUMMYFUNCTION("IFERROR(FILTER('VPLData(raw)'!F:F,'VPLData(raw)'!B:B=478,'VPLData(raw)'!A:A=A17),0)"),"0")</f>
        <v>0</v>
      </c>
      <c r="AD17">
        <f>IFERROR(__xludf.DUMMYFUNCTION("IFERROR(FILTER('VPLData(raw)'!C:C,'VPLData(raw)'!B:B=542,'VPLData(raw)'!A:A=A17),0)"),"0")</f>
        <v>0</v>
      </c>
      <c r="AE17">
        <f>IFERROR(__xludf.DUMMYFUNCTION("IFERROR(IF(AD17&gt;0, FILTER('VPLData(raw)'!E:E,'VPLData(raw)'!B:B=542,'VPLData(raw)'!A:A=A17), 0),0)"),"0")</f>
        <v>0</v>
      </c>
      <c r="AF17">
        <f>IFERROR(__xludf.DUMMYFUNCTION("IFERROR(FILTER('VPLData(raw)'!F:F,'VPLData(raw)'!B:B=542,'VPLData(raw)'!A:A=A17),0)"),"0")</f>
        <v>0</v>
      </c>
      <c r="AG17">
        <f>IFERROR(__xludf.DUMMYFUNCTION("IFERROR(FILTER('VPLData(raw)'!C:C,'VPLData(raw)'!B:B=544,'VPLData(raw)'!A:A=A17),0)"),"0")</f>
        <v>0</v>
      </c>
      <c r="AH17">
        <f>IFERROR(__xludf.DUMMYFUNCTION("IFERROR(IF(AG17&gt;0, FILTER('VPLData(raw)'!E:E,'VPLData(raw)'!B:B=544,'VPLData(raw)'!A:A=A17), 0),0)"),"0")</f>
        <v>0</v>
      </c>
      <c r="AI17">
        <f>IFERROR(__xludf.DUMMYFUNCTION("IFERROR(FILTER('VPLData(raw)'!F:F,'VPLData(raw)'!B:B=544,'VPLData(raw)'!A:A=A17),0)"),"0")</f>
        <v>0</v>
      </c>
      <c r="AJ17">
        <f>IFERROR(__xludf.DUMMYFUNCTION("IFERROR(FILTER('VPLData(raw)'!C:C,'VPLData(raw)'!B:B=545,'VPLData(raw)'!A:A=A17),0)"),"0")</f>
        <v>0</v>
      </c>
      <c r="AK17">
        <f>IFERROR(__xludf.DUMMYFUNCTION("IFERROR(IF(AJ17&gt;0, FILTER('VPLData(raw)'!E:E,'VPLData(raw)'!B:B=545,'VPLData(raw)'!A:A=A17), 0),0)"),"0")</f>
        <v>0</v>
      </c>
      <c r="AL17">
        <f>IFERROR(__xludf.DUMMYFUNCTION("IFERROR(FILTER('VPLData(raw)'!F:F,'VPLData(raw)'!B:B=545,'VPLData(raw)'!A:A=A17),0)"),"0")</f>
        <v>0</v>
      </c>
      <c r="AM17" s="2"/>
    </row>
    <row r="18">
      <c r="A18" s="1">
        <v>10217.0</v>
      </c>
      <c r="B18" s="1">
        <v>9805341.0</v>
      </c>
      <c r="C18">
        <f>IFERROR(__xludf.DUMMYFUNCTION("IFERROR(FILTER('VPLData(raw)'!C:C,'VPLData(raw)'!B:B=504,'VPLData(raw)'!A:A=A18),0)"),"1490725764")</f>
        <v>1490725764</v>
      </c>
      <c r="D18" s="7">
        <f>IFERROR(__xludf.DUMMYFUNCTION("IFERROR(IF(C18&gt;0, FILTER('VPLData(raw)'!E:E,'VPLData(raw)'!B:B=504,'VPLData(raw)'!A:A=A18), 0),0)"),"10")</f>
        <v>10</v>
      </c>
      <c r="E18">
        <f>IFERROR(__xludf.DUMMYFUNCTION("IFERROR(FILTER('VPLData(raw)'!F:F,'VPLData(raw)'!B:B=504,'VPLData(raw)'!A:A=A18),0)"),"780")</f>
        <v>780</v>
      </c>
      <c r="F18">
        <f>IFERROR(__xludf.DUMMYFUNCTION("IFERROR(FILTER('VPLData(raw)'!C:C,'VPLData(raw)'!B:B=454,'VPLData(raw)'!A:A=A18),0)"),"1491401406")</f>
        <v>1491401406</v>
      </c>
      <c r="G18">
        <f>IFERROR(__xludf.DUMMYFUNCTION("IFERROR(IF(F18&gt;0, FILTER('VPLData(raw)'!E:E,'VPLData(raw)'!B:B=454,'VPLData(raw)'!A:A=A18), 0),0)"),"10")</f>
        <v>10</v>
      </c>
      <c r="H18">
        <f>IFERROR(__xludf.DUMMYFUNCTION("IFERROR(FILTER('VPLData(raw)'!F:F,'VPLData(raw)'!B:B=454,'VPLData(raw)'!A:A=A18),0)"),"360")</f>
        <v>360</v>
      </c>
      <c r="I18">
        <f>IFERROR(__xludf.DUMMYFUNCTION("IFERROR(FILTER('VPLData(raw)'!C:C,'VPLData(raw)'!B:B=457,'VPLData(raw)'!A:A=A18),0)"),"1492396073")</f>
        <v>1492396073</v>
      </c>
      <c r="J18">
        <f>IFERROR(__xludf.DUMMYFUNCTION("IFERROR(IF(I18&gt;0, FILTER('VPLData(raw)'!E:E,'VPLData(raw)'!B:B=457,'VPLData(raw)'!A:A=A18), 0),0)"),"10")</f>
        <v>10</v>
      </c>
      <c r="K18">
        <f>IFERROR(__xludf.DUMMYFUNCTION("IFERROR(FILTER('VPLData(raw)'!F:F,'VPLData(raw)'!B:B=457,'VPLData(raw)'!A:A=A18),0)"),"4411")</f>
        <v>4411</v>
      </c>
      <c r="L18">
        <f>IFERROR(__xludf.DUMMYFUNCTION("IFERROR(FILTER('VPLData(raw)'!C:C,'VPLData(raw)'!B:B=534,'VPLData(raw)'!A:A=A18),0)"),"0")</f>
        <v>0</v>
      </c>
      <c r="M18">
        <f>IFERROR(__xludf.DUMMYFUNCTION("IFERROR(IF(L18&gt;0, FILTER('VPLData(raw)'!E:E,'VPLData(raw)'!B:B=534,'VPLData(raw)'!A:A=A18), 0),0)"),"0")</f>
        <v>0</v>
      </c>
      <c r="N18">
        <f>IFERROR(__xludf.DUMMYFUNCTION("IFERROR(FILTER('VPLData(raw)'!F:F,'VPLData(raw)'!B:B=534,'VPLData(raw)'!A:A=A18),0)"),"0")</f>
        <v>0</v>
      </c>
      <c r="O18">
        <f>IFERROR(__xludf.DUMMYFUNCTION("IFERROR(FILTER('VPLData(raw)'!C:C,'VPLData(raw)'!B:B=498,'VPLData(raw)'!A:A=A18),0)"),"1492532694")</f>
        <v>1492532694</v>
      </c>
      <c r="P18">
        <f>IFERROR(__xludf.DUMMYFUNCTION("IFERROR(IF(O18&gt;0, FILTER('VPLData(raw)'!E:E,'VPLData(raw)'!B:B=498,'VPLData(raw)'!A:A=A18), 0),0)"),"10")</f>
        <v>10</v>
      </c>
      <c r="Q18">
        <f>IFERROR(__xludf.DUMMYFUNCTION("IFERROR(FILTER('VPLData(raw)'!F:F,'VPLData(raw)'!B:B=498,'VPLData(raw)'!A:A=A18),0)"),"728")</f>
        <v>728</v>
      </c>
      <c r="R18">
        <f>IFERROR(__xludf.DUMMYFUNCTION("IFERROR(FILTER('VPLData(raw)'!C:C,'VPLData(raw)'!B:B=515,'VPLData(raw)'!A:A=A18),0)"),"1492533528")</f>
        <v>1492533528</v>
      </c>
      <c r="S18">
        <f>IFERROR(__xludf.DUMMYFUNCTION("IFERROR(IF(R18&gt;0, FILTER('VPLData(raw)'!E:E,'VPLData(raw)'!B:B=515,'VPLData(raw)'!A:A=A18), 0),0)"),"10")</f>
        <v>10</v>
      </c>
      <c r="T18">
        <f>IFERROR(__xludf.DUMMYFUNCTION("IFERROR(FILTER('VPLData(raw)'!F:F,'VPLData(raw)'!B:B=515,'VPLData(raw)'!A:A=A18),0)"),"436")</f>
        <v>436</v>
      </c>
      <c r="U18">
        <f>IFERROR(__xludf.DUMMYFUNCTION("IFERROR(FILTER('VPLData(raw)'!C:C,'VPLData(raw)'!B:B=528,'VPLData(raw)'!A:A=A18),0)"),"1494354773")</f>
        <v>1494354773</v>
      </c>
      <c r="V18">
        <f>IFERROR(__xludf.DUMMYFUNCTION("IFERROR(IF(U18&gt;0, FILTER('VPLData(raw)'!E:E,'VPLData(raw)'!B:B=528,'VPLData(raw)'!A:A=A18), 0),0)"),"10")</f>
        <v>10</v>
      </c>
      <c r="W18">
        <f>IFERROR(__xludf.DUMMYFUNCTION("IFERROR(FILTER('VPLData(raw)'!F:F,'VPLData(raw)'!B:B=528,'VPLData(raw)'!A:A=A18),0)"),"494")</f>
        <v>494</v>
      </c>
      <c r="X18">
        <f>IFERROR(__xludf.DUMMYFUNCTION("IFERROR(FILTER('VPLData(raw)'!C:C,'VPLData(raw)'!B:B=524,'VPLData(raw)'!A:A=A18),0)"),"1494355369")</f>
        <v>1494355369</v>
      </c>
      <c r="Y18">
        <f>IFERROR(__xludf.DUMMYFUNCTION("IFERROR(IF(X18&gt;0, FILTER('VPLData(raw)'!E:E,'VPLData(raw)'!B:B=524,'VPLData(raw)'!A:A=A18), 0),0)"),"10")</f>
        <v>10</v>
      </c>
      <c r="Z18">
        <f>IFERROR(__xludf.DUMMYFUNCTION("IFERROR(FILTER('VPLData(raw)'!F:F,'VPLData(raw)'!B:B=524,'VPLData(raw)'!A:A=A18),0)"),"1810")</f>
        <v>1810</v>
      </c>
      <c r="AA18">
        <f>IFERROR(__xludf.DUMMYFUNCTION("IFERROR(FILTER('VPLData(raw)'!C:C,'VPLData(raw)'!B:B=478,'VPLData(raw)'!A:A=A18),0)"),"1494357796")</f>
        <v>1494357796</v>
      </c>
      <c r="AB18">
        <f>IFERROR(__xludf.DUMMYFUNCTION("IFERROR(IF(AA18&gt;0, FILTER('VPLData(raw)'!E:E,'VPLData(raw)'!B:B=478,'VPLData(raw)'!A:A=A18), 0),0)"),"10")</f>
        <v>10</v>
      </c>
      <c r="AC18">
        <f>IFERROR(__xludf.DUMMYFUNCTION("IFERROR(FILTER('VPLData(raw)'!F:F,'VPLData(raw)'!B:B=478,'VPLData(raw)'!A:A=A18),0)"),"12388")</f>
        <v>12388</v>
      </c>
      <c r="AD18">
        <f>IFERROR(__xludf.DUMMYFUNCTION("IFERROR(FILTER('VPLData(raw)'!C:C,'VPLData(raw)'!B:B=542,'VPLData(raw)'!A:A=A18),0)"),"1497668059")</f>
        <v>1497668059</v>
      </c>
      <c r="AE18">
        <f>IFERROR(__xludf.DUMMYFUNCTION("IFERROR(IF(AD18&gt;0, FILTER('VPLData(raw)'!E:E,'VPLData(raw)'!B:B=542,'VPLData(raw)'!A:A=A18), 0),0)"),"10")</f>
        <v>10</v>
      </c>
      <c r="AF18">
        <f>IFERROR(__xludf.DUMMYFUNCTION("IFERROR(FILTER('VPLData(raw)'!F:F,'VPLData(raw)'!B:B=542,'VPLData(raw)'!A:A=A18),0)"),"1418")</f>
        <v>1418</v>
      </c>
      <c r="AG18">
        <f>IFERROR(__xludf.DUMMYFUNCTION("IFERROR(FILTER('VPLData(raw)'!C:C,'VPLData(raw)'!B:B=544,'VPLData(raw)'!A:A=A18),0)"),"1497670010")</f>
        <v>1497670010</v>
      </c>
      <c r="AH18">
        <f>IFERROR(__xludf.DUMMYFUNCTION("IFERROR(IF(AG18&gt;0, FILTER('VPLData(raw)'!E:E,'VPLData(raw)'!B:B=544,'VPLData(raw)'!A:A=A18), 0),0)"),"10")</f>
        <v>10</v>
      </c>
      <c r="AI18">
        <f>IFERROR(__xludf.DUMMYFUNCTION("IFERROR(FILTER('VPLData(raw)'!F:F,'VPLData(raw)'!B:B=544,'VPLData(raw)'!A:A=A18),0)"),"999")</f>
        <v>999</v>
      </c>
      <c r="AJ18">
        <f>IFERROR(__xludf.DUMMYFUNCTION("IFERROR(FILTER('VPLData(raw)'!C:C,'VPLData(raw)'!B:B=545,'VPLData(raw)'!A:A=A18),0)"),"1497673296")</f>
        <v>1497673296</v>
      </c>
      <c r="AK18">
        <f>IFERROR(__xludf.DUMMYFUNCTION("IFERROR(IF(AJ18&gt;0, FILTER('VPLData(raw)'!E:E,'VPLData(raw)'!B:B=545,'VPLData(raw)'!A:A=A18), 0),0)"),"10")</f>
        <v>10</v>
      </c>
      <c r="AL18">
        <f>IFERROR(__xludf.DUMMYFUNCTION("IFERROR(FILTER('VPLData(raw)'!F:F,'VPLData(raw)'!B:B=545,'VPLData(raw)'!A:A=A18),0)"),"4327")</f>
        <v>4327</v>
      </c>
    </row>
    <row r="19">
      <c r="A19" s="1">
        <v>10218.0</v>
      </c>
      <c r="B19" s="1">
        <v>9842913.0</v>
      </c>
      <c r="C19">
        <f>IFERROR(__xludf.DUMMYFUNCTION("IFERROR(FILTER('VPLData(raw)'!C:C,'VPLData(raw)'!B:B=504,'VPLData(raw)'!A:A=A19),0)"),"1490833680")</f>
        <v>1490833680</v>
      </c>
      <c r="D19" s="7">
        <f>IFERROR(__xludf.DUMMYFUNCTION("IFERROR(IF(C19&gt;0, FILTER('VPLData(raw)'!E:E,'VPLData(raw)'!B:B=504,'VPLData(raw)'!A:A=A19), 0),0)"),"10")</f>
        <v>10</v>
      </c>
      <c r="E19">
        <f>IFERROR(__xludf.DUMMYFUNCTION("IFERROR(FILTER('VPLData(raw)'!F:F,'VPLData(raw)'!B:B=504,'VPLData(raw)'!A:A=A19),0)"),"719")</f>
        <v>719</v>
      </c>
      <c r="F19">
        <f>IFERROR(__xludf.DUMMYFUNCTION("IFERROR(FILTER('VPLData(raw)'!C:C,'VPLData(raw)'!B:B=454,'VPLData(raw)'!A:A=A19),0)"),"1491435810")</f>
        <v>1491435810</v>
      </c>
      <c r="G19">
        <f>IFERROR(__xludf.DUMMYFUNCTION("IFERROR(IF(F19&gt;0, FILTER('VPLData(raw)'!E:E,'VPLData(raw)'!B:B=454,'VPLData(raw)'!A:A=A19), 0),0)"),"10")</f>
        <v>10</v>
      </c>
      <c r="H19">
        <f>IFERROR(__xludf.DUMMYFUNCTION("IFERROR(FILTER('VPLData(raw)'!F:F,'VPLData(raw)'!B:B=454,'VPLData(raw)'!A:A=A19),0)"),"1735")</f>
        <v>1735</v>
      </c>
      <c r="I19">
        <f>IFERROR(__xludf.DUMMYFUNCTION("IFERROR(FILTER('VPLData(raw)'!C:C,'VPLData(raw)'!B:B=457,'VPLData(raw)'!A:A=A19),0)"),"1492476501")</f>
        <v>1492476501</v>
      </c>
      <c r="J19">
        <f>IFERROR(__xludf.DUMMYFUNCTION("IFERROR(IF(I19&gt;0, FILTER('VPLData(raw)'!E:E,'VPLData(raw)'!B:B=457,'VPLData(raw)'!A:A=A19), 0),0)"),"10")</f>
        <v>10</v>
      </c>
      <c r="K19">
        <f>IFERROR(__xludf.DUMMYFUNCTION("IFERROR(FILTER('VPLData(raw)'!F:F,'VPLData(raw)'!B:B=457,'VPLData(raw)'!A:A=A19),0)"),"195")</f>
        <v>195</v>
      </c>
      <c r="L19">
        <f>IFERROR(__xludf.DUMMYFUNCTION("IFERROR(FILTER('VPLData(raw)'!C:C,'VPLData(raw)'!B:B=534,'VPLData(raw)'!A:A=A19),0)"),"0")</f>
        <v>0</v>
      </c>
      <c r="M19">
        <f>IFERROR(__xludf.DUMMYFUNCTION("IFERROR(IF(L19&gt;0, FILTER('VPLData(raw)'!E:E,'VPLData(raw)'!B:B=534,'VPLData(raw)'!A:A=A19), 0),0)"),"0")</f>
        <v>0</v>
      </c>
      <c r="N19">
        <f>IFERROR(__xludf.DUMMYFUNCTION("IFERROR(FILTER('VPLData(raw)'!F:F,'VPLData(raw)'!B:B=534,'VPLData(raw)'!A:A=A19),0)"),"0")</f>
        <v>0</v>
      </c>
      <c r="O19">
        <f>IFERROR(__xludf.DUMMYFUNCTION("IFERROR(FILTER('VPLData(raw)'!C:C,'VPLData(raw)'!B:B=498,'VPLData(raw)'!A:A=A19),0)"),"1492476951")</f>
        <v>1492476951</v>
      </c>
      <c r="P19">
        <f>IFERROR(__xludf.DUMMYFUNCTION("IFERROR(IF(O19&gt;0, FILTER('VPLData(raw)'!E:E,'VPLData(raw)'!B:B=498,'VPLData(raw)'!A:A=A19), 0),0)"),"10")</f>
        <v>10</v>
      </c>
      <c r="Q19">
        <f>IFERROR(__xludf.DUMMYFUNCTION("IFERROR(FILTER('VPLData(raw)'!F:F,'VPLData(raw)'!B:B=498,'VPLData(raw)'!A:A=A19),0)"),"372")</f>
        <v>372</v>
      </c>
      <c r="R19">
        <f>IFERROR(__xludf.DUMMYFUNCTION("IFERROR(FILTER('VPLData(raw)'!C:C,'VPLData(raw)'!B:B=515,'VPLData(raw)'!A:A=A19),0)"),"0")</f>
        <v>0</v>
      </c>
      <c r="S19">
        <f>IFERROR(__xludf.DUMMYFUNCTION("IFERROR(IF(R19&gt;0, FILTER('VPLData(raw)'!E:E,'VPLData(raw)'!B:B=515,'VPLData(raw)'!A:A=A19), 0),0)"),"0")</f>
        <v>0</v>
      </c>
      <c r="T19">
        <f>IFERROR(__xludf.DUMMYFUNCTION("IFERROR(FILTER('VPLData(raw)'!F:F,'VPLData(raw)'!B:B=515,'VPLData(raw)'!A:A=A19),0)"),"0")</f>
        <v>0</v>
      </c>
      <c r="U19">
        <f>IFERROR(__xludf.DUMMYFUNCTION("IFERROR(FILTER('VPLData(raw)'!C:C,'VPLData(raw)'!B:B=528,'VPLData(raw)'!A:A=A19),0)"),"0")</f>
        <v>0</v>
      </c>
      <c r="V19">
        <f>IFERROR(__xludf.DUMMYFUNCTION("IFERROR(IF(U19&gt;0, FILTER('VPLData(raw)'!E:E,'VPLData(raw)'!B:B=528,'VPLData(raw)'!A:A=A19), 0),0)"),"0")</f>
        <v>0</v>
      </c>
      <c r="W19">
        <f>IFERROR(__xludf.DUMMYFUNCTION("IFERROR(FILTER('VPLData(raw)'!F:F,'VPLData(raw)'!B:B=528,'VPLData(raw)'!A:A=A19),0)"),"0")</f>
        <v>0</v>
      </c>
      <c r="X19">
        <f>IFERROR(__xludf.DUMMYFUNCTION("IFERROR(FILTER('VPLData(raw)'!C:C,'VPLData(raw)'!B:B=524,'VPLData(raw)'!A:A=A19),0)"),"1494891071")</f>
        <v>1494891071</v>
      </c>
      <c r="Y19">
        <f>IFERROR(__xludf.DUMMYFUNCTION("IFERROR(IF(X19&gt;0, FILTER('VPLData(raw)'!E:E,'VPLData(raw)'!B:B=524,'VPLData(raw)'!A:A=A19), 0),0)"),"10")</f>
        <v>10</v>
      </c>
      <c r="Z19">
        <f>IFERROR(__xludf.DUMMYFUNCTION("IFERROR(FILTER('VPLData(raw)'!F:F,'VPLData(raw)'!B:B=524,'VPLData(raw)'!A:A=A19),0)"),"141")</f>
        <v>141</v>
      </c>
      <c r="AA19">
        <f>IFERROR(__xludf.DUMMYFUNCTION("IFERROR(FILTER('VPLData(raw)'!C:C,'VPLData(raw)'!B:B=478,'VPLData(raw)'!A:A=A19),0)"),"1494895980")</f>
        <v>1494895980</v>
      </c>
      <c r="AB19">
        <f>IFERROR(__xludf.DUMMYFUNCTION("IFERROR(IF(AA19&gt;0, FILTER('VPLData(raw)'!E:E,'VPLData(raw)'!B:B=478,'VPLData(raw)'!A:A=A19), 0),0)"),"10")</f>
        <v>10</v>
      </c>
      <c r="AC19">
        <f>IFERROR(__xludf.DUMMYFUNCTION("IFERROR(FILTER('VPLData(raw)'!F:F,'VPLData(raw)'!B:B=478,'VPLData(raw)'!A:A=A19),0)"),"824")</f>
        <v>824</v>
      </c>
      <c r="AD19">
        <f>IFERROR(__xludf.DUMMYFUNCTION("IFERROR(FILTER('VPLData(raw)'!C:C,'VPLData(raw)'!B:B=542,'VPLData(raw)'!A:A=A19),0)"),"0")</f>
        <v>0</v>
      </c>
      <c r="AE19">
        <f>IFERROR(__xludf.DUMMYFUNCTION("IFERROR(IF(AD19&gt;0, FILTER('VPLData(raw)'!E:E,'VPLData(raw)'!B:B=542,'VPLData(raw)'!A:A=A19), 0),0)"),"0")</f>
        <v>0</v>
      </c>
      <c r="AF19">
        <f>IFERROR(__xludf.DUMMYFUNCTION("IFERROR(FILTER('VPLData(raw)'!F:F,'VPLData(raw)'!B:B=542,'VPLData(raw)'!A:A=A19),0)"),"0")</f>
        <v>0</v>
      </c>
      <c r="AG19">
        <f>IFERROR(__xludf.DUMMYFUNCTION("IFERROR(FILTER('VPLData(raw)'!C:C,'VPLData(raw)'!B:B=544,'VPLData(raw)'!A:A=A19),0)"),"1499463530")</f>
        <v>1499463530</v>
      </c>
      <c r="AH19">
        <f>IFERROR(__xludf.DUMMYFUNCTION("IFERROR(IF(AG19&gt;0, FILTER('VPLData(raw)'!E:E,'VPLData(raw)'!B:B=544,'VPLData(raw)'!A:A=A19), 0),0)"),"10")</f>
        <v>10</v>
      </c>
      <c r="AI19">
        <f>IFERROR(__xludf.DUMMYFUNCTION("IFERROR(FILTER('VPLData(raw)'!F:F,'VPLData(raw)'!B:B=544,'VPLData(raw)'!A:A=A19),0)"),"7")</f>
        <v>7</v>
      </c>
      <c r="AJ19">
        <f>IFERROR(__xludf.DUMMYFUNCTION("IFERROR(FILTER('VPLData(raw)'!C:C,'VPLData(raw)'!B:B=545,'VPLData(raw)'!A:A=A19),0)"),"0")</f>
        <v>0</v>
      </c>
      <c r="AK19">
        <f>IFERROR(__xludf.DUMMYFUNCTION("IFERROR(IF(AJ19&gt;0, FILTER('VPLData(raw)'!E:E,'VPLData(raw)'!B:B=545,'VPLData(raw)'!A:A=A19), 0),0)"),"0")</f>
        <v>0</v>
      </c>
      <c r="AL19">
        <f>IFERROR(__xludf.DUMMYFUNCTION("IFERROR(FILTER('VPLData(raw)'!F:F,'VPLData(raw)'!B:B=545,'VPLData(raw)'!A:A=A19),0)"),"0")</f>
        <v>0</v>
      </c>
    </row>
    <row r="20">
      <c r="A20" s="1">
        <v>10241.0</v>
      </c>
      <c r="B20" s="1">
        <v>9885286.0</v>
      </c>
      <c r="C20">
        <f>IFERROR(__xludf.DUMMYFUNCTION("IFERROR(FILTER('VPLData(raw)'!C:C,'VPLData(raw)'!B:B=504,'VPLData(raw)'!A:A=A20),0)"),"0")</f>
        <v>0</v>
      </c>
      <c r="D20" s="7">
        <f>IFERROR(__xludf.DUMMYFUNCTION("IFERROR(IF(C20&gt;0, FILTER('VPLData(raw)'!E:E,'VPLData(raw)'!B:B=504,'VPLData(raw)'!A:A=A20), 0),0)"),"0")</f>
        <v>0</v>
      </c>
      <c r="E20">
        <f>IFERROR(__xludf.DUMMYFUNCTION("IFERROR(FILTER('VPLData(raw)'!F:F,'VPLData(raw)'!B:B=504,'VPLData(raw)'!A:A=A20),0)"),"0")</f>
        <v>0</v>
      </c>
      <c r="F20">
        <f>IFERROR(__xludf.DUMMYFUNCTION("IFERROR(FILTER('VPLData(raw)'!C:C,'VPLData(raw)'!B:B=454,'VPLData(raw)'!A:A=A20),0)"),"0")</f>
        <v>0</v>
      </c>
      <c r="G20">
        <f>IFERROR(__xludf.DUMMYFUNCTION("IFERROR(IF(F20&gt;0, FILTER('VPLData(raw)'!E:E,'VPLData(raw)'!B:B=454,'VPLData(raw)'!A:A=A20), 0),0)"),"0")</f>
        <v>0</v>
      </c>
      <c r="H20">
        <f>IFERROR(__xludf.DUMMYFUNCTION("IFERROR(FILTER('VPLData(raw)'!F:F,'VPLData(raw)'!B:B=454,'VPLData(raw)'!A:A=A20),0)"),"0")</f>
        <v>0</v>
      </c>
      <c r="I20">
        <f>IFERROR(__xludf.DUMMYFUNCTION("IFERROR(FILTER('VPLData(raw)'!C:C,'VPLData(raw)'!B:B=457,'VPLData(raw)'!A:A=A20),0)"),"0")</f>
        <v>0</v>
      </c>
      <c r="J20">
        <f>IFERROR(__xludf.DUMMYFUNCTION("IFERROR(IF(I20&gt;0, FILTER('VPLData(raw)'!E:E,'VPLData(raw)'!B:B=457,'VPLData(raw)'!A:A=A20), 0),0)"),"0")</f>
        <v>0</v>
      </c>
      <c r="K20">
        <f>IFERROR(__xludf.DUMMYFUNCTION("IFERROR(FILTER('VPLData(raw)'!F:F,'VPLData(raw)'!B:B=457,'VPLData(raw)'!A:A=A20),0)"),"0")</f>
        <v>0</v>
      </c>
      <c r="L20">
        <f>IFERROR(__xludf.DUMMYFUNCTION("IFERROR(FILTER('VPLData(raw)'!C:C,'VPLData(raw)'!B:B=534,'VPLData(raw)'!A:A=A20),0)"),"0")</f>
        <v>0</v>
      </c>
      <c r="M20">
        <f>IFERROR(__xludf.DUMMYFUNCTION("IFERROR(IF(L20&gt;0, FILTER('VPLData(raw)'!E:E,'VPLData(raw)'!B:B=534,'VPLData(raw)'!A:A=A20), 0),0)"),"0")</f>
        <v>0</v>
      </c>
      <c r="N20">
        <f>IFERROR(__xludf.DUMMYFUNCTION("IFERROR(FILTER('VPLData(raw)'!F:F,'VPLData(raw)'!B:B=534,'VPLData(raw)'!A:A=A20),0)"),"0")</f>
        <v>0</v>
      </c>
      <c r="O20">
        <f>IFERROR(__xludf.DUMMYFUNCTION("IFERROR(FILTER('VPLData(raw)'!C:C,'VPLData(raw)'!B:B=498,'VPLData(raw)'!A:A=A20),0)"),"0")</f>
        <v>0</v>
      </c>
      <c r="P20">
        <f>IFERROR(__xludf.DUMMYFUNCTION("IFERROR(IF(O20&gt;0, FILTER('VPLData(raw)'!E:E,'VPLData(raw)'!B:B=498,'VPLData(raw)'!A:A=A20), 0),0)"),"0")</f>
        <v>0</v>
      </c>
      <c r="Q20">
        <f>IFERROR(__xludf.DUMMYFUNCTION("IFERROR(FILTER('VPLData(raw)'!F:F,'VPLData(raw)'!B:B=498,'VPLData(raw)'!A:A=A20),0)"),"0")</f>
        <v>0</v>
      </c>
      <c r="R20">
        <f>IFERROR(__xludf.DUMMYFUNCTION("IFERROR(FILTER('VPLData(raw)'!C:C,'VPLData(raw)'!B:B=515,'VPLData(raw)'!A:A=A20),0)"),"0")</f>
        <v>0</v>
      </c>
      <c r="S20">
        <f>IFERROR(__xludf.DUMMYFUNCTION("IFERROR(IF(R20&gt;0, FILTER('VPLData(raw)'!E:E,'VPLData(raw)'!B:B=515,'VPLData(raw)'!A:A=A20), 0),0)"),"0")</f>
        <v>0</v>
      </c>
      <c r="T20">
        <f>IFERROR(__xludf.DUMMYFUNCTION("IFERROR(FILTER('VPLData(raw)'!F:F,'VPLData(raw)'!B:B=515,'VPLData(raw)'!A:A=A20),0)"),"0")</f>
        <v>0</v>
      </c>
      <c r="U20">
        <f>IFERROR(__xludf.DUMMYFUNCTION("IFERROR(FILTER('VPLData(raw)'!C:C,'VPLData(raw)'!B:B=528,'VPLData(raw)'!A:A=A20),0)"),"0")</f>
        <v>0</v>
      </c>
      <c r="V20">
        <f>IFERROR(__xludf.DUMMYFUNCTION("IFERROR(IF(U20&gt;0, FILTER('VPLData(raw)'!E:E,'VPLData(raw)'!B:B=528,'VPLData(raw)'!A:A=A20), 0),0)"),"0")</f>
        <v>0</v>
      </c>
      <c r="W20">
        <f>IFERROR(__xludf.DUMMYFUNCTION("IFERROR(FILTER('VPLData(raw)'!F:F,'VPLData(raw)'!B:B=528,'VPLData(raw)'!A:A=A20),0)"),"0")</f>
        <v>0</v>
      </c>
      <c r="X20">
        <f>IFERROR(__xludf.DUMMYFUNCTION("IFERROR(FILTER('VPLData(raw)'!C:C,'VPLData(raw)'!B:B=524,'VPLData(raw)'!A:A=A20),0)"),"0")</f>
        <v>0</v>
      </c>
      <c r="Y20">
        <f>IFERROR(__xludf.DUMMYFUNCTION("IFERROR(IF(X20&gt;0, FILTER('VPLData(raw)'!E:E,'VPLData(raw)'!B:B=524,'VPLData(raw)'!A:A=A20), 0),0)"),"0")</f>
        <v>0</v>
      </c>
      <c r="Z20">
        <f>IFERROR(__xludf.DUMMYFUNCTION("IFERROR(FILTER('VPLData(raw)'!F:F,'VPLData(raw)'!B:B=524,'VPLData(raw)'!A:A=A20),0)"),"0")</f>
        <v>0</v>
      </c>
      <c r="AA20">
        <f>IFERROR(__xludf.DUMMYFUNCTION("IFERROR(FILTER('VPLData(raw)'!C:C,'VPLData(raw)'!B:B=478,'VPLData(raw)'!A:A=A20),0)"),"0")</f>
        <v>0</v>
      </c>
      <c r="AB20">
        <f>IFERROR(__xludf.DUMMYFUNCTION("IFERROR(IF(AA20&gt;0, FILTER('VPLData(raw)'!E:E,'VPLData(raw)'!B:B=478,'VPLData(raw)'!A:A=A20), 0),0)"),"0")</f>
        <v>0</v>
      </c>
      <c r="AC20">
        <f>IFERROR(__xludf.DUMMYFUNCTION("IFERROR(FILTER('VPLData(raw)'!F:F,'VPLData(raw)'!B:B=478,'VPLData(raw)'!A:A=A20),0)"),"0")</f>
        <v>0</v>
      </c>
      <c r="AD20">
        <f>IFERROR(__xludf.DUMMYFUNCTION("IFERROR(FILTER('VPLData(raw)'!C:C,'VPLData(raw)'!B:B=542,'VPLData(raw)'!A:A=A20),0)"),"0")</f>
        <v>0</v>
      </c>
      <c r="AE20">
        <f>IFERROR(__xludf.DUMMYFUNCTION("IFERROR(IF(AD20&gt;0, FILTER('VPLData(raw)'!E:E,'VPLData(raw)'!B:B=542,'VPLData(raw)'!A:A=A20), 0),0)"),"0")</f>
        <v>0</v>
      </c>
      <c r="AF20">
        <f>IFERROR(__xludf.DUMMYFUNCTION("IFERROR(FILTER('VPLData(raw)'!F:F,'VPLData(raw)'!B:B=542,'VPLData(raw)'!A:A=A20),0)"),"0")</f>
        <v>0</v>
      </c>
      <c r="AG20">
        <f>IFERROR(__xludf.DUMMYFUNCTION("IFERROR(FILTER('VPLData(raw)'!C:C,'VPLData(raw)'!B:B=544,'VPLData(raw)'!A:A=A20),0)"),"0")</f>
        <v>0</v>
      </c>
      <c r="AH20">
        <f>IFERROR(__xludf.DUMMYFUNCTION("IFERROR(IF(AG20&gt;0, FILTER('VPLData(raw)'!E:E,'VPLData(raw)'!B:B=544,'VPLData(raw)'!A:A=A20), 0),0)"),"0")</f>
        <v>0</v>
      </c>
      <c r="AI20">
        <f>IFERROR(__xludf.DUMMYFUNCTION("IFERROR(FILTER('VPLData(raw)'!F:F,'VPLData(raw)'!B:B=544,'VPLData(raw)'!A:A=A20),0)"),"0")</f>
        <v>0</v>
      </c>
      <c r="AJ20">
        <f>IFERROR(__xludf.DUMMYFUNCTION("IFERROR(FILTER('VPLData(raw)'!C:C,'VPLData(raw)'!B:B=545,'VPLData(raw)'!A:A=A20),0)"),"0")</f>
        <v>0</v>
      </c>
      <c r="AK20">
        <f>IFERROR(__xludf.DUMMYFUNCTION("IFERROR(IF(AJ20&gt;0, FILTER('VPLData(raw)'!E:E,'VPLData(raw)'!B:B=545,'VPLData(raw)'!A:A=A20), 0),0)"),"0")</f>
        <v>0</v>
      </c>
      <c r="AL20">
        <f>IFERROR(__xludf.DUMMYFUNCTION("IFERROR(FILTER('VPLData(raw)'!F:F,'VPLData(raw)'!B:B=545,'VPLData(raw)'!A:A=A20),0)"),"0")</f>
        <v>0</v>
      </c>
    </row>
    <row r="21">
      <c r="A21" s="1">
        <v>10203.0</v>
      </c>
      <c r="B21" s="1">
        <v>9921470.0</v>
      </c>
      <c r="C21">
        <f>IFERROR(__xludf.DUMMYFUNCTION("IFERROR(FILTER('VPLData(raw)'!C:C,'VPLData(raw)'!B:B=504,'VPLData(raw)'!A:A=A21),0)"),"1490882556")</f>
        <v>1490882556</v>
      </c>
      <c r="D21" s="7" t="str">
        <f>IFERROR(__xludf.DUMMYFUNCTION("IFERROR(IF(C21&gt;0, FILTER('VPLData(raw)'!E:E,'VPLData(raw)'!B:B=504,'VPLData(raw)'!A:A=A21), 0),0)"),"")</f>
        <v/>
      </c>
      <c r="E21">
        <f>IFERROR(__xludf.DUMMYFUNCTION("IFERROR(FILTER('VPLData(raw)'!F:F,'VPLData(raw)'!B:B=504,'VPLData(raw)'!A:A=A21),0)"),"6105")</f>
        <v>6105</v>
      </c>
      <c r="F21">
        <f>IFERROR(__xludf.DUMMYFUNCTION("IFERROR(FILTER('VPLData(raw)'!C:C,'VPLData(raw)'!B:B=454,'VPLData(raw)'!A:A=A21),0)"),"1492694156")</f>
        <v>1492694156</v>
      </c>
      <c r="G21">
        <f>IFERROR(__xludf.DUMMYFUNCTION("IFERROR(IF(F21&gt;0, FILTER('VPLData(raw)'!E:E,'VPLData(raw)'!B:B=454,'VPLData(raw)'!A:A=A21), 0),0)"),"10")</f>
        <v>10</v>
      </c>
      <c r="H21">
        <f>IFERROR(__xludf.DUMMYFUNCTION("IFERROR(FILTER('VPLData(raw)'!F:F,'VPLData(raw)'!B:B=454,'VPLData(raw)'!A:A=A21),0)"),"2201")</f>
        <v>2201</v>
      </c>
      <c r="I21">
        <f>IFERROR(__xludf.DUMMYFUNCTION("IFERROR(FILTER('VPLData(raw)'!C:C,'VPLData(raw)'!B:B=457,'VPLData(raw)'!A:A=A21),0)"),"1492696628")</f>
        <v>1492696628</v>
      </c>
      <c r="J21" t="str">
        <f>IFERROR(__xludf.DUMMYFUNCTION("IFERROR(IF(I21&gt;0, FILTER('VPLData(raw)'!E:E,'VPLData(raw)'!B:B=457,'VPLData(raw)'!A:A=A21), 0),0)"),"")</f>
        <v/>
      </c>
      <c r="K21">
        <f>IFERROR(__xludf.DUMMYFUNCTION("IFERROR(FILTER('VPLData(raw)'!F:F,'VPLData(raw)'!B:B=457,'VPLData(raw)'!A:A=A21),0)"),"99")</f>
        <v>99</v>
      </c>
      <c r="L21">
        <f>IFERROR(__xludf.DUMMYFUNCTION("IFERROR(FILTER('VPLData(raw)'!C:C,'VPLData(raw)'!B:B=534,'VPLData(raw)'!A:A=A21),0)"),"0")</f>
        <v>0</v>
      </c>
      <c r="M21">
        <f>IFERROR(__xludf.DUMMYFUNCTION("IFERROR(IF(L21&gt;0, FILTER('VPLData(raw)'!E:E,'VPLData(raw)'!B:B=534,'VPLData(raw)'!A:A=A21), 0),0)"),"0")</f>
        <v>0</v>
      </c>
      <c r="N21">
        <f>IFERROR(__xludf.DUMMYFUNCTION("IFERROR(FILTER('VPLData(raw)'!F:F,'VPLData(raw)'!B:B=534,'VPLData(raw)'!A:A=A21),0)"),"0")</f>
        <v>0</v>
      </c>
      <c r="O21">
        <f>IFERROR(__xludf.DUMMYFUNCTION("IFERROR(FILTER('VPLData(raw)'!C:C,'VPLData(raw)'!B:B=498,'VPLData(raw)'!A:A=A21),0)"),"1492645265")</f>
        <v>1492645265</v>
      </c>
      <c r="P21">
        <f>IFERROR(__xludf.DUMMYFUNCTION("IFERROR(IF(O21&gt;0, FILTER('VPLData(raw)'!E:E,'VPLData(raw)'!B:B=498,'VPLData(raw)'!A:A=A21), 0),0)"),"10")</f>
        <v>10</v>
      </c>
      <c r="Q21">
        <f>IFERROR(__xludf.DUMMYFUNCTION("IFERROR(FILTER('VPLData(raw)'!F:F,'VPLData(raw)'!B:B=498,'VPLData(raw)'!A:A=A21),0)"),"683")</f>
        <v>683</v>
      </c>
      <c r="R21">
        <f>IFERROR(__xludf.DUMMYFUNCTION("IFERROR(FILTER('VPLData(raw)'!C:C,'VPLData(raw)'!B:B=515,'VPLData(raw)'!A:A=A21),0)"),"1492646095")</f>
        <v>1492646095</v>
      </c>
      <c r="S21" t="str">
        <f>IFERROR(__xludf.DUMMYFUNCTION("IFERROR(IF(R21&gt;0, FILTER('VPLData(raw)'!E:E,'VPLData(raw)'!B:B=515,'VPLData(raw)'!A:A=A21), 0),0)"),"")</f>
        <v/>
      </c>
      <c r="T21">
        <f>IFERROR(__xludf.DUMMYFUNCTION("IFERROR(FILTER('VPLData(raw)'!F:F,'VPLData(raw)'!B:B=515,'VPLData(raw)'!A:A=A21),0)"),"4625")</f>
        <v>4625</v>
      </c>
      <c r="U21">
        <f>IFERROR(__xludf.DUMMYFUNCTION("IFERROR(FILTER('VPLData(raw)'!C:C,'VPLData(raw)'!B:B=528,'VPLData(raw)'!A:A=A21),0)"),"1494352639")</f>
        <v>1494352639</v>
      </c>
      <c r="V21">
        <f>IFERROR(__xludf.DUMMYFUNCTION("IFERROR(IF(U21&gt;0, FILTER('VPLData(raw)'!E:E,'VPLData(raw)'!B:B=528,'VPLData(raw)'!A:A=A21), 0),0)"),"10")</f>
        <v>10</v>
      </c>
      <c r="W21">
        <f>IFERROR(__xludf.DUMMYFUNCTION("IFERROR(FILTER('VPLData(raw)'!F:F,'VPLData(raw)'!B:B=528,'VPLData(raw)'!A:A=A21),0)"),"1078")</f>
        <v>1078</v>
      </c>
      <c r="X21">
        <f>IFERROR(__xludf.DUMMYFUNCTION("IFERROR(FILTER('VPLData(raw)'!C:C,'VPLData(raw)'!B:B=524,'VPLData(raw)'!A:A=A21),0)"),"1494861988")</f>
        <v>1494861988</v>
      </c>
      <c r="Y21">
        <f>IFERROR(__xludf.DUMMYFUNCTION("IFERROR(IF(X21&gt;0, FILTER('VPLData(raw)'!E:E,'VPLData(raw)'!B:B=524,'VPLData(raw)'!A:A=A21), 0),0)"),"10")</f>
        <v>10</v>
      </c>
      <c r="Z21">
        <f>IFERROR(__xludf.DUMMYFUNCTION("IFERROR(FILTER('VPLData(raw)'!F:F,'VPLData(raw)'!B:B=524,'VPLData(raw)'!A:A=A21),0)"),"977")</f>
        <v>977</v>
      </c>
      <c r="AA21">
        <f>IFERROR(__xludf.DUMMYFUNCTION("IFERROR(FILTER('VPLData(raw)'!C:C,'VPLData(raw)'!B:B=478,'VPLData(raw)'!A:A=A21),0)"),"1494625823")</f>
        <v>1494625823</v>
      </c>
      <c r="AB21" t="str">
        <f>IFERROR(__xludf.DUMMYFUNCTION("IFERROR(IF(AA21&gt;0, FILTER('VPLData(raw)'!E:E,'VPLData(raw)'!B:B=478,'VPLData(raw)'!A:A=A21), 0),0)"),"")</f>
        <v/>
      </c>
      <c r="AC21">
        <f>IFERROR(__xludf.DUMMYFUNCTION("IFERROR(FILTER('VPLData(raw)'!F:F,'VPLData(raw)'!B:B=478,'VPLData(raw)'!A:A=A21),0)"),"2427")</f>
        <v>2427</v>
      </c>
      <c r="AD21">
        <f>IFERROR(__xludf.DUMMYFUNCTION("IFERROR(FILTER('VPLData(raw)'!C:C,'VPLData(raw)'!B:B=542,'VPLData(raw)'!A:A=A21),0)"),"0")</f>
        <v>0</v>
      </c>
      <c r="AE21">
        <f>IFERROR(__xludf.DUMMYFUNCTION("IFERROR(IF(AD21&gt;0, FILTER('VPLData(raw)'!E:E,'VPLData(raw)'!B:B=542,'VPLData(raw)'!A:A=A21), 0),0)"),"0")</f>
        <v>0</v>
      </c>
      <c r="AF21">
        <f>IFERROR(__xludf.DUMMYFUNCTION("IFERROR(FILTER('VPLData(raw)'!F:F,'VPLData(raw)'!B:B=542,'VPLData(raw)'!A:A=A21),0)"),"0")</f>
        <v>0</v>
      </c>
      <c r="AG21">
        <f>IFERROR(__xludf.DUMMYFUNCTION("IFERROR(FILTER('VPLData(raw)'!C:C,'VPLData(raw)'!B:B=544,'VPLData(raw)'!A:A=A21),0)"),"0")</f>
        <v>0</v>
      </c>
      <c r="AH21">
        <f>IFERROR(__xludf.DUMMYFUNCTION("IFERROR(IF(AG21&gt;0, FILTER('VPLData(raw)'!E:E,'VPLData(raw)'!B:B=544,'VPLData(raw)'!A:A=A21), 0),0)"),"0")</f>
        <v>0</v>
      </c>
      <c r="AI21">
        <f>IFERROR(__xludf.DUMMYFUNCTION("IFERROR(FILTER('VPLData(raw)'!F:F,'VPLData(raw)'!B:B=544,'VPLData(raw)'!A:A=A21),0)"),"0")</f>
        <v>0</v>
      </c>
      <c r="AJ21">
        <f>IFERROR(__xludf.DUMMYFUNCTION("IFERROR(FILTER('VPLData(raw)'!C:C,'VPLData(raw)'!B:B=545,'VPLData(raw)'!A:A=A21),0)"),"1499100092")</f>
        <v>1499100092</v>
      </c>
      <c r="AK21" t="str">
        <f>IFERROR(__xludf.DUMMYFUNCTION("IFERROR(IF(AJ21&gt;0, FILTER('VPLData(raw)'!E:E,'VPLData(raw)'!B:B=545,'VPLData(raw)'!A:A=A21), 0),0)"),"")</f>
        <v/>
      </c>
      <c r="AL21">
        <f>IFERROR(__xludf.DUMMYFUNCTION("IFERROR(FILTER('VPLData(raw)'!F:F,'VPLData(raw)'!B:B=545,'VPLData(raw)'!A:A=A21),0)"),"3551")</f>
        <v>3551</v>
      </c>
    </row>
    <row r="22">
      <c r="A22" s="1">
        <v>10170.0</v>
      </c>
      <c r="B22" s="1">
        <v>1.0260351E7</v>
      </c>
      <c r="C22">
        <f>IFERROR(__xludf.DUMMYFUNCTION("IFERROR(FILTER('VPLData(raw)'!C:C,'VPLData(raw)'!B:B=504,'VPLData(raw)'!A:A=A22),0)"),"0")</f>
        <v>0</v>
      </c>
      <c r="D22" s="7">
        <f>IFERROR(__xludf.DUMMYFUNCTION("IFERROR(IF(C22&gt;0, FILTER('VPLData(raw)'!E:E,'VPLData(raw)'!B:B=504,'VPLData(raw)'!A:A=A22), 0),0)"),"0")</f>
        <v>0</v>
      </c>
      <c r="E22">
        <f>IFERROR(__xludf.DUMMYFUNCTION("IFERROR(FILTER('VPLData(raw)'!F:F,'VPLData(raw)'!B:B=504,'VPLData(raw)'!A:A=A22),0)"),"0")</f>
        <v>0</v>
      </c>
      <c r="F22">
        <f>IFERROR(__xludf.DUMMYFUNCTION("IFERROR(FILTER('VPLData(raw)'!C:C,'VPLData(raw)'!B:B=454,'VPLData(raw)'!A:A=A22),0)"),"1491791894")</f>
        <v>1491791894</v>
      </c>
      <c r="G22" t="str">
        <f>IFERROR(__xludf.DUMMYFUNCTION("IFERROR(IF(F22&gt;0, FILTER('VPLData(raw)'!E:E,'VPLData(raw)'!B:B=454,'VPLData(raw)'!A:A=A22), 0),0)"),"")</f>
        <v/>
      </c>
      <c r="H22">
        <f>IFERROR(__xludf.DUMMYFUNCTION("IFERROR(FILTER('VPLData(raw)'!F:F,'VPLData(raw)'!B:B=454,'VPLData(raw)'!A:A=A22),0)"),"809")</f>
        <v>809</v>
      </c>
      <c r="I22">
        <f>IFERROR(__xludf.DUMMYFUNCTION("IFERROR(FILTER('VPLData(raw)'!C:C,'VPLData(raw)'!B:B=457,'VPLData(raw)'!A:A=A22),0)"),"0")</f>
        <v>0</v>
      </c>
      <c r="J22">
        <f>IFERROR(__xludf.DUMMYFUNCTION("IFERROR(IF(I22&gt;0, FILTER('VPLData(raw)'!E:E,'VPLData(raw)'!B:B=457,'VPLData(raw)'!A:A=A22), 0),0)"),"0")</f>
        <v>0</v>
      </c>
      <c r="K22">
        <f>IFERROR(__xludf.DUMMYFUNCTION("IFERROR(FILTER('VPLData(raw)'!F:F,'VPLData(raw)'!B:B=457,'VPLData(raw)'!A:A=A22),0)"),"0")</f>
        <v>0</v>
      </c>
      <c r="L22">
        <f>IFERROR(__xludf.DUMMYFUNCTION("IFERROR(FILTER('VPLData(raw)'!C:C,'VPLData(raw)'!B:B=534,'VPLData(raw)'!A:A=A22),0)"),"0")</f>
        <v>0</v>
      </c>
      <c r="M22">
        <f>IFERROR(__xludf.DUMMYFUNCTION("IFERROR(IF(L22&gt;0, FILTER('VPLData(raw)'!E:E,'VPLData(raw)'!B:B=534,'VPLData(raw)'!A:A=A22), 0),0)"),"0")</f>
        <v>0</v>
      </c>
      <c r="N22">
        <f>IFERROR(__xludf.DUMMYFUNCTION("IFERROR(FILTER('VPLData(raw)'!F:F,'VPLData(raw)'!B:B=534,'VPLData(raw)'!A:A=A22),0)"),"0")</f>
        <v>0</v>
      </c>
      <c r="O22">
        <f>IFERROR(__xludf.DUMMYFUNCTION("IFERROR(FILTER('VPLData(raw)'!C:C,'VPLData(raw)'!B:B=498,'VPLData(raw)'!A:A=A22),0)"),"0")</f>
        <v>0</v>
      </c>
      <c r="P22">
        <f>IFERROR(__xludf.DUMMYFUNCTION("IFERROR(IF(O22&gt;0, FILTER('VPLData(raw)'!E:E,'VPLData(raw)'!B:B=498,'VPLData(raw)'!A:A=A22), 0),0)"),"0")</f>
        <v>0</v>
      </c>
      <c r="Q22">
        <f>IFERROR(__xludf.DUMMYFUNCTION("IFERROR(FILTER('VPLData(raw)'!F:F,'VPLData(raw)'!B:B=498,'VPLData(raw)'!A:A=A22),0)"),"0")</f>
        <v>0</v>
      </c>
      <c r="R22">
        <f>IFERROR(__xludf.DUMMYFUNCTION("IFERROR(FILTER('VPLData(raw)'!C:C,'VPLData(raw)'!B:B=515,'VPLData(raw)'!A:A=A22),0)"),"0")</f>
        <v>0</v>
      </c>
      <c r="S22">
        <f>IFERROR(__xludf.DUMMYFUNCTION("IFERROR(IF(R22&gt;0, FILTER('VPLData(raw)'!E:E,'VPLData(raw)'!B:B=515,'VPLData(raw)'!A:A=A22), 0),0)"),"0")</f>
        <v>0</v>
      </c>
      <c r="T22">
        <f>IFERROR(__xludf.DUMMYFUNCTION("IFERROR(FILTER('VPLData(raw)'!F:F,'VPLData(raw)'!B:B=515,'VPLData(raw)'!A:A=A22),0)"),"0")</f>
        <v>0</v>
      </c>
      <c r="U22">
        <f>IFERROR(__xludf.DUMMYFUNCTION("IFERROR(FILTER('VPLData(raw)'!C:C,'VPLData(raw)'!B:B=528,'VPLData(raw)'!A:A=A22),0)"),"1495503450")</f>
        <v>1495503450</v>
      </c>
      <c r="V22">
        <f>IFERROR(__xludf.DUMMYFUNCTION("IFERROR(IF(U22&gt;0, FILTER('VPLData(raw)'!E:E,'VPLData(raw)'!B:B=528,'VPLData(raw)'!A:A=A22), 0),0)"),"10")</f>
        <v>10</v>
      </c>
      <c r="W22">
        <f>IFERROR(__xludf.DUMMYFUNCTION("IFERROR(FILTER('VPLData(raw)'!F:F,'VPLData(raw)'!B:B=528,'VPLData(raw)'!A:A=A22),0)"),"172")</f>
        <v>172</v>
      </c>
      <c r="X22">
        <f>IFERROR(__xludf.DUMMYFUNCTION("IFERROR(FILTER('VPLData(raw)'!C:C,'VPLData(raw)'!B:B=524,'VPLData(raw)'!A:A=A22),0)"),"0")</f>
        <v>0</v>
      </c>
      <c r="Y22">
        <f>IFERROR(__xludf.DUMMYFUNCTION("IFERROR(IF(X22&gt;0, FILTER('VPLData(raw)'!E:E,'VPLData(raw)'!B:B=524,'VPLData(raw)'!A:A=A22), 0),0)"),"0")</f>
        <v>0</v>
      </c>
      <c r="Z22">
        <f>IFERROR(__xludf.DUMMYFUNCTION("IFERROR(FILTER('VPLData(raw)'!F:F,'VPLData(raw)'!B:B=524,'VPLData(raw)'!A:A=A22),0)"),"0")</f>
        <v>0</v>
      </c>
      <c r="AA22">
        <f>IFERROR(__xludf.DUMMYFUNCTION("IFERROR(FILTER('VPLData(raw)'!C:C,'VPLData(raw)'!B:B=478,'VPLData(raw)'!A:A=A22),0)"),"0")</f>
        <v>0</v>
      </c>
      <c r="AB22">
        <f>IFERROR(__xludf.DUMMYFUNCTION("IFERROR(IF(AA22&gt;0, FILTER('VPLData(raw)'!E:E,'VPLData(raw)'!B:B=478,'VPLData(raw)'!A:A=A22), 0),0)"),"0")</f>
        <v>0</v>
      </c>
      <c r="AC22">
        <f>IFERROR(__xludf.DUMMYFUNCTION("IFERROR(FILTER('VPLData(raw)'!F:F,'VPLData(raw)'!B:B=478,'VPLData(raw)'!A:A=A22),0)"),"0")</f>
        <v>0</v>
      </c>
      <c r="AD22">
        <f>IFERROR(__xludf.DUMMYFUNCTION("IFERROR(FILTER('VPLData(raw)'!C:C,'VPLData(raw)'!B:B=542,'VPLData(raw)'!A:A=A22),0)"),"1499448179")</f>
        <v>1499448179</v>
      </c>
      <c r="AE22">
        <f>IFERROR(__xludf.DUMMYFUNCTION("IFERROR(IF(AD22&gt;0, FILTER('VPLData(raw)'!E:E,'VPLData(raw)'!B:B=542,'VPLData(raw)'!A:A=A22), 0),0)"),"10")</f>
        <v>10</v>
      </c>
      <c r="AF22">
        <f>IFERROR(__xludf.DUMMYFUNCTION("IFERROR(FILTER('VPLData(raw)'!F:F,'VPLData(raw)'!B:B=542,'VPLData(raw)'!A:A=A22),0)"),"1247")</f>
        <v>1247</v>
      </c>
      <c r="AG22">
        <f>IFERROR(__xludf.DUMMYFUNCTION("IFERROR(FILTER('VPLData(raw)'!C:C,'VPLData(raw)'!B:B=544,'VPLData(raw)'!A:A=A22),0)"),"1499456003")</f>
        <v>1499456003</v>
      </c>
      <c r="AH22">
        <f>IFERROR(__xludf.DUMMYFUNCTION("IFERROR(IF(AG22&gt;0, FILTER('VPLData(raw)'!E:E,'VPLData(raw)'!B:B=544,'VPLData(raw)'!A:A=A22), 0),0)"),"10")</f>
        <v>10</v>
      </c>
      <c r="AI22">
        <f>IFERROR(__xludf.DUMMYFUNCTION("IFERROR(FILTER('VPLData(raw)'!F:F,'VPLData(raw)'!B:B=544,'VPLData(raw)'!A:A=A22),0)"),"1006")</f>
        <v>1006</v>
      </c>
      <c r="AJ22">
        <f>IFERROR(__xludf.DUMMYFUNCTION("IFERROR(FILTER('VPLData(raw)'!C:C,'VPLData(raw)'!B:B=545,'VPLData(raw)'!A:A=A22),0)"),"1499450338")</f>
        <v>1499450338</v>
      </c>
      <c r="AK22">
        <f>IFERROR(__xludf.DUMMYFUNCTION("IFERROR(IF(AJ22&gt;0, FILTER('VPLData(raw)'!E:E,'VPLData(raw)'!B:B=545,'VPLData(raw)'!A:A=A22), 0),0)"),"10")</f>
        <v>10</v>
      </c>
      <c r="AL22">
        <f>IFERROR(__xludf.DUMMYFUNCTION("IFERROR(FILTER('VPLData(raw)'!F:F,'VPLData(raw)'!B:B=545,'VPLData(raw)'!A:A=A22),0)"),"-5189")</f>
        <v>-5189</v>
      </c>
    </row>
    <row r="23">
      <c r="A23" s="1">
        <v>10209.0</v>
      </c>
      <c r="B23" s="1">
        <v>1.0262669E7</v>
      </c>
      <c r="C23">
        <f>IFERROR(__xludf.DUMMYFUNCTION("IFERROR(FILTER('VPLData(raw)'!C:C,'VPLData(raw)'!B:B=504,'VPLData(raw)'!A:A=A23),0)"),"1490977483")</f>
        <v>1490977483</v>
      </c>
      <c r="D23" s="7" t="str">
        <f>IFERROR(__xludf.DUMMYFUNCTION("IFERROR(IF(C23&gt;0, FILTER('VPLData(raw)'!E:E,'VPLData(raw)'!B:B=504,'VPLData(raw)'!A:A=A23), 0),0)"),"")</f>
        <v/>
      </c>
      <c r="E23">
        <f>IFERROR(__xludf.DUMMYFUNCTION("IFERROR(FILTER('VPLData(raw)'!F:F,'VPLData(raw)'!B:B=504,'VPLData(raw)'!A:A=A23),0)"),"2368")</f>
        <v>2368</v>
      </c>
      <c r="F23">
        <f>IFERROR(__xludf.DUMMYFUNCTION("IFERROR(FILTER('VPLData(raw)'!C:C,'VPLData(raw)'!B:B=454,'VPLData(raw)'!A:A=A23),0)"),"1491428709")</f>
        <v>1491428709</v>
      </c>
      <c r="G23">
        <f>IFERROR(__xludf.DUMMYFUNCTION("IFERROR(IF(F23&gt;0, FILTER('VPLData(raw)'!E:E,'VPLData(raw)'!B:B=454,'VPLData(raw)'!A:A=A23), 0),0)"),"10")</f>
        <v>10</v>
      </c>
      <c r="H23">
        <f>IFERROR(__xludf.DUMMYFUNCTION("IFERROR(FILTER('VPLData(raw)'!F:F,'VPLData(raw)'!B:B=454,'VPLData(raw)'!A:A=A23),0)"),"360")</f>
        <v>360</v>
      </c>
      <c r="I23">
        <f>IFERROR(__xludf.DUMMYFUNCTION("IFERROR(FILTER('VPLData(raw)'!C:C,'VPLData(raw)'!B:B=457,'VPLData(raw)'!A:A=A23),0)"),"1492012792")</f>
        <v>1492012792</v>
      </c>
      <c r="J23">
        <f>IFERROR(__xludf.DUMMYFUNCTION("IFERROR(IF(I23&gt;0, FILTER('VPLData(raw)'!E:E,'VPLData(raw)'!B:B=457,'VPLData(raw)'!A:A=A23), 0),0)"),"10")</f>
        <v>10</v>
      </c>
      <c r="K23">
        <f>IFERROR(__xludf.DUMMYFUNCTION("IFERROR(FILTER('VPLData(raw)'!F:F,'VPLData(raw)'!B:B=457,'VPLData(raw)'!A:A=A23),0)"),"1188")</f>
        <v>1188</v>
      </c>
      <c r="L23">
        <f>IFERROR(__xludf.DUMMYFUNCTION("IFERROR(FILTER('VPLData(raw)'!C:C,'VPLData(raw)'!B:B=534,'VPLData(raw)'!A:A=A23),0)"),"0")</f>
        <v>0</v>
      </c>
      <c r="M23">
        <f>IFERROR(__xludf.DUMMYFUNCTION("IFERROR(IF(L23&gt;0, FILTER('VPLData(raw)'!E:E,'VPLData(raw)'!B:B=534,'VPLData(raw)'!A:A=A23), 0),0)"),"0")</f>
        <v>0</v>
      </c>
      <c r="N23">
        <f>IFERROR(__xludf.DUMMYFUNCTION("IFERROR(FILTER('VPLData(raw)'!F:F,'VPLData(raw)'!B:B=534,'VPLData(raw)'!A:A=A23),0)"),"0")</f>
        <v>0</v>
      </c>
      <c r="O23">
        <f>IFERROR(__xludf.DUMMYFUNCTION("IFERROR(FILTER('VPLData(raw)'!C:C,'VPLData(raw)'!B:B=498,'VPLData(raw)'!A:A=A23),0)"),"0")</f>
        <v>0</v>
      </c>
      <c r="P23">
        <f>IFERROR(__xludf.DUMMYFUNCTION("IFERROR(IF(O23&gt;0, FILTER('VPLData(raw)'!E:E,'VPLData(raw)'!B:B=498,'VPLData(raw)'!A:A=A23), 0),0)"),"0")</f>
        <v>0</v>
      </c>
      <c r="Q23">
        <f>IFERROR(__xludf.DUMMYFUNCTION("IFERROR(FILTER('VPLData(raw)'!F:F,'VPLData(raw)'!B:B=498,'VPLData(raw)'!A:A=A23),0)"),"0")</f>
        <v>0</v>
      </c>
      <c r="R23">
        <f>IFERROR(__xludf.DUMMYFUNCTION("IFERROR(FILTER('VPLData(raw)'!C:C,'VPLData(raw)'!B:B=515,'VPLData(raw)'!A:A=A23),0)"),"0")</f>
        <v>0</v>
      </c>
      <c r="S23">
        <f>IFERROR(__xludf.DUMMYFUNCTION("IFERROR(IF(R23&gt;0, FILTER('VPLData(raw)'!E:E,'VPLData(raw)'!B:B=515,'VPLData(raw)'!A:A=A23), 0),0)"),"0")</f>
        <v>0</v>
      </c>
      <c r="T23">
        <f>IFERROR(__xludf.DUMMYFUNCTION("IFERROR(FILTER('VPLData(raw)'!F:F,'VPLData(raw)'!B:B=515,'VPLData(raw)'!A:A=A23),0)"),"0")</f>
        <v>0</v>
      </c>
      <c r="U23">
        <f>IFERROR(__xludf.DUMMYFUNCTION("IFERROR(FILTER('VPLData(raw)'!C:C,'VPLData(raw)'!B:B=528,'VPLData(raw)'!A:A=A23),0)"),"1494979854")</f>
        <v>1494979854</v>
      </c>
      <c r="V23">
        <f>IFERROR(__xludf.DUMMYFUNCTION("IFERROR(IF(U23&gt;0, FILTER('VPLData(raw)'!E:E,'VPLData(raw)'!B:B=528,'VPLData(raw)'!A:A=A23), 0),0)"),"10")</f>
        <v>10</v>
      </c>
      <c r="W23">
        <f>IFERROR(__xludf.DUMMYFUNCTION("IFERROR(FILTER('VPLData(raw)'!F:F,'VPLData(raw)'!B:B=528,'VPLData(raw)'!A:A=A23),0)"),"1946")</f>
        <v>1946</v>
      </c>
      <c r="X23">
        <f>IFERROR(__xludf.DUMMYFUNCTION("IFERROR(FILTER('VPLData(raw)'!C:C,'VPLData(raw)'!B:B=524,'VPLData(raw)'!A:A=A23),0)"),"1495769200")</f>
        <v>1495769200</v>
      </c>
      <c r="Y23" t="str">
        <f>IFERROR(__xludf.DUMMYFUNCTION("IFERROR(IF(X23&gt;0, FILTER('VPLData(raw)'!E:E,'VPLData(raw)'!B:B=524,'VPLData(raw)'!A:A=A23), 0),0)"),"")</f>
        <v/>
      </c>
      <c r="Z23">
        <f>IFERROR(__xludf.DUMMYFUNCTION("IFERROR(FILTER('VPLData(raw)'!F:F,'VPLData(raw)'!B:B=524,'VPLData(raw)'!A:A=A23),0)"),"3179")</f>
        <v>3179</v>
      </c>
      <c r="AA23">
        <f>IFERROR(__xludf.DUMMYFUNCTION("IFERROR(FILTER('VPLData(raw)'!C:C,'VPLData(raw)'!B:B=478,'VPLData(raw)'!A:A=A23),0)"),"0")</f>
        <v>0</v>
      </c>
      <c r="AB23">
        <f>IFERROR(__xludf.DUMMYFUNCTION("IFERROR(IF(AA23&gt;0, FILTER('VPLData(raw)'!E:E,'VPLData(raw)'!B:B=478,'VPLData(raw)'!A:A=A23), 0),0)"),"0")</f>
        <v>0</v>
      </c>
      <c r="AC23">
        <f>IFERROR(__xludf.DUMMYFUNCTION("IFERROR(FILTER('VPLData(raw)'!F:F,'VPLData(raw)'!B:B=478,'VPLData(raw)'!A:A=A23),0)"),"0")</f>
        <v>0</v>
      </c>
      <c r="AD23">
        <f>IFERROR(__xludf.DUMMYFUNCTION("IFERROR(FILTER('VPLData(raw)'!C:C,'VPLData(raw)'!B:B=542,'VPLData(raw)'!A:A=A23),0)"),"1499389334")</f>
        <v>1499389334</v>
      </c>
      <c r="AE23">
        <f>IFERROR(__xludf.DUMMYFUNCTION("IFERROR(IF(AD23&gt;0, FILTER('VPLData(raw)'!E:E,'VPLData(raw)'!B:B=542,'VPLData(raw)'!A:A=A23), 0),0)"),"10")</f>
        <v>10</v>
      </c>
      <c r="AF23">
        <f>IFERROR(__xludf.DUMMYFUNCTION("IFERROR(FILTER('VPLData(raw)'!F:F,'VPLData(raw)'!B:B=542,'VPLData(raw)'!A:A=A23),0)"),"2865")</f>
        <v>2865</v>
      </c>
      <c r="AG23">
        <f>IFERROR(__xludf.DUMMYFUNCTION("IFERROR(FILTER('VPLData(raw)'!C:C,'VPLData(raw)'!B:B=544,'VPLData(raw)'!A:A=A23),0)"),"1499394168")</f>
        <v>1499394168</v>
      </c>
      <c r="AH23">
        <f>IFERROR(__xludf.DUMMYFUNCTION("IFERROR(IF(AG23&gt;0, FILTER('VPLData(raw)'!E:E,'VPLData(raw)'!B:B=544,'VPLData(raw)'!A:A=A23), 0),0)"),"10")</f>
        <v>10</v>
      </c>
      <c r="AI23">
        <f>IFERROR(__xludf.DUMMYFUNCTION("IFERROR(FILTER('VPLData(raw)'!F:F,'VPLData(raw)'!B:B=544,'VPLData(raw)'!A:A=A23),0)"),"7333")</f>
        <v>7333</v>
      </c>
      <c r="AJ23">
        <f>IFERROR(__xludf.DUMMYFUNCTION("IFERROR(FILTER('VPLData(raw)'!C:C,'VPLData(raw)'!B:B=545,'VPLData(raw)'!A:A=A23),0)"),"1499403255")</f>
        <v>1499403255</v>
      </c>
      <c r="AK23" t="str">
        <f>IFERROR(__xludf.DUMMYFUNCTION("IFERROR(IF(AJ23&gt;0, FILTER('VPLData(raw)'!E:E,'VPLData(raw)'!B:B=545,'VPLData(raw)'!A:A=A23), 0),0)"),"")</f>
        <v/>
      </c>
      <c r="AL23">
        <f>IFERROR(__xludf.DUMMYFUNCTION("IFERROR(FILTER('VPLData(raw)'!F:F,'VPLData(raw)'!B:B=545,'VPLData(raw)'!A:A=A23),0)"),"2453")</f>
        <v>2453</v>
      </c>
    </row>
    <row r="24">
      <c r="A24" s="1">
        <v>10172.0</v>
      </c>
      <c r="B24" s="1">
        <v>1.0273971E7</v>
      </c>
      <c r="C24">
        <f>IFERROR(__xludf.DUMMYFUNCTION("IFERROR(FILTER('VPLData(raw)'!C:C,'VPLData(raw)'!B:B=504,'VPLData(raw)'!A:A=A24),0)"),"1490751193")</f>
        <v>1490751193</v>
      </c>
      <c r="D24" s="7">
        <f>IFERROR(__xludf.DUMMYFUNCTION("IFERROR(IF(C24&gt;0, FILTER('VPLData(raw)'!E:E,'VPLData(raw)'!B:B=504,'VPLData(raw)'!A:A=A24), 0),0)"),"10")</f>
        <v>10</v>
      </c>
      <c r="E24">
        <f>IFERROR(__xludf.DUMMYFUNCTION("IFERROR(FILTER('VPLData(raw)'!F:F,'VPLData(raw)'!B:B=504,'VPLData(raw)'!A:A=A24),0)"),"1314")</f>
        <v>1314</v>
      </c>
      <c r="F24">
        <f>IFERROR(__xludf.DUMMYFUNCTION("IFERROR(FILTER('VPLData(raw)'!C:C,'VPLData(raw)'!B:B=454,'VPLData(raw)'!A:A=A24),0)"),"1492456379")</f>
        <v>1492456379</v>
      </c>
      <c r="G24">
        <f>IFERROR(__xludf.DUMMYFUNCTION("IFERROR(IF(F24&gt;0, FILTER('VPLData(raw)'!E:E,'VPLData(raw)'!B:B=454,'VPLData(raw)'!A:A=A24), 0),0)"),"10")</f>
        <v>10</v>
      </c>
      <c r="H24">
        <f>IFERROR(__xludf.DUMMYFUNCTION("IFERROR(FILTER('VPLData(raw)'!F:F,'VPLData(raw)'!B:B=454,'VPLData(raw)'!A:A=A24),0)"),"108")</f>
        <v>108</v>
      </c>
      <c r="I24">
        <f>IFERROR(__xludf.DUMMYFUNCTION("IFERROR(FILTER('VPLData(raw)'!C:C,'VPLData(raw)'!B:B=457,'VPLData(raw)'!A:A=A24),0)"),"1492456619")</f>
        <v>1492456619</v>
      </c>
      <c r="J24">
        <f>IFERROR(__xludf.DUMMYFUNCTION("IFERROR(IF(I24&gt;0, FILTER('VPLData(raw)'!E:E,'VPLData(raw)'!B:B=457,'VPLData(raw)'!A:A=A24), 0),0)"),"10")</f>
        <v>10</v>
      </c>
      <c r="K24">
        <f>IFERROR(__xludf.DUMMYFUNCTION("IFERROR(FILTER('VPLData(raw)'!F:F,'VPLData(raw)'!B:B=457,'VPLData(raw)'!A:A=A24),0)"),"2278")</f>
        <v>2278</v>
      </c>
      <c r="L24">
        <f>IFERROR(__xludf.DUMMYFUNCTION("IFERROR(FILTER('VPLData(raw)'!C:C,'VPLData(raw)'!B:B=534,'VPLData(raw)'!A:A=A24),0)"),"0")</f>
        <v>0</v>
      </c>
      <c r="M24">
        <f>IFERROR(__xludf.DUMMYFUNCTION("IFERROR(IF(L24&gt;0, FILTER('VPLData(raw)'!E:E,'VPLData(raw)'!B:B=534,'VPLData(raw)'!A:A=A24), 0),0)"),"0")</f>
        <v>0</v>
      </c>
      <c r="N24">
        <f>IFERROR(__xludf.DUMMYFUNCTION("IFERROR(FILTER('VPLData(raw)'!F:F,'VPLData(raw)'!B:B=534,'VPLData(raw)'!A:A=A24),0)"),"0")</f>
        <v>0</v>
      </c>
      <c r="O24">
        <f>IFERROR(__xludf.DUMMYFUNCTION("IFERROR(FILTER('VPLData(raw)'!C:C,'VPLData(raw)'!B:B=498,'VPLData(raw)'!A:A=A24),0)"),"1492455544")</f>
        <v>1492455544</v>
      </c>
      <c r="P24">
        <f>IFERROR(__xludf.DUMMYFUNCTION("IFERROR(IF(O24&gt;0, FILTER('VPLData(raw)'!E:E,'VPLData(raw)'!B:B=498,'VPLData(raw)'!A:A=A24), 0),0)"),"10")</f>
        <v>10</v>
      </c>
      <c r="Q24">
        <f>IFERROR(__xludf.DUMMYFUNCTION("IFERROR(FILTER('VPLData(raw)'!F:F,'VPLData(raw)'!B:B=498,'VPLData(raw)'!A:A=A24),0)"),"375")</f>
        <v>375</v>
      </c>
      <c r="R24">
        <f>IFERROR(__xludf.DUMMYFUNCTION("IFERROR(FILTER('VPLData(raw)'!C:C,'VPLData(raw)'!B:B=515,'VPLData(raw)'!A:A=A24),0)"),"1492456062")</f>
        <v>1492456062</v>
      </c>
      <c r="S24">
        <f>IFERROR(__xludf.DUMMYFUNCTION("IFERROR(IF(R24&gt;0, FILTER('VPLData(raw)'!E:E,'VPLData(raw)'!B:B=515,'VPLData(raw)'!A:A=A24), 0),0)"),"10")</f>
        <v>10</v>
      </c>
      <c r="T24">
        <f>IFERROR(__xludf.DUMMYFUNCTION("IFERROR(FILTER('VPLData(raw)'!F:F,'VPLData(raw)'!B:B=515,'VPLData(raw)'!A:A=A24),0)"),"231")</f>
        <v>231</v>
      </c>
      <c r="U24">
        <f>IFERROR(__xludf.DUMMYFUNCTION("IFERROR(FILTER('VPLData(raw)'!C:C,'VPLData(raw)'!B:B=528,'VPLData(raw)'!A:A=A24),0)"),"1494347608")</f>
        <v>1494347608</v>
      </c>
      <c r="V24">
        <f>IFERROR(__xludf.DUMMYFUNCTION("IFERROR(IF(U24&gt;0, FILTER('VPLData(raw)'!E:E,'VPLData(raw)'!B:B=528,'VPLData(raw)'!A:A=A24), 0),0)"),"10")</f>
        <v>10</v>
      </c>
      <c r="W24">
        <f>IFERROR(__xludf.DUMMYFUNCTION("IFERROR(FILTER('VPLData(raw)'!F:F,'VPLData(raw)'!B:B=528,'VPLData(raw)'!A:A=A24),0)"),"277")</f>
        <v>277</v>
      </c>
      <c r="X24">
        <f>IFERROR(__xludf.DUMMYFUNCTION("IFERROR(FILTER('VPLData(raw)'!C:C,'VPLData(raw)'!B:B=524,'VPLData(raw)'!A:A=A24),0)"),"1494348100")</f>
        <v>1494348100</v>
      </c>
      <c r="Y24">
        <f>IFERROR(__xludf.DUMMYFUNCTION("IFERROR(IF(X24&gt;0, FILTER('VPLData(raw)'!E:E,'VPLData(raw)'!B:B=524,'VPLData(raw)'!A:A=A24), 0),0)"),"10")</f>
        <v>10</v>
      </c>
      <c r="Z24">
        <f>IFERROR(__xludf.DUMMYFUNCTION("IFERROR(FILTER('VPLData(raw)'!F:F,'VPLData(raw)'!B:B=524,'VPLData(raw)'!A:A=A24),0)"),"272")</f>
        <v>272</v>
      </c>
      <c r="AA24">
        <f>IFERROR(__xludf.DUMMYFUNCTION("IFERROR(FILTER('VPLData(raw)'!C:C,'VPLData(raw)'!B:B=478,'VPLData(raw)'!A:A=A24),0)"),"1494442023")</f>
        <v>1494442023</v>
      </c>
      <c r="AB24" t="str">
        <f>IFERROR(__xludf.DUMMYFUNCTION("IFERROR(IF(AA24&gt;0, FILTER('VPLData(raw)'!E:E,'VPLData(raw)'!B:B=478,'VPLData(raw)'!A:A=A24), 0),0)"),"")</f>
        <v/>
      </c>
      <c r="AC24">
        <f>IFERROR(__xludf.DUMMYFUNCTION("IFERROR(FILTER('VPLData(raw)'!F:F,'VPLData(raw)'!B:B=478,'VPLData(raw)'!A:A=A24),0)"),"6201")</f>
        <v>6201</v>
      </c>
      <c r="AD24">
        <f>IFERROR(__xludf.DUMMYFUNCTION("IFERROR(FILTER('VPLData(raw)'!C:C,'VPLData(raw)'!B:B=542,'VPLData(raw)'!A:A=A24),0)"),"1499476055")</f>
        <v>1499476055</v>
      </c>
      <c r="AE24">
        <f>IFERROR(__xludf.DUMMYFUNCTION("IFERROR(IF(AD24&gt;0, FILTER('VPLData(raw)'!E:E,'VPLData(raw)'!B:B=542,'VPLData(raw)'!A:A=A24), 0),0)"),"10")</f>
        <v>10</v>
      </c>
      <c r="AF24">
        <f>IFERROR(__xludf.DUMMYFUNCTION("IFERROR(FILTER('VPLData(raw)'!F:F,'VPLData(raw)'!B:B=542,'VPLData(raw)'!A:A=A24),0)"),"1586")</f>
        <v>1586</v>
      </c>
      <c r="AG24">
        <f>IFERROR(__xludf.DUMMYFUNCTION("IFERROR(FILTER('VPLData(raw)'!C:C,'VPLData(raw)'!B:B=544,'VPLData(raw)'!A:A=A24),0)"),"1499477045")</f>
        <v>1499477045</v>
      </c>
      <c r="AH24">
        <f>IFERROR(__xludf.DUMMYFUNCTION("IFERROR(IF(AG24&gt;0, FILTER('VPLData(raw)'!E:E,'VPLData(raw)'!B:B=544,'VPLData(raw)'!A:A=A24), 0),0)"),"10")</f>
        <v>10</v>
      </c>
      <c r="AI24">
        <f>IFERROR(__xludf.DUMMYFUNCTION("IFERROR(FILTER('VPLData(raw)'!F:F,'VPLData(raw)'!B:B=544,'VPLData(raw)'!A:A=A24),0)"),"1483")</f>
        <v>1483</v>
      </c>
      <c r="AJ24">
        <f>IFERROR(__xludf.DUMMYFUNCTION("IFERROR(FILTER('VPLData(raw)'!C:C,'VPLData(raw)'!B:B=545,'VPLData(raw)'!A:A=A24),0)"),"1499481825")</f>
        <v>1499481825</v>
      </c>
      <c r="AK24">
        <f>IFERROR(__xludf.DUMMYFUNCTION("IFERROR(IF(AJ24&gt;0, FILTER('VPLData(raw)'!E:E,'VPLData(raw)'!B:B=545,'VPLData(raw)'!A:A=A24), 0),0)"),"10")</f>
        <v>10</v>
      </c>
      <c r="AL24">
        <f>IFERROR(__xludf.DUMMYFUNCTION("IFERROR(FILTER('VPLData(raw)'!F:F,'VPLData(raw)'!B:B=545,'VPLData(raw)'!A:A=A24),0)"),"675")</f>
        <v>675</v>
      </c>
    </row>
    <row r="25">
      <c r="A25" s="1">
        <v>10240.0</v>
      </c>
      <c r="B25" s="1">
        <v>1.0276654E7</v>
      </c>
      <c r="C25">
        <f>IFERROR(__xludf.DUMMYFUNCTION("IFERROR(FILTER('VPLData(raw)'!C:C,'VPLData(raw)'!B:B=504,'VPLData(raw)'!A:A=A25),0)"),"0")</f>
        <v>0</v>
      </c>
      <c r="D25" s="7">
        <f>IFERROR(__xludf.DUMMYFUNCTION("IFERROR(IF(C25&gt;0, FILTER('VPLData(raw)'!E:E,'VPLData(raw)'!B:B=504,'VPLData(raw)'!A:A=A25), 0),0)"),"0")</f>
        <v>0</v>
      </c>
      <c r="E25">
        <f>IFERROR(__xludf.DUMMYFUNCTION("IFERROR(FILTER('VPLData(raw)'!F:F,'VPLData(raw)'!B:B=504,'VPLData(raw)'!A:A=A25),0)"),"0")</f>
        <v>0</v>
      </c>
      <c r="F25">
        <f>IFERROR(__xludf.DUMMYFUNCTION("IFERROR(FILTER('VPLData(raw)'!C:C,'VPLData(raw)'!B:B=454,'VPLData(raw)'!A:A=A25),0)"),"1491409459")</f>
        <v>1491409459</v>
      </c>
      <c r="G25">
        <f>IFERROR(__xludf.DUMMYFUNCTION("IFERROR(IF(F25&gt;0, FILTER('VPLData(raw)'!E:E,'VPLData(raw)'!B:B=454,'VPLData(raw)'!A:A=A25), 0),0)"),"10")</f>
        <v>10</v>
      </c>
      <c r="H25">
        <f>IFERROR(__xludf.DUMMYFUNCTION("IFERROR(FILTER('VPLData(raw)'!F:F,'VPLData(raw)'!B:B=454,'VPLData(raw)'!A:A=A25),0)"),"1011")</f>
        <v>1011</v>
      </c>
      <c r="I25">
        <f>IFERROR(__xludf.DUMMYFUNCTION("IFERROR(FILTER('VPLData(raw)'!C:C,'VPLData(raw)'!B:B=457,'VPLData(raw)'!A:A=A25),0)"),"0")</f>
        <v>0</v>
      </c>
      <c r="J25">
        <f>IFERROR(__xludf.DUMMYFUNCTION("IFERROR(IF(I25&gt;0, FILTER('VPLData(raw)'!E:E,'VPLData(raw)'!B:B=457,'VPLData(raw)'!A:A=A25), 0),0)"),"0")</f>
        <v>0</v>
      </c>
      <c r="K25">
        <f>IFERROR(__xludf.DUMMYFUNCTION("IFERROR(FILTER('VPLData(raw)'!F:F,'VPLData(raw)'!B:B=457,'VPLData(raw)'!A:A=A25),0)"),"0")</f>
        <v>0</v>
      </c>
      <c r="L25">
        <f>IFERROR(__xludf.DUMMYFUNCTION("IFERROR(FILTER('VPLData(raw)'!C:C,'VPLData(raw)'!B:B=534,'VPLData(raw)'!A:A=A25),0)"),"0")</f>
        <v>0</v>
      </c>
      <c r="M25">
        <f>IFERROR(__xludf.DUMMYFUNCTION("IFERROR(IF(L25&gt;0, FILTER('VPLData(raw)'!E:E,'VPLData(raw)'!B:B=534,'VPLData(raw)'!A:A=A25), 0),0)"),"0")</f>
        <v>0</v>
      </c>
      <c r="N25">
        <f>IFERROR(__xludf.DUMMYFUNCTION("IFERROR(FILTER('VPLData(raw)'!F:F,'VPLData(raw)'!B:B=534,'VPLData(raw)'!A:A=A25),0)"),"0")</f>
        <v>0</v>
      </c>
      <c r="O25">
        <f>IFERROR(__xludf.DUMMYFUNCTION("IFERROR(FILTER('VPLData(raw)'!C:C,'VPLData(raw)'!B:B=498,'VPLData(raw)'!A:A=A25),0)"),"1492528581")</f>
        <v>1492528581</v>
      </c>
      <c r="P25">
        <f>IFERROR(__xludf.DUMMYFUNCTION("IFERROR(IF(O25&gt;0, FILTER('VPLData(raw)'!E:E,'VPLData(raw)'!B:B=498,'VPLData(raw)'!A:A=A25), 0),0)"),"10")</f>
        <v>10</v>
      </c>
      <c r="Q25">
        <f>IFERROR(__xludf.DUMMYFUNCTION("IFERROR(FILTER('VPLData(raw)'!F:F,'VPLData(raw)'!B:B=498,'VPLData(raw)'!A:A=A25),0)"),"1394")</f>
        <v>1394</v>
      </c>
      <c r="R25">
        <f>IFERROR(__xludf.DUMMYFUNCTION("IFERROR(FILTER('VPLData(raw)'!C:C,'VPLData(raw)'!B:B=515,'VPLData(raw)'!A:A=A25),0)"),"1492528340")</f>
        <v>1492528340</v>
      </c>
      <c r="S25">
        <f>IFERROR(__xludf.DUMMYFUNCTION("IFERROR(IF(R25&gt;0, FILTER('VPLData(raw)'!E:E,'VPLData(raw)'!B:B=515,'VPLData(raw)'!A:A=A25), 0),0)"),"10")</f>
        <v>10</v>
      </c>
      <c r="T25">
        <f>IFERROR(__xludf.DUMMYFUNCTION("IFERROR(FILTER('VPLData(raw)'!F:F,'VPLData(raw)'!B:B=515,'VPLData(raw)'!A:A=A25),0)"),"3966")</f>
        <v>3966</v>
      </c>
      <c r="U25">
        <f>IFERROR(__xludf.DUMMYFUNCTION("IFERROR(FILTER('VPLData(raw)'!C:C,'VPLData(raw)'!B:B=528,'VPLData(raw)'!A:A=A25),0)"),"1494368599")</f>
        <v>1494368599</v>
      </c>
      <c r="V25">
        <f>IFERROR(__xludf.DUMMYFUNCTION("IFERROR(IF(U25&gt;0, FILTER('VPLData(raw)'!E:E,'VPLData(raw)'!B:B=528,'VPLData(raw)'!A:A=A25), 0),0)"),"10")</f>
        <v>10</v>
      </c>
      <c r="W25">
        <f>IFERROR(__xludf.DUMMYFUNCTION("IFERROR(FILTER('VPLData(raw)'!F:F,'VPLData(raw)'!B:B=528,'VPLData(raw)'!A:A=A25),0)"),"545")</f>
        <v>545</v>
      </c>
      <c r="X25">
        <f>IFERROR(__xludf.DUMMYFUNCTION("IFERROR(FILTER('VPLData(raw)'!C:C,'VPLData(raw)'!B:B=524,'VPLData(raw)'!A:A=A25),0)"),"1494375257")</f>
        <v>1494375257</v>
      </c>
      <c r="Y25">
        <f>IFERROR(__xludf.DUMMYFUNCTION("IFERROR(IF(X25&gt;0, FILTER('VPLData(raw)'!E:E,'VPLData(raw)'!B:B=524,'VPLData(raw)'!A:A=A25), 0),0)"),"10")</f>
        <v>10</v>
      </c>
      <c r="Z25">
        <f>IFERROR(__xludf.DUMMYFUNCTION("IFERROR(FILTER('VPLData(raw)'!F:F,'VPLData(raw)'!B:B=524,'VPLData(raw)'!A:A=A25),0)"),"529")</f>
        <v>529</v>
      </c>
      <c r="AA25">
        <f>IFERROR(__xludf.DUMMYFUNCTION("IFERROR(FILTER('VPLData(raw)'!C:C,'VPLData(raw)'!B:B=478,'VPLData(raw)'!A:A=A25),0)"),"1494886099")</f>
        <v>1494886099</v>
      </c>
      <c r="AB25">
        <f>IFERROR(__xludf.DUMMYFUNCTION("IFERROR(IF(AA25&gt;0, FILTER('VPLData(raw)'!E:E,'VPLData(raw)'!B:B=478,'VPLData(raw)'!A:A=A25), 0),0)"),"10")</f>
        <v>10</v>
      </c>
      <c r="AC25">
        <f>IFERROR(__xludf.DUMMYFUNCTION("IFERROR(FILTER('VPLData(raw)'!F:F,'VPLData(raw)'!B:B=478,'VPLData(raw)'!A:A=A25),0)"),"5611")</f>
        <v>5611</v>
      </c>
      <c r="AD25">
        <f>IFERROR(__xludf.DUMMYFUNCTION("IFERROR(FILTER('VPLData(raw)'!C:C,'VPLData(raw)'!B:B=542,'VPLData(raw)'!A:A=A25),0)"),"1499443878")</f>
        <v>1499443878</v>
      </c>
      <c r="AE25">
        <f>IFERROR(__xludf.DUMMYFUNCTION("IFERROR(IF(AD25&gt;0, FILTER('VPLData(raw)'!E:E,'VPLData(raw)'!B:B=542,'VPLData(raw)'!A:A=A25), 0),0)"),"10")</f>
        <v>10</v>
      </c>
      <c r="AF25">
        <f>IFERROR(__xludf.DUMMYFUNCTION("IFERROR(FILTER('VPLData(raw)'!F:F,'VPLData(raw)'!B:B=542,'VPLData(raw)'!A:A=A25),0)"),"291")</f>
        <v>291</v>
      </c>
      <c r="AG25">
        <f>IFERROR(__xludf.DUMMYFUNCTION("IFERROR(FILTER('VPLData(raw)'!C:C,'VPLData(raw)'!B:B=544,'VPLData(raw)'!A:A=A25),0)"),"0")</f>
        <v>0</v>
      </c>
      <c r="AH25">
        <f>IFERROR(__xludf.DUMMYFUNCTION("IFERROR(IF(AG25&gt;0, FILTER('VPLData(raw)'!E:E,'VPLData(raw)'!B:B=544,'VPLData(raw)'!A:A=A25), 0),0)"),"0")</f>
        <v>0</v>
      </c>
      <c r="AI25">
        <f>IFERROR(__xludf.DUMMYFUNCTION("IFERROR(FILTER('VPLData(raw)'!F:F,'VPLData(raw)'!B:B=544,'VPLData(raw)'!A:A=A25),0)"),"0")</f>
        <v>0</v>
      </c>
      <c r="AJ25">
        <f>IFERROR(__xludf.DUMMYFUNCTION("IFERROR(FILTER('VPLData(raw)'!C:C,'VPLData(raw)'!B:B=545,'VPLData(raw)'!A:A=A25),0)"),"0")</f>
        <v>0</v>
      </c>
      <c r="AK25">
        <f>IFERROR(__xludf.DUMMYFUNCTION("IFERROR(IF(AJ25&gt;0, FILTER('VPLData(raw)'!E:E,'VPLData(raw)'!B:B=545,'VPLData(raw)'!A:A=A25), 0),0)"),"0")</f>
        <v>0</v>
      </c>
      <c r="AL25">
        <f>IFERROR(__xludf.DUMMYFUNCTION("IFERROR(FILTER('VPLData(raw)'!F:F,'VPLData(raw)'!B:B=545,'VPLData(raw)'!A:A=A25),0)"),"0")</f>
        <v>0</v>
      </c>
    </row>
    <row r="26">
      <c r="A26" s="1">
        <v>10197.0</v>
      </c>
      <c r="B26" s="1">
        <v>1.0276661E7</v>
      </c>
      <c r="C26">
        <f>IFERROR(__xludf.DUMMYFUNCTION("IFERROR(FILTER('VPLData(raw)'!C:C,'VPLData(raw)'!B:B=504,'VPLData(raw)'!A:A=A26),0)"),"0")</f>
        <v>0</v>
      </c>
      <c r="D26" s="7">
        <f>IFERROR(__xludf.DUMMYFUNCTION("IFERROR(IF(C26&gt;0, FILTER('VPLData(raw)'!E:E,'VPLData(raw)'!B:B=504,'VPLData(raw)'!A:A=A26), 0),0)"),"0")</f>
        <v>0</v>
      </c>
      <c r="E26">
        <f>IFERROR(__xludf.DUMMYFUNCTION("IFERROR(FILTER('VPLData(raw)'!F:F,'VPLData(raw)'!B:B=504,'VPLData(raw)'!A:A=A26),0)"),"0")</f>
        <v>0</v>
      </c>
      <c r="F26">
        <f>IFERROR(__xludf.DUMMYFUNCTION("IFERROR(FILTER('VPLData(raw)'!C:C,'VPLData(raw)'!B:B=454,'VPLData(raw)'!A:A=A26),0)"),"1491912967")</f>
        <v>1491912967</v>
      </c>
      <c r="G26">
        <f>IFERROR(__xludf.DUMMYFUNCTION("IFERROR(IF(F26&gt;0, FILTER('VPLData(raw)'!E:E,'VPLData(raw)'!B:B=454,'VPLData(raw)'!A:A=A26), 0),0)"),"10")</f>
        <v>10</v>
      </c>
      <c r="H26">
        <f>IFERROR(__xludf.DUMMYFUNCTION("IFERROR(FILTER('VPLData(raw)'!F:F,'VPLData(raw)'!B:B=454,'VPLData(raw)'!A:A=A26),0)"),"1565")</f>
        <v>1565</v>
      </c>
      <c r="I26">
        <f>IFERROR(__xludf.DUMMYFUNCTION("IFERROR(FILTER('VPLData(raw)'!C:C,'VPLData(raw)'!B:B=457,'VPLData(raw)'!A:A=A26),0)"),"0")</f>
        <v>0</v>
      </c>
      <c r="J26">
        <f>IFERROR(__xludf.DUMMYFUNCTION("IFERROR(IF(I26&gt;0, FILTER('VPLData(raw)'!E:E,'VPLData(raw)'!B:B=457,'VPLData(raw)'!A:A=A26), 0),0)"),"0")</f>
        <v>0</v>
      </c>
      <c r="K26">
        <f>IFERROR(__xludf.DUMMYFUNCTION("IFERROR(FILTER('VPLData(raw)'!F:F,'VPLData(raw)'!B:B=457,'VPLData(raw)'!A:A=A26),0)"),"0")</f>
        <v>0</v>
      </c>
      <c r="L26">
        <f>IFERROR(__xludf.DUMMYFUNCTION("IFERROR(FILTER('VPLData(raw)'!C:C,'VPLData(raw)'!B:B=534,'VPLData(raw)'!A:A=A26),0)"),"1495579898")</f>
        <v>1495579898</v>
      </c>
      <c r="M26">
        <f>IFERROR(__xludf.DUMMYFUNCTION("IFERROR(IF(L26&gt;0, FILTER('VPLData(raw)'!E:E,'VPLData(raw)'!B:B=534,'VPLData(raw)'!A:A=A26), 0),0)"),"10")</f>
        <v>10</v>
      </c>
      <c r="N26">
        <f>IFERROR(__xludf.DUMMYFUNCTION("IFERROR(FILTER('VPLData(raw)'!F:F,'VPLData(raw)'!B:B=534,'VPLData(raw)'!A:A=A26),0)"),"8693")</f>
        <v>8693</v>
      </c>
      <c r="O26">
        <f>IFERROR(__xludf.DUMMYFUNCTION("IFERROR(FILTER('VPLData(raw)'!C:C,'VPLData(raw)'!B:B=498,'VPLData(raw)'!A:A=A26),0)"),"1492548595")</f>
        <v>1492548595</v>
      </c>
      <c r="P26">
        <f>IFERROR(__xludf.DUMMYFUNCTION("IFERROR(IF(O26&gt;0, FILTER('VPLData(raw)'!E:E,'VPLData(raw)'!B:B=498,'VPLData(raw)'!A:A=A26), 0),0)"),"10")</f>
        <v>10</v>
      </c>
      <c r="Q26">
        <f>IFERROR(__xludf.DUMMYFUNCTION("IFERROR(FILTER('VPLData(raw)'!F:F,'VPLData(raw)'!B:B=498,'VPLData(raw)'!A:A=A26),0)"),"5906")</f>
        <v>5906</v>
      </c>
      <c r="R26">
        <f>IFERROR(__xludf.DUMMYFUNCTION("IFERROR(FILTER('VPLData(raw)'!C:C,'VPLData(raw)'!B:B=515,'VPLData(raw)'!A:A=A26),0)"),"1492946751")</f>
        <v>1492946751</v>
      </c>
      <c r="S26">
        <f>IFERROR(__xludf.DUMMYFUNCTION("IFERROR(IF(R26&gt;0, FILTER('VPLData(raw)'!E:E,'VPLData(raw)'!B:B=515,'VPLData(raw)'!A:A=A26), 0),0)"),"10")</f>
        <v>10</v>
      </c>
      <c r="T26">
        <f>IFERROR(__xludf.DUMMYFUNCTION("IFERROR(FILTER('VPLData(raw)'!F:F,'VPLData(raw)'!B:B=515,'VPLData(raw)'!A:A=A26),0)"),"3040")</f>
        <v>3040</v>
      </c>
      <c r="U26">
        <f>IFERROR(__xludf.DUMMYFUNCTION("IFERROR(FILTER('VPLData(raw)'!C:C,'VPLData(raw)'!B:B=528,'VPLData(raw)'!A:A=A26),0)"),"1494865832")</f>
        <v>1494865832</v>
      </c>
      <c r="V26">
        <f>IFERROR(__xludf.DUMMYFUNCTION("IFERROR(IF(U26&gt;0, FILTER('VPLData(raw)'!E:E,'VPLData(raw)'!B:B=528,'VPLData(raw)'!A:A=A26), 0),0)"),"10")</f>
        <v>10</v>
      </c>
      <c r="W26">
        <f>IFERROR(__xludf.DUMMYFUNCTION("IFERROR(FILTER('VPLData(raw)'!F:F,'VPLData(raw)'!B:B=528,'VPLData(raw)'!A:A=A26),0)"),"3406")</f>
        <v>3406</v>
      </c>
      <c r="X26">
        <f>IFERROR(__xludf.DUMMYFUNCTION("IFERROR(FILTER('VPLData(raw)'!C:C,'VPLData(raw)'!B:B=524,'VPLData(raw)'!A:A=A26),0)"),"1494877955")</f>
        <v>1494877955</v>
      </c>
      <c r="Y26">
        <f>IFERROR(__xludf.DUMMYFUNCTION("IFERROR(IF(X26&gt;0, FILTER('VPLData(raw)'!E:E,'VPLData(raw)'!B:B=524,'VPLData(raw)'!A:A=A26), 0),0)"),"10")</f>
        <v>10</v>
      </c>
      <c r="Z26">
        <f>IFERROR(__xludf.DUMMYFUNCTION("IFERROR(FILTER('VPLData(raw)'!F:F,'VPLData(raw)'!B:B=524,'VPLData(raw)'!A:A=A26),0)"),"2748")</f>
        <v>2748</v>
      </c>
      <c r="AA26">
        <f>IFERROR(__xludf.DUMMYFUNCTION("IFERROR(FILTER('VPLData(raw)'!C:C,'VPLData(raw)'!B:B=478,'VPLData(raw)'!A:A=A26),0)"),"1495564317")</f>
        <v>1495564317</v>
      </c>
      <c r="AB26" t="str">
        <f>IFERROR(__xludf.DUMMYFUNCTION("IFERROR(IF(AA26&gt;0, FILTER('VPLData(raw)'!E:E,'VPLData(raw)'!B:B=478,'VPLData(raw)'!A:A=A26), 0),0)"),"")</f>
        <v/>
      </c>
      <c r="AC26">
        <f>IFERROR(__xludf.DUMMYFUNCTION("IFERROR(FILTER('VPLData(raw)'!F:F,'VPLData(raw)'!B:B=478,'VPLData(raw)'!A:A=A26),0)"),"578")</f>
        <v>578</v>
      </c>
      <c r="AD26">
        <f>IFERROR(__xludf.DUMMYFUNCTION("IFERROR(FILTER('VPLData(raw)'!C:C,'VPLData(raw)'!B:B=542,'VPLData(raw)'!A:A=A26),0)"),"1497990540")</f>
        <v>1497990540</v>
      </c>
      <c r="AE26">
        <f>IFERROR(__xludf.DUMMYFUNCTION("IFERROR(IF(AD26&gt;0, FILTER('VPLData(raw)'!E:E,'VPLData(raw)'!B:B=542,'VPLData(raw)'!A:A=A26), 0),0)"),"10")</f>
        <v>10</v>
      </c>
      <c r="AF26">
        <f>IFERROR(__xludf.DUMMYFUNCTION("IFERROR(FILTER('VPLData(raw)'!F:F,'VPLData(raw)'!B:B=542,'VPLData(raw)'!A:A=A26),0)"),"3020")</f>
        <v>3020</v>
      </c>
      <c r="AG26">
        <f>IFERROR(__xludf.DUMMYFUNCTION("IFERROR(FILTER('VPLData(raw)'!C:C,'VPLData(raw)'!B:B=544,'VPLData(raw)'!A:A=A26),0)"),"0")</f>
        <v>0</v>
      </c>
      <c r="AH26">
        <f>IFERROR(__xludf.DUMMYFUNCTION("IFERROR(IF(AG26&gt;0, FILTER('VPLData(raw)'!E:E,'VPLData(raw)'!B:B=544,'VPLData(raw)'!A:A=A26), 0),0)"),"0")</f>
        <v>0</v>
      </c>
      <c r="AI26">
        <f>IFERROR(__xludf.DUMMYFUNCTION("IFERROR(FILTER('VPLData(raw)'!F:F,'VPLData(raw)'!B:B=544,'VPLData(raw)'!A:A=A26),0)"),"0")</f>
        <v>0</v>
      </c>
      <c r="AJ26">
        <f>IFERROR(__xludf.DUMMYFUNCTION("IFERROR(FILTER('VPLData(raw)'!C:C,'VPLData(raw)'!B:B=545,'VPLData(raw)'!A:A=A26),0)"),"0")</f>
        <v>0</v>
      </c>
      <c r="AK26">
        <f>IFERROR(__xludf.DUMMYFUNCTION("IFERROR(IF(AJ26&gt;0, FILTER('VPLData(raw)'!E:E,'VPLData(raw)'!B:B=545,'VPLData(raw)'!A:A=A26), 0),0)"),"0")</f>
        <v>0</v>
      </c>
      <c r="AL26">
        <f>IFERROR(__xludf.DUMMYFUNCTION("IFERROR(FILTER('VPLData(raw)'!F:F,'VPLData(raw)'!B:B=545,'VPLData(raw)'!A:A=A26),0)"),"0")</f>
        <v>0</v>
      </c>
    </row>
    <row r="27">
      <c r="A27" s="1">
        <v>10184.0</v>
      </c>
      <c r="B27" s="1">
        <v>1.0276675E7</v>
      </c>
      <c r="C27">
        <f>IFERROR(__xludf.DUMMYFUNCTION("IFERROR(FILTER('VPLData(raw)'!C:C,'VPLData(raw)'!B:B=504,'VPLData(raw)'!A:A=A27),0)"),"1490808515")</f>
        <v>1490808515</v>
      </c>
      <c r="D27" s="7">
        <f>IFERROR(__xludf.DUMMYFUNCTION("IFERROR(IF(C27&gt;0, FILTER('VPLData(raw)'!E:E,'VPLData(raw)'!B:B=504,'VPLData(raw)'!A:A=A27), 0),0)"),"10")</f>
        <v>10</v>
      </c>
      <c r="E27">
        <f>IFERROR(__xludf.DUMMYFUNCTION("IFERROR(FILTER('VPLData(raw)'!F:F,'VPLData(raw)'!B:B=504,'VPLData(raw)'!A:A=A27),0)"),"734")</f>
        <v>734</v>
      </c>
      <c r="F27">
        <f>IFERROR(__xludf.DUMMYFUNCTION("IFERROR(FILTER('VPLData(raw)'!C:C,'VPLData(raw)'!B:B=454,'VPLData(raw)'!A:A=A27),0)"),"1491359298")</f>
        <v>1491359298</v>
      </c>
      <c r="G27">
        <f>IFERROR(__xludf.DUMMYFUNCTION("IFERROR(IF(F27&gt;0, FILTER('VPLData(raw)'!E:E,'VPLData(raw)'!B:B=454,'VPLData(raw)'!A:A=A27), 0),0)"),"10")</f>
        <v>10</v>
      </c>
      <c r="H27">
        <f>IFERROR(__xludf.DUMMYFUNCTION("IFERROR(FILTER('VPLData(raw)'!F:F,'VPLData(raw)'!B:B=454,'VPLData(raw)'!A:A=A27),0)"),"997")</f>
        <v>997</v>
      </c>
      <c r="I27">
        <f>IFERROR(__xludf.DUMMYFUNCTION("IFERROR(FILTER('VPLData(raw)'!C:C,'VPLData(raw)'!B:B=457,'VPLData(raw)'!A:A=A27),0)"),"1491609232")</f>
        <v>1491609232</v>
      </c>
      <c r="J27">
        <f>IFERROR(__xludf.DUMMYFUNCTION("IFERROR(IF(I27&gt;0, FILTER('VPLData(raw)'!E:E,'VPLData(raw)'!B:B=457,'VPLData(raw)'!A:A=A27), 0),0)"),"10")</f>
        <v>10</v>
      </c>
      <c r="K27">
        <f>IFERROR(__xludf.DUMMYFUNCTION("IFERROR(FILTER('VPLData(raw)'!F:F,'VPLData(raw)'!B:B=457,'VPLData(raw)'!A:A=A27),0)"),"809")</f>
        <v>809</v>
      </c>
      <c r="L27">
        <f>IFERROR(__xludf.DUMMYFUNCTION("IFERROR(FILTER('VPLData(raw)'!C:C,'VPLData(raw)'!B:B=534,'VPLData(raw)'!A:A=A27),0)"),"1495579420")</f>
        <v>1495579420</v>
      </c>
      <c r="M27">
        <f>IFERROR(__xludf.DUMMYFUNCTION("IFERROR(IF(L27&gt;0, FILTER('VPLData(raw)'!E:E,'VPLData(raw)'!B:B=534,'VPLData(raw)'!A:A=A27), 0),0)"),"10")</f>
        <v>10</v>
      </c>
      <c r="N27">
        <f>IFERROR(__xludf.DUMMYFUNCTION("IFERROR(FILTER('VPLData(raw)'!F:F,'VPLData(raw)'!B:B=534,'VPLData(raw)'!A:A=A27),0)"),"9838")</f>
        <v>9838</v>
      </c>
      <c r="O27">
        <f>IFERROR(__xludf.DUMMYFUNCTION("IFERROR(FILTER('VPLData(raw)'!C:C,'VPLData(raw)'!B:B=498,'VPLData(raw)'!A:A=A27),0)"),"1492445317")</f>
        <v>1492445317</v>
      </c>
      <c r="P27">
        <f>IFERROR(__xludf.DUMMYFUNCTION("IFERROR(IF(O27&gt;0, FILTER('VPLData(raw)'!E:E,'VPLData(raw)'!B:B=498,'VPLData(raw)'!A:A=A27), 0),0)"),"10")</f>
        <v>10</v>
      </c>
      <c r="Q27">
        <f>IFERROR(__xludf.DUMMYFUNCTION("IFERROR(FILTER('VPLData(raw)'!F:F,'VPLData(raw)'!B:B=498,'VPLData(raw)'!A:A=A27),0)"),"317")</f>
        <v>317</v>
      </c>
      <c r="R27">
        <f>IFERROR(__xludf.DUMMYFUNCTION("IFERROR(FILTER('VPLData(raw)'!C:C,'VPLData(raw)'!B:B=515,'VPLData(raw)'!A:A=A27),0)"),"1492446764")</f>
        <v>1492446764</v>
      </c>
      <c r="S27">
        <f>IFERROR(__xludf.DUMMYFUNCTION("IFERROR(IF(R27&gt;0, FILTER('VPLData(raw)'!E:E,'VPLData(raw)'!B:B=515,'VPLData(raw)'!A:A=A27), 0),0)"),"10")</f>
        <v>10</v>
      </c>
      <c r="T27">
        <f>IFERROR(__xludf.DUMMYFUNCTION("IFERROR(FILTER('VPLData(raw)'!F:F,'VPLData(raw)'!B:B=515,'VPLData(raw)'!A:A=A27),0)"),"664")</f>
        <v>664</v>
      </c>
      <c r="U27">
        <f>IFERROR(__xludf.DUMMYFUNCTION("IFERROR(FILTER('VPLData(raw)'!C:C,'VPLData(raw)'!B:B=528,'VPLData(raw)'!A:A=A27),0)"),"1494376546")</f>
        <v>1494376546</v>
      </c>
      <c r="V27">
        <f>IFERROR(__xludf.DUMMYFUNCTION("IFERROR(IF(U27&gt;0, FILTER('VPLData(raw)'!E:E,'VPLData(raw)'!B:B=528,'VPLData(raw)'!A:A=A27), 0),0)"),"10")</f>
        <v>10</v>
      </c>
      <c r="W27">
        <f>IFERROR(__xludf.DUMMYFUNCTION("IFERROR(FILTER('VPLData(raw)'!F:F,'VPLData(raw)'!B:B=528,'VPLData(raw)'!A:A=A27),0)"),"154")</f>
        <v>154</v>
      </c>
      <c r="X27">
        <f>IFERROR(__xludf.DUMMYFUNCTION("IFERROR(FILTER('VPLData(raw)'!C:C,'VPLData(raw)'!B:B=524,'VPLData(raw)'!A:A=A27),0)"),"1494376886")</f>
        <v>1494376886</v>
      </c>
      <c r="Y27">
        <f>IFERROR(__xludf.DUMMYFUNCTION("IFERROR(IF(X27&gt;0, FILTER('VPLData(raw)'!E:E,'VPLData(raw)'!B:B=524,'VPLData(raw)'!A:A=A27), 0),0)"),"10")</f>
        <v>10</v>
      </c>
      <c r="Z27">
        <f>IFERROR(__xludf.DUMMYFUNCTION("IFERROR(FILTER('VPLData(raw)'!F:F,'VPLData(raw)'!B:B=524,'VPLData(raw)'!A:A=A27),0)"),"1681")</f>
        <v>1681</v>
      </c>
      <c r="AA27">
        <f>IFERROR(__xludf.DUMMYFUNCTION("IFERROR(FILTER('VPLData(raw)'!C:C,'VPLData(raw)'!B:B=478,'VPLData(raw)'!A:A=A27),0)"),"1494380512")</f>
        <v>1494380512</v>
      </c>
      <c r="AB27">
        <f>IFERROR(__xludf.DUMMYFUNCTION("IFERROR(IF(AA27&gt;0, FILTER('VPLData(raw)'!E:E,'VPLData(raw)'!B:B=478,'VPLData(raw)'!A:A=A27), 0),0)"),"10")</f>
        <v>10</v>
      </c>
      <c r="AC27">
        <f>IFERROR(__xludf.DUMMYFUNCTION("IFERROR(FILTER('VPLData(raw)'!F:F,'VPLData(raw)'!B:B=478,'VPLData(raw)'!A:A=A27),0)"),"3518")</f>
        <v>3518</v>
      </c>
      <c r="AD27">
        <f>IFERROR(__xludf.DUMMYFUNCTION("IFERROR(FILTER('VPLData(raw)'!C:C,'VPLData(raw)'!B:B=542,'VPLData(raw)'!A:A=A27),0)"),"1497655770")</f>
        <v>1497655770</v>
      </c>
      <c r="AE27">
        <f>IFERROR(__xludf.DUMMYFUNCTION("IFERROR(IF(AD27&gt;0, FILTER('VPLData(raw)'!E:E,'VPLData(raw)'!B:B=542,'VPLData(raw)'!A:A=A27), 0),0)"),"10")</f>
        <v>10</v>
      </c>
      <c r="AF27">
        <f>IFERROR(__xludf.DUMMYFUNCTION("IFERROR(FILTER('VPLData(raw)'!F:F,'VPLData(raw)'!B:B=542,'VPLData(raw)'!A:A=A27),0)"),"1602")</f>
        <v>1602</v>
      </c>
      <c r="AG27">
        <f>IFERROR(__xludf.DUMMYFUNCTION("IFERROR(FILTER('VPLData(raw)'!C:C,'VPLData(raw)'!B:B=544,'VPLData(raw)'!A:A=A27),0)"),"1497672202")</f>
        <v>1497672202</v>
      </c>
      <c r="AH27">
        <f>IFERROR(__xludf.DUMMYFUNCTION("IFERROR(IF(AG27&gt;0, FILTER('VPLData(raw)'!E:E,'VPLData(raw)'!B:B=544,'VPLData(raw)'!A:A=A27), 0),0)"),"10")</f>
        <v>10</v>
      </c>
      <c r="AI27">
        <f>IFERROR(__xludf.DUMMYFUNCTION("IFERROR(FILTER('VPLData(raw)'!F:F,'VPLData(raw)'!B:B=544,'VPLData(raw)'!A:A=A27),0)"),"3400")</f>
        <v>3400</v>
      </c>
      <c r="AJ27">
        <f>IFERROR(__xludf.DUMMYFUNCTION("IFERROR(FILTER('VPLData(raw)'!C:C,'VPLData(raw)'!B:B=545,'VPLData(raw)'!A:A=A27),0)"),"1497676420")</f>
        <v>1497676420</v>
      </c>
      <c r="AK27">
        <f>IFERROR(__xludf.DUMMYFUNCTION("IFERROR(IF(AJ27&gt;0, FILTER('VPLData(raw)'!E:E,'VPLData(raw)'!B:B=545,'VPLData(raw)'!A:A=A27), 0),0)"),"10")</f>
        <v>10</v>
      </c>
      <c r="AL27">
        <f>IFERROR(__xludf.DUMMYFUNCTION("IFERROR(FILTER('VPLData(raw)'!F:F,'VPLData(raw)'!B:B=545,'VPLData(raw)'!A:A=A27),0)"),"10830")</f>
        <v>10830</v>
      </c>
    </row>
    <row r="28">
      <c r="A28" s="1">
        <v>10192.0</v>
      </c>
      <c r="B28" s="1">
        <v>1.0276682E7</v>
      </c>
      <c r="C28">
        <f>IFERROR(__xludf.DUMMYFUNCTION("IFERROR(FILTER('VPLData(raw)'!C:C,'VPLData(raw)'!B:B=504,'VPLData(raw)'!A:A=A28),0)"),"1490751847")</f>
        <v>1490751847</v>
      </c>
      <c r="D28" s="7">
        <f>IFERROR(__xludf.DUMMYFUNCTION("IFERROR(IF(C28&gt;0, FILTER('VPLData(raw)'!E:E,'VPLData(raw)'!B:B=504,'VPLData(raw)'!A:A=A28), 0),0)"),"10")</f>
        <v>10</v>
      </c>
      <c r="E28">
        <f>IFERROR(__xludf.DUMMYFUNCTION("IFERROR(FILTER('VPLData(raw)'!F:F,'VPLData(raw)'!B:B=504,'VPLData(raw)'!A:A=A28),0)"),"2235")</f>
        <v>2235</v>
      </c>
      <c r="F28">
        <f>IFERROR(__xludf.DUMMYFUNCTION("IFERROR(FILTER('VPLData(raw)'!C:C,'VPLData(raw)'!B:B=454,'VPLData(raw)'!A:A=A28),0)"),"1491525030")</f>
        <v>1491525030</v>
      </c>
      <c r="G28">
        <f>IFERROR(__xludf.DUMMYFUNCTION("IFERROR(IF(F28&gt;0, FILTER('VPLData(raw)'!E:E,'VPLData(raw)'!B:B=454,'VPLData(raw)'!A:A=A28), 0),0)"),"10")</f>
        <v>10</v>
      </c>
      <c r="H28">
        <f>IFERROR(__xludf.DUMMYFUNCTION("IFERROR(FILTER('VPLData(raw)'!F:F,'VPLData(raw)'!B:B=454,'VPLData(raw)'!A:A=A28),0)"),"1268")</f>
        <v>1268</v>
      </c>
      <c r="I28">
        <f>IFERROR(__xludf.DUMMYFUNCTION("IFERROR(FILTER('VPLData(raw)'!C:C,'VPLData(raw)'!B:B=457,'VPLData(raw)'!A:A=A28),0)"),"1492456908")</f>
        <v>1492456908</v>
      </c>
      <c r="J28" t="str">
        <f>IFERROR(__xludf.DUMMYFUNCTION("IFERROR(IF(I28&gt;0, FILTER('VPLData(raw)'!E:E,'VPLData(raw)'!B:B=457,'VPLData(raw)'!A:A=A28), 0),0)"),"")</f>
        <v/>
      </c>
      <c r="K28">
        <f>IFERROR(__xludf.DUMMYFUNCTION("IFERROR(FILTER('VPLData(raw)'!F:F,'VPLData(raw)'!B:B=457,'VPLData(raw)'!A:A=A28),0)"),"8")</f>
        <v>8</v>
      </c>
      <c r="L28">
        <f>IFERROR(__xludf.DUMMYFUNCTION("IFERROR(FILTER('VPLData(raw)'!C:C,'VPLData(raw)'!B:B=534,'VPLData(raw)'!A:A=A28),0)"),"0")</f>
        <v>0</v>
      </c>
      <c r="M28">
        <f>IFERROR(__xludf.DUMMYFUNCTION("IFERROR(IF(L28&gt;0, FILTER('VPLData(raw)'!E:E,'VPLData(raw)'!B:B=534,'VPLData(raw)'!A:A=A28), 0),0)"),"0")</f>
        <v>0</v>
      </c>
      <c r="N28">
        <f>IFERROR(__xludf.DUMMYFUNCTION("IFERROR(FILTER('VPLData(raw)'!F:F,'VPLData(raw)'!B:B=534,'VPLData(raw)'!A:A=A28),0)"),"0")</f>
        <v>0</v>
      </c>
      <c r="O28">
        <f>IFERROR(__xludf.DUMMYFUNCTION("IFERROR(FILTER('VPLData(raw)'!C:C,'VPLData(raw)'!B:B=498,'VPLData(raw)'!A:A=A28),0)"),"1493072087")</f>
        <v>1493072087</v>
      </c>
      <c r="P28">
        <f>IFERROR(__xludf.DUMMYFUNCTION("IFERROR(IF(O28&gt;0, FILTER('VPLData(raw)'!E:E,'VPLData(raw)'!B:B=498,'VPLData(raw)'!A:A=A28), 0),0)"),"10")</f>
        <v>10</v>
      </c>
      <c r="Q28">
        <f>IFERROR(__xludf.DUMMYFUNCTION("IFERROR(FILTER('VPLData(raw)'!F:F,'VPLData(raw)'!B:B=498,'VPLData(raw)'!A:A=A28),0)"),"2465")</f>
        <v>2465</v>
      </c>
      <c r="R28">
        <f>IFERROR(__xludf.DUMMYFUNCTION("IFERROR(FILTER('VPLData(raw)'!C:C,'VPLData(raw)'!B:B=515,'VPLData(raw)'!A:A=A28),0)"),"1493074970")</f>
        <v>1493074970</v>
      </c>
      <c r="S28">
        <f>IFERROR(__xludf.DUMMYFUNCTION("IFERROR(IF(R28&gt;0, FILTER('VPLData(raw)'!E:E,'VPLData(raw)'!B:B=515,'VPLData(raw)'!A:A=A28), 0),0)"),"10")</f>
        <v>10</v>
      </c>
      <c r="T28">
        <f>IFERROR(__xludf.DUMMYFUNCTION("IFERROR(FILTER('VPLData(raw)'!F:F,'VPLData(raw)'!B:B=515,'VPLData(raw)'!A:A=A28),0)"),"780")</f>
        <v>780</v>
      </c>
      <c r="U28">
        <f>IFERROR(__xludf.DUMMYFUNCTION("IFERROR(FILTER('VPLData(raw)'!C:C,'VPLData(raw)'!B:B=528,'VPLData(raw)'!A:A=A28),0)"),"1495660639")</f>
        <v>1495660639</v>
      </c>
      <c r="V28">
        <f>IFERROR(__xludf.DUMMYFUNCTION("IFERROR(IF(U28&gt;0, FILTER('VPLData(raw)'!E:E,'VPLData(raw)'!B:B=528,'VPLData(raw)'!A:A=A28), 0),0)"),"10")</f>
        <v>10</v>
      </c>
      <c r="W28">
        <f>IFERROR(__xludf.DUMMYFUNCTION("IFERROR(FILTER('VPLData(raw)'!F:F,'VPLData(raw)'!B:B=528,'VPLData(raw)'!A:A=A28),0)"),"690")</f>
        <v>690</v>
      </c>
      <c r="X28">
        <f>IFERROR(__xludf.DUMMYFUNCTION("IFERROR(FILTER('VPLData(raw)'!C:C,'VPLData(raw)'!B:B=524,'VPLData(raw)'!A:A=A28),0)"),"0")</f>
        <v>0</v>
      </c>
      <c r="Y28">
        <f>IFERROR(__xludf.DUMMYFUNCTION("IFERROR(IF(X28&gt;0, FILTER('VPLData(raw)'!E:E,'VPLData(raw)'!B:B=524,'VPLData(raw)'!A:A=A28), 0),0)"),"0")</f>
        <v>0</v>
      </c>
      <c r="Z28">
        <f>IFERROR(__xludf.DUMMYFUNCTION("IFERROR(FILTER('VPLData(raw)'!F:F,'VPLData(raw)'!B:B=524,'VPLData(raw)'!A:A=A28),0)"),"0")</f>
        <v>0</v>
      </c>
      <c r="AA28">
        <f>IFERROR(__xludf.DUMMYFUNCTION("IFERROR(FILTER('VPLData(raw)'!C:C,'VPLData(raw)'!B:B=478,'VPLData(raw)'!A:A=A28),0)"),"0")</f>
        <v>0</v>
      </c>
      <c r="AB28">
        <f>IFERROR(__xludf.DUMMYFUNCTION("IFERROR(IF(AA28&gt;0, FILTER('VPLData(raw)'!E:E,'VPLData(raw)'!B:B=478,'VPLData(raw)'!A:A=A28), 0),0)"),"0")</f>
        <v>0</v>
      </c>
      <c r="AC28">
        <f>IFERROR(__xludf.DUMMYFUNCTION("IFERROR(FILTER('VPLData(raw)'!F:F,'VPLData(raw)'!B:B=478,'VPLData(raw)'!A:A=A28),0)"),"0")</f>
        <v>0</v>
      </c>
      <c r="AD28">
        <f>IFERROR(__xludf.DUMMYFUNCTION("IFERROR(FILTER('VPLData(raw)'!C:C,'VPLData(raw)'!B:B=542,'VPLData(raw)'!A:A=A28),0)"),"1499187742")</f>
        <v>1499187742</v>
      </c>
      <c r="AE28">
        <f>IFERROR(__xludf.DUMMYFUNCTION("IFERROR(IF(AD28&gt;0, FILTER('VPLData(raw)'!E:E,'VPLData(raw)'!B:B=542,'VPLData(raw)'!A:A=A28), 0),0)"),"10")</f>
        <v>10</v>
      </c>
      <c r="AF28">
        <f>IFERROR(__xludf.DUMMYFUNCTION("IFERROR(FILTER('VPLData(raw)'!F:F,'VPLData(raw)'!B:B=542,'VPLData(raw)'!A:A=A28),0)"),"7302")</f>
        <v>7302</v>
      </c>
      <c r="AG28">
        <f>IFERROR(__xludf.DUMMYFUNCTION("IFERROR(FILTER('VPLData(raw)'!C:C,'VPLData(raw)'!B:B=544,'VPLData(raw)'!A:A=A28),0)"),"0")</f>
        <v>0</v>
      </c>
      <c r="AH28">
        <f>IFERROR(__xludf.DUMMYFUNCTION("IFERROR(IF(AG28&gt;0, FILTER('VPLData(raw)'!E:E,'VPLData(raw)'!B:B=544,'VPLData(raw)'!A:A=A28), 0),0)"),"0")</f>
        <v>0</v>
      </c>
      <c r="AI28">
        <f>IFERROR(__xludf.DUMMYFUNCTION("IFERROR(FILTER('VPLData(raw)'!F:F,'VPLData(raw)'!B:B=544,'VPLData(raw)'!A:A=A28),0)"),"0")</f>
        <v>0</v>
      </c>
      <c r="AJ28">
        <f>IFERROR(__xludf.DUMMYFUNCTION("IFERROR(FILTER('VPLData(raw)'!C:C,'VPLData(raw)'!B:B=545,'VPLData(raw)'!A:A=A28),0)"),"0")</f>
        <v>0</v>
      </c>
      <c r="AK28">
        <f>IFERROR(__xludf.DUMMYFUNCTION("IFERROR(IF(AJ28&gt;0, FILTER('VPLData(raw)'!E:E,'VPLData(raw)'!B:B=545,'VPLData(raw)'!A:A=A28), 0),0)"),"0")</f>
        <v>0</v>
      </c>
      <c r="AL28">
        <f>IFERROR(__xludf.DUMMYFUNCTION("IFERROR(FILTER('VPLData(raw)'!F:F,'VPLData(raw)'!B:B=545,'VPLData(raw)'!A:A=A28),0)"),"0")</f>
        <v>0</v>
      </c>
    </row>
    <row r="29">
      <c r="A29" s="1">
        <v>10216.0</v>
      </c>
      <c r="B29" s="1">
        <v>1.027672E7</v>
      </c>
      <c r="C29">
        <f>IFERROR(__xludf.DUMMYFUNCTION("IFERROR(FILTER('VPLData(raw)'!C:C,'VPLData(raw)'!B:B=504,'VPLData(raw)'!A:A=A29),0)"),"0")</f>
        <v>0</v>
      </c>
      <c r="D29" s="7">
        <f>IFERROR(__xludf.DUMMYFUNCTION("IFERROR(IF(C29&gt;0, FILTER('VPLData(raw)'!E:E,'VPLData(raw)'!B:B=504,'VPLData(raw)'!A:A=A29), 0),0)"),"0")</f>
        <v>0</v>
      </c>
      <c r="E29">
        <f>IFERROR(__xludf.DUMMYFUNCTION("IFERROR(FILTER('VPLData(raw)'!F:F,'VPLData(raw)'!B:B=504,'VPLData(raw)'!A:A=A29),0)"),"0")</f>
        <v>0</v>
      </c>
      <c r="F29">
        <f>IFERROR(__xludf.DUMMYFUNCTION("IFERROR(FILTER('VPLData(raw)'!C:C,'VPLData(raw)'!B:B=454,'VPLData(raw)'!A:A=A29),0)"),"1492532596")</f>
        <v>1492532596</v>
      </c>
      <c r="G29">
        <f>IFERROR(__xludf.DUMMYFUNCTION("IFERROR(IF(F29&gt;0, FILTER('VPLData(raw)'!E:E,'VPLData(raw)'!B:B=454,'VPLData(raw)'!A:A=A29), 0),0)"),"10")</f>
        <v>10</v>
      </c>
      <c r="H29">
        <f>IFERROR(__xludf.DUMMYFUNCTION("IFERROR(FILTER('VPLData(raw)'!F:F,'VPLData(raw)'!B:B=454,'VPLData(raw)'!A:A=A29),0)"),"181")</f>
        <v>181</v>
      </c>
      <c r="I29">
        <f>IFERROR(__xludf.DUMMYFUNCTION("IFERROR(FILTER('VPLData(raw)'!C:C,'VPLData(raw)'!B:B=457,'VPLData(raw)'!A:A=A29),0)"),"1492532874")</f>
        <v>1492532874</v>
      </c>
      <c r="J29">
        <f>IFERROR(__xludf.DUMMYFUNCTION("IFERROR(IF(I29&gt;0, FILTER('VPLData(raw)'!E:E,'VPLData(raw)'!B:B=457,'VPLData(raw)'!A:A=A29), 0),0)"),"10")</f>
        <v>10</v>
      </c>
      <c r="K29">
        <f>IFERROR(__xludf.DUMMYFUNCTION("IFERROR(FILTER('VPLData(raw)'!F:F,'VPLData(raw)'!B:B=457,'VPLData(raw)'!A:A=A29),0)"),"454")</f>
        <v>454</v>
      </c>
      <c r="L29">
        <f>IFERROR(__xludf.DUMMYFUNCTION("IFERROR(FILTER('VPLData(raw)'!C:C,'VPLData(raw)'!B:B=534,'VPLData(raw)'!A:A=A29),0)"),"0")</f>
        <v>0</v>
      </c>
      <c r="M29">
        <f>IFERROR(__xludf.DUMMYFUNCTION("IFERROR(IF(L29&gt;0, FILTER('VPLData(raw)'!E:E,'VPLData(raw)'!B:B=534,'VPLData(raw)'!A:A=A29), 0),0)"),"0")</f>
        <v>0</v>
      </c>
      <c r="N29">
        <f>IFERROR(__xludf.DUMMYFUNCTION("IFERROR(FILTER('VPLData(raw)'!F:F,'VPLData(raw)'!B:B=534,'VPLData(raw)'!A:A=A29),0)"),"0")</f>
        <v>0</v>
      </c>
      <c r="O29">
        <f>IFERROR(__xludf.DUMMYFUNCTION("IFERROR(FILTER('VPLData(raw)'!C:C,'VPLData(raw)'!B:B=498,'VPLData(raw)'!A:A=A29),0)"),"1492533456")</f>
        <v>1492533456</v>
      </c>
      <c r="P29">
        <f>IFERROR(__xludf.DUMMYFUNCTION("IFERROR(IF(O29&gt;0, FILTER('VPLData(raw)'!E:E,'VPLData(raw)'!B:B=498,'VPLData(raw)'!A:A=A29), 0),0)"),"10")</f>
        <v>10</v>
      </c>
      <c r="Q29">
        <f>IFERROR(__xludf.DUMMYFUNCTION("IFERROR(FILTER('VPLData(raw)'!F:F,'VPLData(raw)'!B:B=498,'VPLData(raw)'!A:A=A29),0)"),"222")</f>
        <v>222</v>
      </c>
      <c r="R29">
        <f>IFERROR(__xludf.DUMMYFUNCTION("IFERROR(FILTER('VPLData(raw)'!C:C,'VPLData(raw)'!B:B=515,'VPLData(raw)'!A:A=A29),0)"),"1492533713")</f>
        <v>1492533713</v>
      </c>
      <c r="S29">
        <f>IFERROR(__xludf.DUMMYFUNCTION("IFERROR(IF(R29&gt;0, FILTER('VPLData(raw)'!E:E,'VPLData(raw)'!B:B=515,'VPLData(raw)'!A:A=A29), 0),0)"),"10")</f>
        <v>10</v>
      </c>
      <c r="T29">
        <f>IFERROR(__xludf.DUMMYFUNCTION("IFERROR(FILTER('VPLData(raw)'!F:F,'VPLData(raw)'!B:B=515,'VPLData(raw)'!A:A=A29),0)"),"445")</f>
        <v>445</v>
      </c>
      <c r="U29">
        <f>IFERROR(__xludf.DUMMYFUNCTION("IFERROR(FILTER('VPLData(raw)'!C:C,'VPLData(raw)'!B:B=528,'VPLData(raw)'!A:A=A29),0)"),"1494866836")</f>
        <v>1494866836</v>
      </c>
      <c r="V29">
        <f>IFERROR(__xludf.DUMMYFUNCTION("IFERROR(IF(U29&gt;0, FILTER('VPLData(raw)'!E:E,'VPLData(raw)'!B:B=528,'VPLData(raw)'!A:A=A29), 0),0)"),"10")</f>
        <v>10</v>
      </c>
      <c r="W29">
        <f>IFERROR(__xludf.DUMMYFUNCTION("IFERROR(FILTER('VPLData(raw)'!F:F,'VPLData(raw)'!B:B=528,'VPLData(raw)'!A:A=A29),0)"),"309")</f>
        <v>309</v>
      </c>
      <c r="X29">
        <f>IFERROR(__xludf.DUMMYFUNCTION("IFERROR(FILTER('VPLData(raw)'!C:C,'VPLData(raw)'!B:B=524,'VPLData(raw)'!A:A=A29),0)"),"1494896970")</f>
        <v>1494896970</v>
      </c>
      <c r="Y29">
        <f>IFERROR(__xludf.DUMMYFUNCTION("IFERROR(IF(X29&gt;0, FILTER('VPLData(raw)'!E:E,'VPLData(raw)'!B:B=524,'VPLData(raw)'!A:A=A29), 0),0)"),"10")</f>
        <v>10</v>
      </c>
      <c r="Z29">
        <f>IFERROR(__xludf.DUMMYFUNCTION("IFERROR(FILTER('VPLData(raw)'!F:F,'VPLData(raw)'!B:B=524,'VPLData(raw)'!A:A=A29),0)"),"371")</f>
        <v>371</v>
      </c>
      <c r="AA29">
        <f>IFERROR(__xludf.DUMMYFUNCTION("IFERROR(FILTER('VPLData(raw)'!C:C,'VPLData(raw)'!B:B=478,'VPLData(raw)'!A:A=A29),0)"),"1495126789")</f>
        <v>1495126789</v>
      </c>
      <c r="AB29">
        <f>IFERROR(__xludf.DUMMYFUNCTION("IFERROR(IF(AA29&gt;0, FILTER('VPLData(raw)'!E:E,'VPLData(raw)'!B:B=478,'VPLData(raw)'!A:A=A29), 0),0)"),"10")</f>
        <v>10</v>
      </c>
      <c r="AC29">
        <f>IFERROR(__xludf.DUMMYFUNCTION("IFERROR(FILTER('VPLData(raw)'!F:F,'VPLData(raw)'!B:B=478,'VPLData(raw)'!A:A=A29),0)"),"0")</f>
        <v>0</v>
      </c>
      <c r="AD29">
        <f>IFERROR(__xludf.DUMMYFUNCTION("IFERROR(FILTER('VPLData(raw)'!C:C,'VPLData(raw)'!B:B=542,'VPLData(raw)'!A:A=A29),0)"),"0")</f>
        <v>0</v>
      </c>
      <c r="AE29">
        <f>IFERROR(__xludf.DUMMYFUNCTION("IFERROR(IF(AD29&gt;0, FILTER('VPLData(raw)'!E:E,'VPLData(raw)'!B:B=542,'VPLData(raw)'!A:A=A29), 0),0)"),"0")</f>
        <v>0</v>
      </c>
      <c r="AF29">
        <f>IFERROR(__xludf.DUMMYFUNCTION("IFERROR(FILTER('VPLData(raw)'!F:F,'VPLData(raw)'!B:B=542,'VPLData(raw)'!A:A=A29),0)"),"0")</f>
        <v>0</v>
      </c>
      <c r="AG29">
        <f>IFERROR(__xludf.DUMMYFUNCTION("IFERROR(FILTER('VPLData(raw)'!C:C,'VPLData(raw)'!B:B=544,'VPLData(raw)'!A:A=A29),0)"),"0")</f>
        <v>0</v>
      </c>
      <c r="AH29">
        <f>IFERROR(__xludf.DUMMYFUNCTION("IFERROR(IF(AG29&gt;0, FILTER('VPLData(raw)'!E:E,'VPLData(raw)'!B:B=544,'VPLData(raw)'!A:A=A29), 0),0)"),"0")</f>
        <v>0</v>
      </c>
      <c r="AI29">
        <f>IFERROR(__xludf.DUMMYFUNCTION("IFERROR(FILTER('VPLData(raw)'!F:F,'VPLData(raw)'!B:B=544,'VPLData(raw)'!A:A=A29),0)"),"0")</f>
        <v>0</v>
      </c>
      <c r="AJ29">
        <f>IFERROR(__xludf.DUMMYFUNCTION("IFERROR(FILTER('VPLData(raw)'!C:C,'VPLData(raw)'!B:B=545,'VPLData(raw)'!A:A=A29),0)"),"0")</f>
        <v>0</v>
      </c>
      <c r="AK29">
        <f>IFERROR(__xludf.DUMMYFUNCTION("IFERROR(IF(AJ29&gt;0, FILTER('VPLData(raw)'!E:E,'VPLData(raw)'!B:B=545,'VPLData(raw)'!A:A=A29), 0),0)"),"0")</f>
        <v>0</v>
      </c>
      <c r="AL29">
        <f>IFERROR(__xludf.DUMMYFUNCTION("IFERROR(FILTER('VPLData(raw)'!F:F,'VPLData(raw)'!B:B=545,'VPLData(raw)'!A:A=A29),0)"),"0")</f>
        <v>0</v>
      </c>
    </row>
    <row r="30">
      <c r="A30" s="1">
        <v>10199.0</v>
      </c>
      <c r="B30" s="1">
        <v>1.0276737E7</v>
      </c>
      <c r="C30">
        <f>IFERROR(__xludf.DUMMYFUNCTION("IFERROR(FILTER('VPLData(raw)'!C:C,'VPLData(raw)'!B:B=504,'VPLData(raw)'!A:A=A30),0)"),"0")</f>
        <v>0</v>
      </c>
      <c r="D30" s="7">
        <f>IFERROR(__xludf.DUMMYFUNCTION("IFERROR(IF(C30&gt;0, FILTER('VPLData(raw)'!E:E,'VPLData(raw)'!B:B=504,'VPLData(raw)'!A:A=A30), 0),0)"),"0")</f>
        <v>0</v>
      </c>
      <c r="E30">
        <f>IFERROR(__xludf.DUMMYFUNCTION("IFERROR(FILTER('VPLData(raw)'!F:F,'VPLData(raw)'!B:B=504,'VPLData(raw)'!A:A=A30),0)"),"0")</f>
        <v>0</v>
      </c>
      <c r="F30">
        <f>IFERROR(__xludf.DUMMYFUNCTION("IFERROR(FILTER('VPLData(raw)'!C:C,'VPLData(raw)'!B:B=454,'VPLData(raw)'!A:A=A30),0)"),"1491494022")</f>
        <v>1491494022</v>
      </c>
      <c r="G30">
        <f>IFERROR(__xludf.DUMMYFUNCTION("IFERROR(IF(F30&gt;0, FILTER('VPLData(raw)'!E:E,'VPLData(raw)'!B:B=454,'VPLData(raw)'!A:A=A30), 0),0)"),"10")</f>
        <v>10</v>
      </c>
      <c r="H30">
        <f>IFERROR(__xludf.DUMMYFUNCTION("IFERROR(FILTER('VPLData(raw)'!F:F,'VPLData(raw)'!B:B=454,'VPLData(raw)'!A:A=A30),0)"),"303")</f>
        <v>303</v>
      </c>
      <c r="I30">
        <f>IFERROR(__xludf.DUMMYFUNCTION("IFERROR(FILTER('VPLData(raw)'!C:C,'VPLData(raw)'!B:B=457,'VPLData(raw)'!A:A=A30),0)"),"1492457134")</f>
        <v>1492457134</v>
      </c>
      <c r="J30">
        <f>IFERROR(__xludf.DUMMYFUNCTION("IFERROR(IF(I30&gt;0, FILTER('VPLData(raw)'!E:E,'VPLData(raw)'!B:B=457,'VPLData(raw)'!A:A=A30), 0),0)"),"10")</f>
        <v>10</v>
      </c>
      <c r="K30">
        <f>IFERROR(__xludf.DUMMYFUNCTION("IFERROR(FILTER('VPLData(raw)'!F:F,'VPLData(raw)'!B:B=457,'VPLData(raw)'!A:A=A30),0)"),"12373")</f>
        <v>12373</v>
      </c>
      <c r="L30">
        <f>IFERROR(__xludf.DUMMYFUNCTION("IFERROR(FILTER('VPLData(raw)'!C:C,'VPLData(raw)'!B:B=534,'VPLData(raw)'!A:A=A30),0)"),"0")</f>
        <v>0</v>
      </c>
      <c r="M30">
        <f>IFERROR(__xludf.DUMMYFUNCTION("IFERROR(IF(L30&gt;0, FILTER('VPLData(raw)'!E:E,'VPLData(raw)'!B:B=534,'VPLData(raw)'!A:A=A30), 0),0)"),"0")</f>
        <v>0</v>
      </c>
      <c r="N30">
        <f>IFERROR(__xludf.DUMMYFUNCTION("IFERROR(FILTER('VPLData(raw)'!F:F,'VPLData(raw)'!B:B=534,'VPLData(raw)'!A:A=A30),0)"),"0")</f>
        <v>0</v>
      </c>
      <c r="O30">
        <f>IFERROR(__xludf.DUMMYFUNCTION("IFERROR(FILTER('VPLData(raw)'!C:C,'VPLData(raw)'!B:B=498,'VPLData(raw)'!A:A=A30),0)"),"1492708689")</f>
        <v>1492708689</v>
      </c>
      <c r="P30">
        <f>IFERROR(__xludf.DUMMYFUNCTION("IFERROR(IF(O30&gt;0, FILTER('VPLData(raw)'!E:E,'VPLData(raw)'!B:B=498,'VPLData(raw)'!A:A=A30), 0),0)"),"10")</f>
        <v>10</v>
      </c>
      <c r="Q30">
        <f>IFERROR(__xludf.DUMMYFUNCTION("IFERROR(FILTER('VPLData(raw)'!F:F,'VPLData(raw)'!B:B=498,'VPLData(raw)'!A:A=A30),0)"),"783")</f>
        <v>783</v>
      </c>
      <c r="R30">
        <f>IFERROR(__xludf.DUMMYFUNCTION("IFERROR(FILTER('VPLData(raw)'!C:C,'VPLData(raw)'!B:B=515,'VPLData(raw)'!A:A=A30),0)"),"1492710173")</f>
        <v>1492710173</v>
      </c>
      <c r="S30">
        <f>IFERROR(__xludf.DUMMYFUNCTION("IFERROR(IF(R30&gt;0, FILTER('VPLData(raw)'!E:E,'VPLData(raw)'!B:B=515,'VPLData(raw)'!A:A=A30), 0),0)"),"10")</f>
        <v>10</v>
      </c>
      <c r="T30">
        <f>IFERROR(__xludf.DUMMYFUNCTION("IFERROR(FILTER('VPLData(raw)'!F:F,'VPLData(raw)'!B:B=515,'VPLData(raw)'!A:A=A30),0)"),"691")</f>
        <v>691</v>
      </c>
      <c r="U30">
        <f>IFERROR(__xludf.DUMMYFUNCTION("IFERROR(FILTER('VPLData(raw)'!C:C,'VPLData(raw)'!B:B=528,'VPLData(raw)'!A:A=A30),0)"),"0")</f>
        <v>0</v>
      </c>
      <c r="V30">
        <f>IFERROR(__xludf.DUMMYFUNCTION("IFERROR(IF(U30&gt;0, FILTER('VPLData(raw)'!E:E,'VPLData(raw)'!B:B=528,'VPLData(raw)'!A:A=A30), 0),0)"),"0")</f>
        <v>0</v>
      </c>
      <c r="W30">
        <f>IFERROR(__xludf.DUMMYFUNCTION("IFERROR(FILTER('VPLData(raw)'!F:F,'VPLData(raw)'!B:B=528,'VPLData(raw)'!A:A=A30),0)"),"0")</f>
        <v>0</v>
      </c>
      <c r="X30">
        <f>IFERROR(__xludf.DUMMYFUNCTION("IFERROR(FILTER('VPLData(raw)'!C:C,'VPLData(raw)'!B:B=524,'VPLData(raw)'!A:A=A30),0)"),"0")</f>
        <v>0</v>
      </c>
      <c r="Y30">
        <f>IFERROR(__xludf.DUMMYFUNCTION("IFERROR(IF(X30&gt;0, FILTER('VPLData(raw)'!E:E,'VPLData(raw)'!B:B=524,'VPLData(raw)'!A:A=A30), 0),0)"),"0")</f>
        <v>0</v>
      </c>
      <c r="Z30">
        <f>IFERROR(__xludf.DUMMYFUNCTION("IFERROR(FILTER('VPLData(raw)'!F:F,'VPLData(raw)'!B:B=524,'VPLData(raw)'!A:A=A30),0)"),"0")</f>
        <v>0</v>
      </c>
      <c r="AA30">
        <f>IFERROR(__xludf.DUMMYFUNCTION("IFERROR(FILTER('VPLData(raw)'!C:C,'VPLData(raw)'!B:B=478,'VPLData(raw)'!A:A=A30),0)"),"0")</f>
        <v>0</v>
      </c>
      <c r="AB30">
        <f>IFERROR(__xludf.DUMMYFUNCTION("IFERROR(IF(AA30&gt;0, FILTER('VPLData(raw)'!E:E,'VPLData(raw)'!B:B=478,'VPLData(raw)'!A:A=A30), 0),0)"),"0")</f>
        <v>0</v>
      </c>
      <c r="AC30">
        <f>IFERROR(__xludf.DUMMYFUNCTION("IFERROR(FILTER('VPLData(raw)'!F:F,'VPLData(raw)'!B:B=478,'VPLData(raw)'!A:A=A30),0)"),"0")</f>
        <v>0</v>
      </c>
      <c r="AD30">
        <f>IFERROR(__xludf.DUMMYFUNCTION("IFERROR(FILTER('VPLData(raw)'!C:C,'VPLData(raw)'!B:B=542,'VPLData(raw)'!A:A=A30),0)"),"1499386320")</f>
        <v>1499386320</v>
      </c>
      <c r="AE30">
        <f>IFERROR(__xludf.DUMMYFUNCTION("IFERROR(IF(AD30&gt;0, FILTER('VPLData(raw)'!E:E,'VPLData(raw)'!B:B=542,'VPLData(raw)'!A:A=A30), 0),0)"),"10")</f>
        <v>10</v>
      </c>
      <c r="AF30">
        <f>IFERROR(__xludf.DUMMYFUNCTION("IFERROR(FILTER('VPLData(raw)'!F:F,'VPLData(raw)'!B:B=542,'VPLData(raw)'!A:A=A30),0)"),"440")</f>
        <v>440</v>
      </c>
      <c r="AG30">
        <f>IFERROR(__xludf.DUMMYFUNCTION("IFERROR(FILTER('VPLData(raw)'!C:C,'VPLData(raw)'!B:B=544,'VPLData(raw)'!A:A=A30),0)"),"0")</f>
        <v>0</v>
      </c>
      <c r="AH30">
        <f>IFERROR(__xludf.DUMMYFUNCTION("IFERROR(IF(AG30&gt;0, FILTER('VPLData(raw)'!E:E,'VPLData(raw)'!B:B=544,'VPLData(raw)'!A:A=A30), 0),0)"),"0")</f>
        <v>0</v>
      </c>
      <c r="AI30">
        <f>IFERROR(__xludf.DUMMYFUNCTION("IFERROR(FILTER('VPLData(raw)'!F:F,'VPLData(raw)'!B:B=544,'VPLData(raw)'!A:A=A30),0)"),"0")</f>
        <v>0</v>
      </c>
      <c r="AJ30">
        <f>IFERROR(__xludf.DUMMYFUNCTION("IFERROR(FILTER('VPLData(raw)'!C:C,'VPLData(raw)'!B:B=545,'VPLData(raw)'!A:A=A30),0)"),"1499477704")</f>
        <v>1499477704</v>
      </c>
      <c r="AK30">
        <f>IFERROR(__xludf.DUMMYFUNCTION("IFERROR(IF(AJ30&gt;0, FILTER('VPLData(raw)'!E:E,'VPLData(raw)'!B:B=545,'VPLData(raw)'!A:A=A30), 0),0)"),"10")</f>
        <v>10</v>
      </c>
      <c r="AL30">
        <f>IFERROR(__xludf.DUMMYFUNCTION("IFERROR(FILTER('VPLData(raw)'!F:F,'VPLData(raw)'!B:B=545,'VPLData(raw)'!A:A=A30),0)"),"1330")</f>
        <v>1330</v>
      </c>
    </row>
    <row r="31">
      <c r="A31" s="1">
        <v>10193.0</v>
      </c>
      <c r="B31" s="1">
        <v>1.0276762E7</v>
      </c>
      <c r="C31">
        <f>IFERROR(__xludf.DUMMYFUNCTION("IFERROR(FILTER('VPLData(raw)'!C:C,'VPLData(raw)'!B:B=504,'VPLData(raw)'!A:A=A31),0)"),"1490915569")</f>
        <v>1490915569</v>
      </c>
      <c r="D31" s="7">
        <f>IFERROR(__xludf.DUMMYFUNCTION("IFERROR(IF(C31&gt;0, FILTER('VPLData(raw)'!E:E,'VPLData(raw)'!B:B=504,'VPLData(raw)'!A:A=A31), 0),0)"),"10")</f>
        <v>10</v>
      </c>
      <c r="E31">
        <f>IFERROR(__xludf.DUMMYFUNCTION("IFERROR(FILTER('VPLData(raw)'!F:F,'VPLData(raw)'!B:B=504,'VPLData(raw)'!A:A=A31),0)"),"668")</f>
        <v>668</v>
      </c>
      <c r="F31">
        <f>IFERROR(__xludf.DUMMYFUNCTION("IFERROR(FILTER('VPLData(raw)'!C:C,'VPLData(raw)'!B:B=454,'VPLData(raw)'!A:A=A31),0)"),"1491407909")</f>
        <v>1491407909</v>
      </c>
      <c r="G31">
        <f>IFERROR(__xludf.DUMMYFUNCTION("IFERROR(IF(F31&gt;0, FILTER('VPLData(raw)'!E:E,'VPLData(raw)'!B:B=454,'VPLData(raw)'!A:A=A31), 0),0)"),"10")</f>
        <v>10</v>
      </c>
      <c r="H31">
        <f>IFERROR(__xludf.DUMMYFUNCTION("IFERROR(FILTER('VPLData(raw)'!F:F,'VPLData(raw)'!B:B=454,'VPLData(raw)'!A:A=A31),0)"),"720")</f>
        <v>720</v>
      </c>
      <c r="I31">
        <f>IFERROR(__xludf.DUMMYFUNCTION("IFERROR(FILTER('VPLData(raw)'!C:C,'VPLData(raw)'!B:B=457,'VPLData(raw)'!A:A=A31),0)"),"1491678056")</f>
        <v>1491678056</v>
      </c>
      <c r="J31">
        <f>IFERROR(__xludf.DUMMYFUNCTION("IFERROR(IF(I31&gt;0, FILTER('VPLData(raw)'!E:E,'VPLData(raw)'!B:B=457,'VPLData(raw)'!A:A=A31), 0),0)"),"10")</f>
        <v>10</v>
      </c>
      <c r="K31">
        <f>IFERROR(__xludf.DUMMYFUNCTION("IFERROR(FILTER('VPLData(raw)'!F:F,'VPLData(raw)'!B:B=457,'VPLData(raw)'!A:A=A31),0)"),"602")</f>
        <v>602</v>
      </c>
      <c r="L31">
        <f>IFERROR(__xludf.DUMMYFUNCTION("IFERROR(FILTER('VPLData(raw)'!C:C,'VPLData(raw)'!B:B=534,'VPLData(raw)'!A:A=A31),0)"),"0")</f>
        <v>0</v>
      </c>
      <c r="M31">
        <f>IFERROR(__xludf.DUMMYFUNCTION("IFERROR(IF(L31&gt;0, FILTER('VPLData(raw)'!E:E,'VPLData(raw)'!B:B=534,'VPLData(raw)'!A:A=A31), 0),0)"),"0")</f>
        <v>0</v>
      </c>
      <c r="N31">
        <f>IFERROR(__xludf.DUMMYFUNCTION("IFERROR(FILTER('VPLData(raw)'!F:F,'VPLData(raw)'!B:B=534,'VPLData(raw)'!A:A=A31),0)"),"0")</f>
        <v>0</v>
      </c>
      <c r="O31">
        <f>IFERROR(__xludf.DUMMYFUNCTION("IFERROR(FILTER('VPLData(raw)'!C:C,'VPLData(raw)'!B:B=498,'VPLData(raw)'!A:A=A31),0)"),"1492479717")</f>
        <v>1492479717</v>
      </c>
      <c r="P31">
        <f>IFERROR(__xludf.DUMMYFUNCTION("IFERROR(IF(O31&gt;0, FILTER('VPLData(raw)'!E:E,'VPLData(raw)'!B:B=498,'VPLData(raw)'!A:A=A31), 0),0)"),"10")</f>
        <v>10</v>
      </c>
      <c r="Q31">
        <f>IFERROR(__xludf.DUMMYFUNCTION("IFERROR(FILTER('VPLData(raw)'!F:F,'VPLData(raw)'!B:B=498,'VPLData(raw)'!A:A=A31),0)"),"340")</f>
        <v>340</v>
      </c>
      <c r="R31">
        <f>IFERROR(__xludf.DUMMYFUNCTION("IFERROR(FILTER('VPLData(raw)'!C:C,'VPLData(raw)'!B:B=515,'VPLData(raw)'!A:A=A31),0)"),"1492617180")</f>
        <v>1492617180</v>
      </c>
      <c r="S31" t="str">
        <f>IFERROR(__xludf.DUMMYFUNCTION("IFERROR(IF(R31&gt;0, FILTER('VPLData(raw)'!E:E,'VPLData(raw)'!B:B=515,'VPLData(raw)'!A:A=A31), 0),0)"),"")</f>
        <v/>
      </c>
      <c r="T31">
        <f>IFERROR(__xludf.DUMMYFUNCTION("IFERROR(FILTER('VPLData(raw)'!F:F,'VPLData(raw)'!B:B=515,'VPLData(raw)'!A:A=A31),0)"),"202")</f>
        <v>202</v>
      </c>
      <c r="U31">
        <f>IFERROR(__xludf.DUMMYFUNCTION("IFERROR(FILTER('VPLData(raw)'!C:C,'VPLData(raw)'!B:B=528,'VPLData(raw)'!A:A=A31),0)"),"1494723576")</f>
        <v>1494723576</v>
      </c>
      <c r="V31">
        <f>IFERROR(__xludf.DUMMYFUNCTION("IFERROR(IF(U31&gt;0, FILTER('VPLData(raw)'!E:E,'VPLData(raw)'!B:B=528,'VPLData(raw)'!A:A=A31), 0),0)"),"10")</f>
        <v>10</v>
      </c>
      <c r="W31">
        <f>IFERROR(__xludf.DUMMYFUNCTION("IFERROR(FILTER('VPLData(raw)'!F:F,'VPLData(raw)'!B:B=528,'VPLData(raw)'!A:A=A31),0)"),"680")</f>
        <v>680</v>
      </c>
      <c r="X31">
        <f>IFERROR(__xludf.DUMMYFUNCTION("IFERROR(FILTER('VPLData(raw)'!C:C,'VPLData(raw)'!B:B=524,'VPLData(raw)'!A:A=A31),0)"),"1494724729")</f>
        <v>1494724729</v>
      </c>
      <c r="Y31">
        <f>IFERROR(__xludf.DUMMYFUNCTION("IFERROR(IF(X31&gt;0, FILTER('VPLData(raw)'!E:E,'VPLData(raw)'!B:B=524,'VPLData(raw)'!A:A=A31), 0),0)"),"10")</f>
        <v>10</v>
      </c>
      <c r="Z31">
        <f>IFERROR(__xludf.DUMMYFUNCTION("IFERROR(FILTER('VPLData(raw)'!F:F,'VPLData(raw)'!B:B=524,'VPLData(raw)'!A:A=A31),0)"),"767")</f>
        <v>767</v>
      </c>
      <c r="AA31">
        <f>IFERROR(__xludf.DUMMYFUNCTION("IFERROR(FILTER('VPLData(raw)'!C:C,'VPLData(raw)'!B:B=478,'VPLData(raw)'!A:A=A31),0)"),"1494725881")</f>
        <v>1494725881</v>
      </c>
      <c r="AB31" t="str">
        <f>IFERROR(__xludf.DUMMYFUNCTION("IFERROR(IF(AA31&gt;0, FILTER('VPLData(raw)'!E:E,'VPLData(raw)'!B:B=478,'VPLData(raw)'!A:A=A31), 0),0)"),"")</f>
        <v/>
      </c>
      <c r="AC31">
        <f>IFERROR(__xludf.DUMMYFUNCTION("IFERROR(FILTER('VPLData(raw)'!F:F,'VPLData(raw)'!B:B=478,'VPLData(raw)'!A:A=A31),0)"),"2901")</f>
        <v>2901</v>
      </c>
      <c r="AD31">
        <f>IFERROR(__xludf.DUMMYFUNCTION("IFERROR(FILTER('VPLData(raw)'!C:C,'VPLData(raw)'!B:B=542,'VPLData(raw)'!A:A=A31),0)"),"1499397098")</f>
        <v>1499397098</v>
      </c>
      <c r="AE31">
        <f>IFERROR(__xludf.DUMMYFUNCTION("IFERROR(IF(AD31&gt;0, FILTER('VPLData(raw)'!E:E,'VPLData(raw)'!B:B=542,'VPLData(raw)'!A:A=A31), 0),0)"),"10")</f>
        <v>10</v>
      </c>
      <c r="AF31">
        <f>IFERROR(__xludf.DUMMYFUNCTION("IFERROR(FILTER('VPLData(raw)'!F:F,'VPLData(raw)'!B:B=542,'VPLData(raw)'!A:A=A31),0)"),"1182")</f>
        <v>1182</v>
      </c>
      <c r="AG31">
        <f>IFERROR(__xludf.DUMMYFUNCTION("IFERROR(FILTER('VPLData(raw)'!C:C,'VPLData(raw)'!B:B=544,'VPLData(raw)'!A:A=A31),0)"),"1499404115")</f>
        <v>1499404115</v>
      </c>
      <c r="AH31">
        <f>IFERROR(__xludf.DUMMYFUNCTION("IFERROR(IF(AG31&gt;0, FILTER('VPLData(raw)'!E:E,'VPLData(raw)'!B:B=544,'VPLData(raw)'!A:A=A31), 0),0)"),"10")</f>
        <v>10</v>
      </c>
      <c r="AI31">
        <f>IFERROR(__xludf.DUMMYFUNCTION("IFERROR(FILTER('VPLData(raw)'!F:F,'VPLData(raw)'!B:B=544,'VPLData(raw)'!A:A=A31),0)"),"4282")</f>
        <v>4282</v>
      </c>
      <c r="AJ31">
        <f>IFERROR(__xludf.DUMMYFUNCTION("IFERROR(FILTER('VPLData(raw)'!C:C,'VPLData(raw)'!B:B=545,'VPLData(raw)'!A:A=A31),0)"),"1499392111")</f>
        <v>1499392111</v>
      </c>
      <c r="AK31" t="str">
        <f>IFERROR(__xludf.DUMMYFUNCTION("IFERROR(IF(AJ31&gt;0, FILTER('VPLData(raw)'!E:E,'VPLData(raw)'!B:B=545,'VPLData(raw)'!A:A=A31), 0),0)"),"")</f>
        <v/>
      </c>
      <c r="AL31">
        <f>IFERROR(__xludf.DUMMYFUNCTION("IFERROR(FILTER('VPLData(raw)'!F:F,'VPLData(raw)'!B:B=545,'VPLData(raw)'!A:A=A31),0)"),"10110")</f>
        <v>10110</v>
      </c>
    </row>
    <row r="32">
      <c r="A32" s="1">
        <v>10219.0</v>
      </c>
      <c r="B32" s="1">
        <v>1.0276831E7</v>
      </c>
      <c r="C32">
        <f>IFERROR(__xludf.DUMMYFUNCTION("IFERROR(FILTER('VPLData(raw)'!C:C,'VPLData(raw)'!B:B=504,'VPLData(raw)'!A:A=A32),0)"),"1490912558")</f>
        <v>1490912558</v>
      </c>
      <c r="D32" s="7" t="str">
        <f>IFERROR(__xludf.DUMMYFUNCTION("IFERROR(IF(C32&gt;0, FILTER('VPLData(raw)'!E:E,'VPLData(raw)'!B:B=504,'VPLData(raw)'!A:A=A32), 0),0)"),"")</f>
        <v/>
      </c>
      <c r="E32">
        <f>IFERROR(__xludf.DUMMYFUNCTION("IFERROR(FILTER('VPLData(raw)'!F:F,'VPLData(raw)'!B:B=504,'VPLData(raw)'!A:A=A32),0)"),"495")</f>
        <v>495</v>
      </c>
      <c r="F32">
        <f>IFERROR(__xludf.DUMMYFUNCTION("IFERROR(FILTER('VPLData(raw)'!C:C,'VPLData(raw)'!B:B=454,'VPLData(raw)'!A:A=A32),0)"),"0")</f>
        <v>0</v>
      </c>
      <c r="G32">
        <f>IFERROR(__xludf.DUMMYFUNCTION("IFERROR(IF(F32&gt;0, FILTER('VPLData(raw)'!E:E,'VPLData(raw)'!B:B=454,'VPLData(raw)'!A:A=A32), 0),0)"),"0")</f>
        <v>0</v>
      </c>
      <c r="H32">
        <f>IFERROR(__xludf.DUMMYFUNCTION("IFERROR(FILTER('VPLData(raw)'!F:F,'VPLData(raw)'!B:B=454,'VPLData(raw)'!A:A=A32),0)"),"0")</f>
        <v>0</v>
      </c>
      <c r="I32">
        <f>IFERROR(__xludf.DUMMYFUNCTION("IFERROR(FILTER('VPLData(raw)'!C:C,'VPLData(raw)'!B:B=457,'VPLData(raw)'!A:A=A32),0)"),"1492460913")</f>
        <v>1492460913</v>
      </c>
      <c r="J32" t="str">
        <f>IFERROR(__xludf.DUMMYFUNCTION("IFERROR(IF(I32&gt;0, FILTER('VPLData(raw)'!E:E,'VPLData(raw)'!B:B=457,'VPLData(raw)'!A:A=A32), 0),0)"),"")</f>
        <v/>
      </c>
      <c r="K32">
        <f>IFERROR(__xludf.DUMMYFUNCTION("IFERROR(FILTER('VPLData(raw)'!F:F,'VPLData(raw)'!B:B=457,'VPLData(raw)'!A:A=A32),0)"),"1865")</f>
        <v>1865</v>
      </c>
      <c r="L32">
        <f>IFERROR(__xludf.DUMMYFUNCTION("IFERROR(FILTER('VPLData(raw)'!C:C,'VPLData(raw)'!B:B=534,'VPLData(raw)'!A:A=A32),0)"),"1495644508")</f>
        <v>1495644508</v>
      </c>
      <c r="M32" t="str">
        <f>IFERROR(__xludf.DUMMYFUNCTION("IFERROR(IF(L32&gt;0, FILTER('VPLData(raw)'!E:E,'VPLData(raw)'!B:B=534,'VPLData(raw)'!A:A=A32), 0),0)"),"")</f>
        <v/>
      </c>
      <c r="N32">
        <f>IFERROR(__xludf.DUMMYFUNCTION("IFERROR(FILTER('VPLData(raw)'!F:F,'VPLData(raw)'!B:B=534,'VPLData(raw)'!A:A=A32),0)"),"1964")</f>
        <v>1964</v>
      </c>
      <c r="O32">
        <f>IFERROR(__xludf.DUMMYFUNCTION("IFERROR(FILTER('VPLData(raw)'!C:C,'VPLData(raw)'!B:B=498,'VPLData(raw)'!A:A=A32),0)"),"0")</f>
        <v>0</v>
      </c>
      <c r="P32">
        <f>IFERROR(__xludf.DUMMYFUNCTION("IFERROR(IF(O32&gt;0, FILTER('VPLData(raw)'!E:E,'VPLData(raw)'!B:B=498,'VPLData(raw)'!A:A=A32), 0),0)"),"0")</f>
        <v>0</v>
      </c>
      <c r="Q32">
        <f>IFERROR(__xludf.DUMMYFUNCTION("IFERROR(FILTER('VPLData(raw)'!F:F,'VPLData(raw)'!B:B=498,'VPLData(raw)'!A:A=A32),0)"),"0")</f>
        <v>0</v>
      </c>
      <c r="R32">
        <f>IFERROR(__xludf.DUMMYFUNCTION("IFERROR(FILTER('VPLData(raw)'!C:C,'VPLData(raw)'!B:B=515,'VPLData(raw)'!A:A=A32),0)"),"0")</f>
        <v>0</v>
      </c>
      <c r="S32">
        <f>IFERROR(__xludf.DUMMYFUNCTION("IFERROR(IF(R32&gt;0, FILTER('VPLData(raw)'!E:E,'VPLData(raw)'!B:B=515,'VPLData(raw)'!A:A=A32), 0),0)"),"0")</f>
        <v>0</v>
      </c>
      <c r="T32">
        <f>IFERROR(__xludf.DUMMYFUNCTION("IFERROR(FILTER('VPLData(raw)'!F:F,'VPLData(raw)'!B:B=515,'VPLData(raw)'!A:A=A32),0)"),"0")</f>
        <v>0</v>
      </c>
      <c r="U32">
        <f>IFERROR(__xludf.DUMMYFUNCTION("IFERROR(FILTER('VPLData(raw)'!C:C,'VPLData(raw)'!B:B=528,'VPLData(raw)'!A:A=A32),0)"),"0")</f>
        <v>0</v>
      </c>
      <c r="V32">
        <f>IFERROR(__xludf.DUMMYFUNCTION("IFERROR(IF(U32&gt;0, FILTER('VPLData(raw)'!E:E,'VPLData(raw)'!B:B=528,'VPLData(raw)'!A:A=A32), 0),0)"),"0")</f>
        <v>0</v>
      </c>
      <c r="W32">
        <f>IFERROR(__xludf.DUMMYFUNCTION("IFERROR(FILTER('VPLData(raw)'!F:F,'VPLData(raw)'!B:B=528,'VPLData(raw)'!A:A=A32),0)"),"0")</f>
        <v>0</v>
      </c>
      <c r="X32">
        <f>IFERROR(__xludf.DUMMYFUNCTION("IFERROR(FILTER('VPLData(raw)'!C:C,'VPLData(raw)'!B:B=524,'VPLData(raw)'!A:A=A32),0)"),"0")</f>
        <v>0</v>
      </c>
      <c r="Y32">
        <f>IFERROR(__xludf.DUMMYFUNCTION("IFERROR(IF(X32&gt;0, FILTER('VPLData(raw)'!E:E,'VPLData(raw)'!B:B=524,'VPLData(raw)'!A:A=A32), 0),0)"),"0")</f>
        <v>0</v>
      </c>
      <c r="Z32">
        <f>IFERROR(__xludf.DUMMYFUNCTION("IFERROR(FILTER('VPLData(raw)'!F:F,'VPLData(raw)'!B:B=524,'VPLData(raw)'!A:A=A32),0)"),"0")</f>
        <v>0</v>
      </c>
      <c r="AA32">
        <f>IFERROR(__xludf.DUMMYFUNCTION("IFERROR(FILTER('VPLData(raw)'!C:C,'VPLData(raw)'!B:B=478,'VPLData(raw)'!A:A=A32),0)"),"0")</f>
        <v>0</v>
      </c>
      <c r="AB32">
        <f>IFERROR(__xludf.DUMMYFUNCTION("IFERROR(IF(AA32&gt;0, FILTER('VPLData(raw)'!E:E,'VPLData(raw)'!B:B=478,'VPLData(raw)'!A:A=A32), 0),0)"),"0")</f>
        <v>0</v>
      </c>
      <c r="AC32">
        <f>IFERROR(__xludf.DUMMYFUNCTION("IFERROR(FILTER('VPLData(raw)'!F:F,'VPLData(raw)'!B:B=478,'VPLData(raw)'!A:A=A32),0)"),"0")</f>
        <v>0</v>
      </c>
      <c r="AD32">
        <f>IFERROR(__xludf.DUMMYFUNCTION("IFERROR(FILTER('VPLData(raw)'!C:C,'VPLData(raw)'!B:B=542,'VPLData(raw)'!A:A=A32),0)"),"1499182995")</f>
        <v>1499182995</v>
      </c>
      <c r="AE32">
        <f>IFERROR(__xludf.DUMMYFUNCTION("IFERROR(IF(AD32&gt;0, FILTER('VPLData(raw)'!E:E,'VPLData(raw)'!B:B=542,'VPLData(raw)'!A:A=A32), 0),0)"),"10")</f>
        <v>10</v>
      </c>
      <c r="AF32">
        <f>IFERROR(__xludf.DUMMYFUNCTION("IFERROR(FILTER('VPLData(raw)'!F:F,'VPLData(raw)'!B:B=542,'VPLData(raw)'!A:A=A32),0)"),"1049")</f>
        <v>1049</v>
      </c>
      <c r="AG32">
        <f>IFERROR(__xludf.DUMMYFUNCTION("IFERROR(FILTER('VPLData(raw)'!C:C,'VPLData(raw)'!B:B=544,'VPLData(raw)'!A:A=A32),0)"),"0")</f>
        <v>0</v>
      </c>
      <c r="AH32">
        <f>IFERROR(__xludf.DUMMYFUNCTION("IFERROR(IF(AG32&gt;0, FILTER('VPLData(raw)'!E:E,'VPLData(raw)'!B:B=544,'VPLData(raw)'!A:A=A32), 0),0)"),"0")</f>
        <v>0</v>
      </c>
      <c r="AI32">
        <f>IFERROR(__xludf.DUMMYFUNCTION("IFERROR(FILTER('VPLData(raw)'!F:F,'VPLData(raw)'!B:B=544,'VPLData(raw)'!A:A=A32),0)"),"0")</f>
        <v>0</v>
      </c>
      <c r="AJ32">
        <f>IFERROR(__xludf.DUMMYFUNCTION("IFERROR(FILTER('VPLData(raw)'!C:C,'VPLData(raw)'!B:B=545,'VPLData(raw)'!A:A=A32),0)"),"0")</f>
        <v>0</v>
      </c>
      <c r="AK32">
        <f>IFERROR(__xludf.DUMMYFUNCTION("IFERROR(IF(AJ32&gt;0, FILTER('VPLData(raw)'!E:E,'VPLData(raw)'!B:B=545,'VPLData(raw)'!A:A=A32), 0),0)"),"0")</f>
        <v>0</v>
      </c>
      <c r="AL32">
        <f>IFERROR(__xludf.DUMMYFUNCTION("IFERROR(FILTER('VPLData(raw)'!F:F,'VPLData(raw)'!B:B=545,'VPLData(raw)'!A:A=A32),0)"),"0")</f>
        <v>0</v>
      </c>
    </row>
    <row r="33">
      <c r="A33" s="1">
        <v>10174.0</v>
      </c>
      <c r="B33" s="1">
        <v>1.0276852E7</v>
      </c>
      <c r="C33">
        <f>IFERROR(__xludf.DUMMYFUNCTION("IFERROR(FILTER('VPLData(raw)'!C:C,'VPLData(raw)'!B:B=504,'VPLData(raw)'!A:A=A33),0)"),"0")</f>
        <v>0</v>
      </c>
      <c r="D33" s="7">
        <f>IFERROR(__xludf.DUMMYFUNCTION("IFERROR(IF(C33&gt;0, FILTER('VPLData(raw)'!E:E,'VPLData(raw)'!B:B=504,'VPLData(raw)'!A:A=A33), 0),0)"),"0")</f>
        <v>0</v>
      </c>
      <c r="E33">
        <f>IFERROR(__xludf.DUMMYFUNCTION("IFERROR(FILTER('VPLData(raw)'!F:F,'VPLData(raw)'!B:B=504,'VPLData(raw)'!A:A=A33),0)"),"0")</f>
        <v>0</v>
      </c>
      <c r="F33">
        <f>IFERROR(__xludf.DUMMYFUNCTION("IFERROR(FILTER('VPLData(raw)'!C:C,'VPLData(raw)'!B:B=454,'VPLData(raw)'!A:A=A33),0)"),"0")</f>
        <v>0</v>
      </c>
      <c r="G33">
        <f>IFERROR(__xludf.DUMMYFUNCTION("IFERROR(IF(F33&gt;0, FILTER('VPLData(raw)'!E:E,'VPLData(raw)'!B:B=454,'VPLData(raw)'!A:A=A33), 0),0)"),"0")</f>
        <v>0</v>
      </c>
      <c r="H33">
        <f>IFERROR(__xludf.DUMMYFUNCTION("IFERROR(FILTER('VPLData(raw)'!F:F,'VPLData(raw)'!B:B=454,'VPLData(raw)'!A:A=A33),0)"),"0")</f>
        <v>0</v>
      </c>
      <c r="I33">
        <f>IFERROR(__xludf.DUMMYFUNCTION("IFERROR(FILTER('VPLData(raw)'!C:C,'VPLData(raw)'!B:B=457,'VPLData(raw)'!A:A=A33),0)"),"0")</f>
        <v>0</v>
      </c>
      <c r="J33">
        <f>IFERROR(__xludf.DUMMYFUNCTION("IFERROR(IF(I33&gt;0, FILTER('VPLData(raw)'!E:E,'VPLData(raw)'!B:B=457,'VPLData(raw)'!A:A=A33), 0),0)"),"0")</f>
        <v>0</v>
      </c>
      <c r="K33">
        <f>IFERROR(__xludf.DUMMYFUNCTION("IFERROR(FILTER('VPLData(raw)'!F:F,'VPLData(raw)'!B:B=457,'VPLData(raw)'!A:A=A33),0)"),"0")</f>
        <v>0</v>
      </c>
      <c r="L33">
        <f>IFERROR(__xludf.DUMMYFUNCTION("IFERROR(FILTER('VPLData(raw)'!C:C,'VPLData(raw)'!B:B=534,'VPLData(raw)'!A:A=A33),0)"),"0")</f>
        <v>0</v>
      </c>
      <c r="M33">
        <f>IFERROR(__xludf.DUMMYFUNCTION("IFERROR(IF(L33&gt;0, FILTER('VPLData(raw)'!E:E,'VPLData(raw)'!B:B=534,'VPLData(raw)'!A:A=A33), 0),0)"),"0")</f>
        <v>0</v>
      </c>
      <c r="N33">
        <f>IFERROR(__xludf.DUMMYFUNCTION("IFERROR(FILTER('VPLData(raw)'!F:F,'VPLData(raw)'!B:B=534,'VPLData(raw)'!A:A=A33),0)"),"0")</f>
        <v>0</v>
      </c>
      <c r="O33">
        <f>IFERROR(__xludf.DUMMYFUNCTION("IFERROR(FILTER('VPLData(raw)'!C:C,'VPLData(raw)'!B:B=498,'VPLData(raw)'!A:A=A33),0)"),"0")</f>
        <v>0</v>
      </c>
      <c r="P33">
        <f>IFERROR(__xludf.DUMMYFUNCTION("IFERROR(IF(O33&gt;0, FILTER('VPLData(raw)'!E:E,'VPLData(raw)'!B:B=498,'VPLData(raw)'!A:A=A33), 0),0)"),"0")</f>
        <v>0</v>
      </c>
      <c r="Q33">
        <f>IFERROR(__xludf.DUMMYFUNCTION("IFERROR(FILTER('VPLData(raw)'!F:F,'VPLData(raw)'!B:B=498,'VPLData(raw)'!A:A=A33),0)"),"0")</f>
        <v>0</v>
      </c>
      <c r="R33">
        <f>IFERROR(__xludf.DUMMYFUNCTION("IFERROR(FILTER('VPLData(raw)'!C:C,'VPLData(raw)'!B:B=515,'VPLData(raw)'!A:A=A33),0)"),"0")</f>
        <v>0</v>
      </c>
      <c r="S33">
        <f>IFERROR(__xludf.DUMMYFUNCTION("IFERROR(IF(R33&gt;0, FILTER('VPLData(raw)'!E:E,'VPLData(raw)'!B:B=515,'VPLData(raw)'!A:A=A33), 0),0)"),"0")</f>
        <v>0</v>
      </c>
      <c r="T33">
        <f>IFERROR(__xludf.DUMMYFUNCTION("IFERROR(FILTER('VPLData(raw)'!F:F,'VPLData(raw)'!B:B=515,'VPLData(raw)'!A:A=A33),0)"),"0")</f>
        <v>0</v>
      </c>
      <c r="U33">
        <f>IFERROR(__xludf.DUMMYFUNCTION("IFERROR(FILTER('VPLData(raw)'!C:C,'VPLData(raw)'!B:B=528,'VPLData(raw)'!A:A=A33),0)"),"1494938049")</f>
        <v>1494938049</v>
      </c>
      <c r="V33">
        <f>IFERROR(__xludf.DUMMYFUNCTION("IFERROR(IF(U33&gt;0, FILTER('VPLData(raw)'!E:E,'VPLData(raw)'!B:B=528,'VPLData(raw)'!A:A=A33), 0),0)"),"10")</f>
        <v>10</v>
      </c>
      <c r="W33">
        <f>IFERROR(__xludf.DUMMYFUNCTION("IFERROR(FILTER('VPLData(raw)'!F:F,'VPLData(raw)'!B:B=528,'VPLData(raw)'!A:A=A33),0)"),"2309")</f>
        <v>2309</v>
      </c>
      <c r="X33">
        <f>IFERROR(__xludf.DUMMYFUNCTION("IFERROR(FILTER('VPLData(raw)'!C:C,'VPLData(raw)'!B:B=524,'VPLData(raw)'!A:A=A33),0)"),"1495472651")</f>
        <v>1495472651</v>
      </c>
      <c r="Y33">
        <f>IFERROR(__xludf.DUMMYFUNCTION("IFERROR(IF(X33&gt;0, FILTER('VPLData(raw)'!E:E,'VPLData(raw)'!B:B=524,'VPLData(raw)'!A:A=A33), 0),0)"),"10")</f>
        <v>10</v>
      </c>
      <c r="Z33">
        <f>IFERROR(__xludf.DUMMYFUNCTION("IFERROR(FILTER('VPLData(raw)'!F:F,'VPLData(raw)'!B:B=524,'VPLData(raw)'!A:A=A33),0)"),"358")</f>
        <v>358</v>
      </c>
      <c r="AA33">
        <f>IFERROR(__xludf.DUMMYFUNCTION("IFERROR(FILTER('VPLData(raw)'!C:C,'VPLData(raw)'!B:B=478,'VPLData(raw)'!A:A=A33),0)"),"1495506702")</f>
        <v>1495506702</v>
      </c>
      <c r="AB33">
        <f>IFERROR(__xludf.DUMMYFUNCTION("IFERROR(IF(AA33&gt;0, FILTER('VPLData(raw)'!E:E,'VPLData(raw)'!B:B=478,'VPLData(raw)'!A:A=A33), 0),0)"),"10")</f>
        <v>10</v>
      </c>
      <c r="AC33">
        <f>IFERROR(__xludf.DUMMYFUNCTION("IFERROR(FILTER('VPLData(raw)'!F:F,'VPLData(raw)'!B:B=478,'VPLData(raw)'!A:A=A33),0)"),"11266")</f>
        <v>11266</v>
      </c>
      <c r="AD33">
        <f>IFERROR(__xludf.DUMMYFUNCTION("IFERROR(FILTER('VPLData(raw)'!C:C,'VPLData(raw)'!B:B=542,'VPLData(raw)'!A:A=A33),0)"),"1498600534")</f>
        <v>1498600534</v>
      </c>
      <c r="AE33">
        <f>IFERROR(__xludf.DUMMYFUNCTION("IFERROR(IF(AD33&gt;0, FILTER('VPLData(raw)'!E:E,'VPLData(raw)'!B:B=542,'VPLData(raw)'!A:A=A33), 0),0)"),"10")</f>
        <v>10</v>
      </c>
      <c r="AF33">
        <f>IFERROR(__xludf.DUMMYFUNCTION("IFERROR(FILTER('VPLData(raw)'!F:F,'VPLData(raw)'!B:B=542,'VPLData(raw)'!A:A=A33),0)"),"17513")</f>
        <v>17513</v>
      </c>
      <c r="AG33">
        <f>IFERROR(__xludf.DUMMYFUNCTION("IFERROR(FILTER('VPLData(raw)'!C:C,'VPLData(raw)'!B:B=544,'VPLData(raw)'!A:A=A33),0)"),"1499439477")</f>
        <v>1499439477</v>
      </c>
      <c r="AH33" t="str">
        <f>IFERROR(__xludf.DUMMYFUNCTION("IFERROR(IF(AG33&gt;0, FILTER('VPLData(raw)'!E:E,'VPLData(raw)'!B:B=544,'VPLData(raw)'!A:A=A33), 0),0)"),"")</f>
        <v/>
      </c>
      <c r="AI33">
        <f>IFERROR(__xludf.DUMMYFUNCTION("IFERROR(FILTER('VPLData(raw)'!F:F,'VPLData(raw)'!B:B=544,'VPLData(raw)'!A:A=A33),0)"),"1358")</f>
        <v>1358</v>
      </c>
      <c r="AJ33">
        <f>IFERROR(__xludf.DUMMYFUNCTION("IFERROR(FILTER('VPLData(raw)'!C:C,'VPLData(raw)'!B:B=545,'VPLData(raw)'!A:A=A33),0)"),"0")</f>
        <v>0</v>
      </c>
      <c r="AK33">
        <f>IFERROR(__xludf.DUMMYFUNCTION("IFERROR(IF(AJ33&gt;0, FILTER('VPLData(raw)'!E:E,'VPLData(raw)'!B:B=545,'VPLData(raw)'!A:A=A33), 0),0)"),"0")</f>
        <v>0</v>
      </c>
      <c r="AL33">
        <f>IFERROR(__xludf.DUMMYFUNCTION("IFERROR(FILTER('VPLData(raw)'!F:F,'VPLData(raw)'!B:B=545,'VPLData(raw)'!A:A=A33),0)"),"0")</f>
        <v>0</v>
      </c>
    </row>
    <row r="34">
      <c r="A34" s="1">
        <v>10181.0</v>
      </c>
      <c r="B34" s="1">
        <v>1.0276866E7</v>
      </c>
      <c r="C34">
        <f>IFERROR(__xludf.DUMMYFUNCTION("IFERROR(FILTER('VPLData(raw)'!C:C,'VPLData(raw)'!B:B=504,'VPLData(raw)'!A:A=A34),0)"),"0")</f>
        <v>0</v>
      </c>
      <c r="D34" s="7">
        <f>IFERROR(__xludf.DUMMYFUNCTION("IFERROR(IF(C34&gt;0, FILTER('VPLData(raw)'!E:E,'VPLData(raw)'!B:B=504,'VPLData(raw)'!A:A=A34), 0),0)"),"0")</f>
        <v>0</v>
      </c>
      <c r="E34">
        <f>IFERROR(__xludf.DUMMYFUNCTION("IFERROR(FILTER('VPLData(raw)'!F:F,'VPLData(raw)'!B:B=504,'VPLData(raw)'!A:A=A34),0)"),"0")</f>
        <v>0</v>
      </c>
      <c r="F34">
        <f>IFERROR(__xludf.DUMMYFUNCTION("IFERROR(FILTER('VPLData(raw)'!C:C,'VPLData(raw)'!B:B=454,'VPLData(raw)'!A:A=A34),0)"),"1491480410")</f>
        <v>1491480410</v>
      </c>
      <c r="G34">
        <f>IFERROR(__xludf.DUMMYFUNCTION("IFERROR(IF(F34&gt;0, FILTER('VPLData(raw)'!E:E,'VPLData(raw)'!B:B=454,'VPLData(raw)'!A:A=A34), 0),0)"),"10")</f>
        <v>10</v>
      </c>
      <c r="H34">
        <f>IFERROR(__xludf.DUMMYFUNCTION("IFERROR(FILTER('VPLData(raw)'!F:F,'VPLData(raw)'!B:B=454,'VPLData(raw)'!A:A=A34),0)"),"220")</f>
        <v>220</v>
      </c>
      <c r="I34">
        <f>IFERROR(__xludf.DUMMYFUNCTION("IFERROR(FILTER('VPLData(raw)'!C:C,'VPLData(raw)'!B:B=457,'VPLData(raw)'!A:A=A34),0)"),"1491850793")</f>
        <v>1491850793</v>
      </c>
      <c r="J34">
        <f>IFERROR(__xludf.DUMMYFUNCTION("IFERROR(IF(I34&gt;0, FILTER('VPLData(raw)'!E:E,'VPLData(raw)'!B:B=457,'VPLData(raw)'!A:A=A34), 0),0)"),"10")</f>
        <v>10</v>
      </c>
      <c r="K34">
        <f>IFERROR(__xludf.DUMMYFUNCTION("IFERROR(FILTER('VPLData(raw)'!F:F,'VPLData(raw)'!B:B=457,'VPLData(raw)'!A:A=A34),0)"),"487")</f>
        <v>487</v>
      </c>
      <c r="L34">
        <f>IFERROR(__xludf.DUMMYFUNCTION("IFERROR(FILTER('VPLData(raw)'!C:C,'VPLData(raw)'!B:B=534,'VPLData(raw)'!A:A=A34),0)"),"0")</f>
        <v>0</v>
      </c>
      <c r="M34">
        <f>IFERROR(__xludf.DUMMYFUNCTION("IFERROR(IF(L34&gt;0, FILTER('VPLData(raw)'!E:E,'VPLData(raw)'!B:B=534,'VPLData(raw)'!A:A=A34), 0),0)"),"0")</f>
        <v>0</v>
      </c>
      <c r="N34">
        <f>IFERROR(__xludf.DUMMYFUNCTION("IFERROR(FILTER('VPLData(raw)'!F:F,'VPLData(raw)'!B:B=534,'VPLData(raw)'!A:A=A34),0)"),"0")</f>
        <v>0</v>
      </c>
      <c r="O34">
        <f>IFERROR(__xludf.DUMMYFUNCTION("IFERROR(FILTER('VPLData(raw)'!C:C,'VPLData(raw)'!B:B=498,'VPLData(raw)'!A:A=A34),0)"),"1492475458")</f>
        <v>1492475458</v>
      </c>
      <c r="P34" t="str">
        <f>IFERROR(__xludf.DUMMYFUNCTION("IFERROR(IF(O34&gt;0, FILTER('VPLData(raw)'!E:E,'VPLData(raw)'!B:B=498,'VPLData(raw)'!A:A=A34), 0),0)"),"")</f>
        <v/>
      </c>
      <c r="Q34">
        <f>IFERROR(__xludf.DUMMYFUNCTION("IFERROR(FILTER('VPLData(raw)'!F:F,'VPLData(raw)'!B:B=498,'VPLData(raw)'!A:A=A34),0)"),"3112")</f>
        <v>3112</v>
      </c>
      <c r="R34">
        <f>IFERROR(__xludf.DUMMYFUNCTION("IFERROR(FILTER('VPLData(raw)'!C:C,'VPLData(raw)'!B:B=515,'VPLData(raw)'!A:A=A34),0)"),"1492619186")</f>
        <v>1492619186</v>
      </c>
      <c r="S34" t="str">
        <f>IFERROR(__xludf.DUMMYFUNCTION("IFERROR(IF(R34&gt;0, FILTER('VPLData(raw)'!E:E,'VPLData(raw)'!B:B=515,'VPLData(raw)'!A:A=A34), 0),0)"),"")</f>
        <v/>
      </c>
      <c r="T34">
        <f>IFERROR(__xludf.DUMMYFUNCTION("IFERROR(FILTER('VPLData(raw)'!F:F,'VPLData(raw)'!B:B=515,'VPLData(raw)'!A:A=A34),0)"),"27")</f>
        <v>27</v>
      </c>
      <c r="U34">
        <f>IFERROR(__xludf.DUMMYFUNCTION("IFERROR(FILTER('VPLData(raw)'!C:C,'VPLData(raw)'!B:B=528,'VPLData(raw)'!A:A=A34),0)"),"0")</f>
        <v>0</v>
      </c>
      <c r="V34">
        <f>IFERROR(__xludf.DUMMYFUNCTION("IFERROR(IF(U34&gt;0, FILTER('VPLData(raw)'!E:E,'VPLData(raw)'!B:B=528,'VPLData(raw)'!A:A=A34), 0),0)"),"0")</f>
        <v>0</v>
      </c>
      <c r="W34">
        <f>IFERROR(__xludf.DUMMYFUNCTION("IFERROR(FILTER('VPLData(raw)'!F:F,'VPLData(raw)'!B:B=528,'VPLData(raw)'!A:A=A34),0)"),"0")</f>
        <v>0</v>
      </c>
      <c r="X34">
        <f>IFERROR(__xludf.DUMMYFUNCTION("IFERROR(FILTER('VPLData(raw)'!C:C,'VPLData(raw)'!B:B=524,'VPLData(raw)'!A:A=A34),0)"),"0")</f>
        <v>0</v>
      </c>
      <c r="Y34">
        <f>IFERROR(__xludf.DUMMYFUNCTION("IFERROR(IF(X34&gt;0, FILTER('VPLData(raw)'!E:E,'VPLData(raw)'!B:B=524,'VPLData(raw)'!A:A=A34), 0),0)"),"0")</f>
        <v>0</v>
      </c>
      <c r="Z34">
        <f>IFERROR(__xludf.DUMMYFUNCTION("IFERROR(FILTER('VPLData(raw)'!F:F,'VPLData(raw)'!B:B=524,'VPLData(raw)'!A:A=A34),0)"),"0")</f>
        <v>0</v>
      </c>
      <c r="AA34">
        <f>IFERROR(__xludf.DUMMYFUNCTION("IFERROR(FILTER('VPLData(raw)'!C:C,'VPLData(raw)'!B:B=478,'VPLData(raw)'!A:A=A34),0)"),"1494890834")</f>
        <v>1494890834</v>
      </c>
      <c r="AB34" t="str">
        <f>IFERROR(__xludf.DUMMYFUNCTION("IFERROR(IF(AA34&gt;0, FILTER('VPLData(raw)'!E:E,'VPLData(raw)'!B:B=478,'VPLData(raw)'!A:A=A34), 0),0)"),"")</f>
        <v/>
      </c>
      <c r="AC34">
        <f>IFERROR(__xludf.DUMMYFUNCTION("IFERROR(FILTER('VPLData(raw)'!F:F,'VPLData(raw)'!B:B=478,'VPLData(raw)'!A:A=A34),0)"),"1873")</f>
        <v>1873</v>
      </c>
      <c r="AD34">
        <f>IFERROR(__xludf.DUMMYFUNCTION("IFERROR(FILTER('VPLData(raw)'!C:C,'VPLData(raw)'!B:B=542,'VPLData(raw)'!A:A=A34),0)"),"1499453118")</f>
        <v>1499453118</v>
      </c>
      <c r="AE34">
        <f>IFERROR(__xludf.DUMMYFUNCTION("IFERROR(IF(AD34&gt;0, FILTER('VPLData(raw)'!E:E,'VPLData(raw)'!B:B=542,'VPLData(raw)'!A:A=A34), 0),0)"),"10")</f>
        <v>10</v>
      </c>
      <c r="AF34">
        <f>IFERROR(__xludf.DUMMYFUNCTION("IFERROR(FILTER('VPLData(raw)'!F:F,'VPLData(raw)'!B:B=542,'VPLData(raw)'!A:A=A34),0)"),"526")</f>
        <v>526</v>
      </c>
      <c r="AG34">
        <f>IFERROR(__xludf.DUMMYFUNCTION("IFERROR(FILTER('VPLData(raw)'!C:C,'VPLData(raw)'!B:B=544,'VPLData(raw)'!A:A=A34),0)"),"1499459504")</f>
        <v>1499459504</v>
      </c>
      <c r="AH34">
        <f>IFERROR(__xludf.DUMMYFUNCTION("IFERROR(IF(AG34&gt;0, FILTER('VPLData(raw)'!E:E,'VPLData(raw)'!B:B=544,'VPLData(raw)'!A:A=A34), 0),0)"),"10")</f>
        <v>10</v>
      </c>
      <c r="AI34">
        <f>IFERROR(__xludf.DUMMYFUNCTION("IFERROR(FILTER('VPLData(raw)'!F:F,'VPLData(raw)'!B:B=544,'VPLData(raw)'!A:A=A34),0)"),"4172")</f>
        <v>4172</v>
      </c>
      <c r="AJ34">
        <f>IFERROR(__xludf.DUMMYFUNCTION("IFERROR(FILTER('VPLData(raw)'!C:C,'VPLData(raw)'!B:B=545,'VPLData(raw)'!A:A=A34),0)"),"1499479403")</f>
        <v>1499479403</v>
      </c>
      <c r="AK34">
        <f>IFERROR(__xludf.DUMMYFUNCTION("IFERROR(IF(AJ34&gt;0, FILTER('VPLData(raw)'!E:E,'VPLData(raw)'!B:B=545,'VPLData(raw)'!A:A=A34), 0),0)"),"10")</f>
        <v>10</v>
      </c>
      <c r="AL34">
        <f>IFERROR(__xludf.DUMMYFUNCTION("IFERROR(FILTER('VPLData(raw)'!F:F,'VPLData(raw)'!B:B=545,'VPLData(raw)'!A:A=A34),0)"),"683")</f>
        <v>683</v>
      </c>
    </row>
    <row r="35">
      <c r="A35" s="1">
        <v>10190.0</v>
      </c>
      <c r="B35" s="1">
        <v>1.0276907E7</v>
      </c>
      <c r="C35">
        <f>IFERROR(__xludf.DUMMYFUNCTION("IFERROR(FILTER('VPLData(raw)'!C:C,'VPLData(raw)'!B:B=504,'VPLData(raw)'!A:A=A35),0)"),"0")</f>
        <v>0</v>
      </c>
      <c r="D35" s="7">
        <f>IFERROR(__xludf.DUMMYFUNCTION("IFERROR(IF(C35&gt;0, FILTER('VPLData(raw)'!E:E,'VPLData(raw)'!B:B=504,'VPLData(raw)'!A:A=A35), 0),0)"),"0")</f>
        <v>0</v>
      </c>
      <c r="E35">
        <f>IFERROR(__xludf.DUMMYFUNCTION("IFERROR(FILTER('VPLData(raw)'!F:F,'VPLData(raw)'!B:B=504,'VPLData(raw)'!A:A=A35),0)"),"0")</f>
        <v>0</v>
      </c>
      <c r="F35">
        <f>IFERROR(__xludf.DUMMYFUNCTION("IFERROR(FILTER('VPLData(raw)'!C:C,'VPLData(raw)'!B:B=454,'VPLData(raw)'!A:A=A35),0)"),"0")</f>
        <v>0</v>
      </c>
      <c r="G35">
        <f>IFERROR(__xludf.DUMMYFUNCTION("IFERROR(IF(F35&gt;0, FILTER('VPLData(raw)'!E:E,'VPLData(raw)'!B:B=454,'VPLData(raw)'!A:A=A35), 0),0)"),"0")</f>
        <v>0</v>
      </c>
      <c r="H35">
        <f>IFERROR(__xludf.DUMMYFUNCTION("IFERROR(FILTER('VPLData(raw)'!F:F,'VPLData(raw)'!B:B=454,'VPLData(raw)'!A:A=A35),0)"),"0")</f>
        <v>0</v>
      </c>
      <c r="I35">
        <f>IFERROR(__xludf.DUMMYFUNCTION("IFERROR(FILTER('VPLData(raw)'!C:C,'VPLData(raw)'!B:B=457,'VPLData(raw)'!A:A=A35),0)"),"0")</f>
        <v>0</v>
      </c>
      <c r="J35">
        <f>IFERROR(__xludf.DUMMYFUNCTION("IFERROR(IF(I35&gt;0, FILTER('VPLData(raw)'!E:E,'VPLData(raw)'!B:B=457,'VPLData(raw)'!A:A=A35), 0),0)"),"0")</f>
        <v>0</v>
      </c>
      <c r="K35">
        <f>IFERROR(__xludf.DUMMYFUNCTION("IFERROR(FILTER('VPLData(raw)'!F:F,'VPLData(raw)'!B:B=457,'VPLData(raw)'!A:A=A35),0)"),"0")</f>
        <v>0</v>
      </c>
      <c r="L35">
        <f>IFERROR(__xludf.DUMMYFUNCTION("IFERROR(FILTER('VPLData(raw)'!C:C,'VPLData(raw)'!B:B=534,'VPLData(raw)'!A:A=A35),0)"),"0")</f>
        <v>0</v>
      </c>
      <c r="M35">
        <f>IFERROR(__xludf.DUMMYFUNCTION("IFERROR(IF(L35&gt;0, FILTER('VPLData(raw)'!E:E,'VPLData(raw)'!B:B=534,'VPLData(raw)'!A:A=A35), 0),0)"),"0")</f>
        <v>0</v>
      </c>
      <c r="N35">
        <f>IFERROR(__xludf.DUMMYFUNCTION("IFERROR(FILTER('VPLData(raw)'!F:F,'VPLData(raw)'!B:B=534,'VPLData(raw)'!A:A=A35),0)"),"0")</f>
        <v>0</v>
      </c>
      <c r="O35">
        <f>IFERROR(__xludf.DUMMYFUNCTION("IFERROR(FILTER('VPLData(raw)'!C:C,'VPLData(raw)'!B:B=498,'VPLData(raw)'!A:A=A35),0)"),"1492714734")</f>
        <v>1492714734</v>
      </c>
      <c r="P35">
        <f>IFERROR(__xludf.DUMMYFUNCTION("IFERROR(IF(O35&gt;0, FILTER('VPLData(raw)'!E:E,'VPLData(raw)'!B:B=498,'VPLData(raw)'!A:A=A35), 0),0)"),"10")</f>
        <v>10</v>
      </c>
      <c r="Q35">
        <f>IFERROR(__xludf.DUMMYFUNCTION("IFERROR(FILTER('VPLData(raw)'!F:F,'VPLData(raw)'!B:B=498,'VPLData(raw)'!A:A=A35),0)"),"798")</f>
        <v>798</v>
      </c>
      <c r="R35">
        <f>IFERROR(__xludf.DUMMYFUNCTION("IFERROR(FILTER('VPLData(raw)'!C:C,'VPLData(raw)'!B:B=515,'VPLData(raw)'!A:A=A35),0)"),"0")</f>
        <v>0</v>
      </c>
      <c r="S35">
        <f>IFERROR(__xludf.DUMMYFUNCTION("IFERROR(IF(R35&gt;0, FILTER('VPLData(raw)'!E:E,'VPLData(raw)'!B:B=515,'VPLData(raw)'!A:A=A35), 0),0)"),"0")</f>
        <v>0</v>
      </c>
      <c r="T35">
        <f>IFERROR(__xludf.DUMMYFUNCTION("IFERROR(FILTER('VPLData(raw)'!F:F,'VPLData(raw)'!B:B=515,'VPLData(raw)'!A:A=A35),0)"),"0")</f>
        <v>0</v>
      </c>
      <c r="U35">
        <f>IFERROR(__xludf.DUMMYFUNCTION("IFERROR(FILTER('VPLData(raw)'!C:C,'VPLData(raw)'!B:B=528,'VPLData(raw)'!A:A=A35),0)"),"0")</f>
        <v>0</v>
      </c>
      <c r="V35">
        <f>IFERROR(__xludf.DUMMYFUNCTION("IFERROR(IF(U35&gt;0, FILTER('VPLData(raw)'!E:E,'VPLData(raw)'!B:B=528,'VPLData(raw)'!A:A=A35), 0),0)"),"0")</f>
        <v>0</v>
      </c>
      <c r="W35">
        <f>IFERROR(__xludf.DUMMYFUNCTION("IFERROR(FILTER('VPLData(raw)'!F:F,'VPLData(raw)'!B:B=528,'VPLData(raw)'!A:A=A35),0)"),"0")</f>
        <v>0</v>
      </c>
      <c r="X35">
        <f>IFERROR(__xludf.DUMMYFUNCTION("IFERROR(FILTER('VPLData(raw)'!C:C,'VPLData(raw)'!B:B=524,'VPLData(raw)'!A:A=A35),0)"),"0")</f>
        <v>0</v>
      </c>
      <c r="Y35">
        <f>IFERROR(__xludf.DUMMYFUNCTION("IFERROR(IF(X35&gt;0, FILTER('VPLData(raw)'!E:E,'VPLData(raw)'!B:B=524,'VPLData(raw)'!A:A=A35), 0),0)"),"0")</f>
        <v>0</v>
      </c>
      <c r="Z35">
        <f>IFERROR(__xludf.DUMMYFUNCTION("IFERROR(FILTER('VPLData(raw)'!F:F,'VPLData(raw)'!B:B=524,'VPLData(raw)'!A:A=A35),0)"),"0")</f>
        <v>0</v>
      </c>
      <c r="AA35">
        <f>IFERROR(__xludf.DUMMYFUNCTION("IFERROR(FILTER('VPLData(raw)'!C:C,'VPLData(raw)'!B:B=478,'VPLData(raw)'!A:A=A35),0)"),"0")</f>
        <v>0</v>
      </c>
      <c r="AB35">
        <f>IFERROR(__xludf.DUMMYFUNCTION("IFERROR(IF(AA35&gt;0, FILTER('VPLData(raw)'!E:E,'VPLData(raw)'!B:B=478,'VPLData(raw)'!A:A=A35), 0),0)"),"0")</f>
        <v>0</v>
      </c>
      <c r="AC35">
        <f>IFERROR(__xludf.DUMMYFUNCTION("IFERROR(FILTER('VPLData(raw)'!F:F,'VPLData(raw)'!B:B=478,'VPLData(raw)'!A:A=A35),0)"),"0")</f>
        <v>0</v>
      </c>
      <c r="AD35">
        <f>IFERROR(__xludf.DUMMYFUNCTION("IFERROR(FILTER('VPLData(raw)'!C:C,'VPLData(raw)'!B:B=542,'VPLData(raw)'!A:A=A35),0)"),"1499373305")</f>
        <v>1499373305</v>
      </c>
      <c r="AE35">
        <f>IFERROR(__xludf.DUMMYFUNCTION("IFERROR(IF(AD35&gt;0, FILTER('VPLData(raw)'!E:E,'VPLData(raw)'!B:B=542,'VPLData(raw)'!A:A=A35), 0),0)"),"10")</f>
        <v>10</v>
      </c>
      <c r="AF35">
        <f>IFERROR(__xludf.DUMMYFUNCTION("IFERROR(FILTER('VPLData(raw)'!F:F,'VPLData(raw)'!B:B=542,'VPLData(raw)'!A:A=A35),0)"),"1454")</f>
        <v>1454</v>
      </c>
      <c r="AG35">
        <f>IFERROR(__xludf.DUMMYFUNCTION("IFERROR(FILTER('VPLData(raw)'!C:C,'VPLData(raw)'!B:B=544,'VPLData(raw)'!A:A=A35),0)"),"1499475384")</f>
        <v>1499475384</v>
      </c>
      <c r="AH35" t="str">
        <f>IFERROR(__xludf.DUMMYFUNCTION("IFERROR(IF(AG35&gt;0, FILTER('VPLData(raw)'!E:E,'VPLData(raw)'!B:B=544,'VPLData(raw)'!A:A=A35), 0),0)"),"")</f>
        <v/>
      </c>
      <c r="AI35">
        <f>IFERROR(__xludf.DUMMYFUNCTION("IFERROR(FILTER('VPLData(raw)'!F:F,'VPLData(raw)'!B:B=544,'VPLData(raw)'!A:A=A35),0)"),"5676")</f>
        <v>5676</v>
      </c>
      <c r="AJ35">
        <f>IFERROR(__xludf.DUMMYFUNCTION("IFERROR(FILTER('VPLData(raw)'!C:C,'VPLData(raw)'!B:B=545,'VPLData(raw)'!A:A=A35),0)"),"1499483387")</f>
        <v>1499483387</v>
      </c>
      <c r="AK35">
        <f>IFERROR(__xludf.DUMMYFUNCTION("IFERROR(IF(AJ35&gt;0, FILTER('VPLData(raw)'!E:E,'VPLData(raw)'!B:B=545,'VPLData(raw)'!A:A=A35), 0),0)"),"10")</f>
        <v>10</v>
      </c>
      <c r="AL35">
        <f>IFERROR(__xludf.DUMMYFUNCTION("IFERROR(FILTER('VPLData(raw)'!F:F,'VPLData(raw)'!B:B=545,'VPLData(raw)'!A:A=A35),0)"),"431")</f>
        <v>431</v>
      </c>
    </row>
    <row r="36">
      <c r="A36" s="1">
        <v>10231.0</v>
      </c>
      <c r="B36" s="1">
        <v>1.0276911E7</v>
      </c>
      <c r="C36">
        <f>IFERROR(__xludf.DUMMYFUNCTION("IFERROR(FILTER('VPLData(raw)'!C:C,'VPLData(raw)'!B:B=504,'VPLData(raw)'!A:A=A36),0)"),"0")</f>
        <v>0</v>
      </c>
      <c r="D36" s="7">
        <f>IFERROR(__xludf.DUMMYFUNCTION("IFERROR(IF(C36&gt;0, FILTER('VPLData(raw)'!E:E,'VPLData(raw)'!B:B=504,'VPLData(raw)'!A:A=A36), 0),0)"),"0")</f>
        <v>0</v>
      </c>
      <c r="E36">
        <f>IFERROR(__xludf.DUMMYFUNCTION("IFERROR(FILTER('VPLData(raw)'!F:F,'VPLData(raw)'!B:B=504,'VPLData(raw)'!A:A=A36),0)"),"0")</f>
        <v>0</v>
      </c>
      <c r="F36">
        <f>IFERROR(__xludf.DUMMYFUNCTION("IFERROR(FILTER('VPLData(raw)'!C:C,'VPLData(raw)'!B:B=454,'VPLData(raw)'!A:A=A36),0)"),"1491497112")</f>
        <v>1491497112</v>
      </c>
      <c r="G36">
        <f>IFERROR(__xludf.DUMMYFUNCTION("IFERROR(IF(F36&gt;0, FILTER('VPLData(raw)'!E:E,'VPLData(raw)'!B:B=454,'VPLData(raw)'!A:A=A36), 0),0)"),"10")</f>
        <v>10</v>
      </c>
      <c r="H36">
        <f>IFERROR(__xludf.DUMMYFUNCTION("IFERROR(FILTER('VPLData(raw)'!F:F,'VPLData(raw)'!B:B=454,'VPLData(raw)'!A:A=A36),0)"),"295")</f>
        <v>295</v>
      </c>
      <c r="I36">
        <f>IFERROR(__xludf.DUMMYFUNCTION("IFERROR(FILTER('VPLData(raw)'!C:C,'VPLData(raw)'!B:B=457,'VPLData(raw)'!A:A=A36),0)"),"1491659803")</f>
        <v>1491659803</v>
      </c>
      <c r="J36">
        <f>IFERROR(__xludf.DUMMYFUNCTION("IFERROR(IF(I36&gt;0, FILTER('VPLData(raw)'!E:E,'VPLData(raw)'!B:B=457,'VPLData(raw)'!A:A=A36), 0),0)"),"10")</f>
        <v>10</v>
      </c>
      <c r="K36">
        <f>IFERROR(__xludf.DUMMYFUNCTION("IFERROR(FILTER('VPLData(raw)'!F:F,'VPLData(raw)'!B:B=457,'VPLData(raw)'!A:A=A36),0)"),"969")</f>
        <v>969</v>
      </c>
      <c r="L36">
        <f>IFERROR(__xludf.DUMMYFUNCTION("IFERROR(FILTER('VPLData(raw)'!C:C,'VPLData(raw)'!B:B=534,'VPLData(raw)'!A:A=A36),0)"),"0")</f>
        <v>0</v>
      </c>
      <c r="M36">
        <f>IFERROR(__xludf.DUMMYFUNCTION("IFERROR(IF(L36&gt;0, FILTER('VPLData(raw)'!E:E,'VPLData(raw)'!B:B=534,'VPLData(raw)'!A:A=A36), 0),0)"),"0")</f>
        <v>0</v>
      </c>
      <c r="N36">
        <f>IFERROR(__xludf.DUMMYFUNCTION("IFERROR(FILTER('VPLData(raw)'!F:F,'VPLData(raw)'!B:B=534,'VPLData(raw)'!A:A=A36),0)"),"0")</f>
        <v>0</v>
      </c>
      <c r="O36">
        <f>IFERROR(__xludf.DUMMYFUNCTION("IFERROR(FILTER('VPLData(raw)'!C:C,'VPLData(raw)'!B:B=498,'VPLData(raw)'!A:A=A36),0)"),"1492782133")</f>
        <v>1492782133</v>
      </c>
      <c r="P36">
        <f>IFERROR(__xludf.DUMMYFUNCTION("IFERROR(IF(O36&gt;0, FILTER('VPLData(raw)'!E:E,'VPLData(raw)'!B:B=498,'VPLData(raw)'!A:A=A36), 0),0)"),"10")</f>
        <v>10</v>
      </c>
      <c r="Q36">
        <f>IFERROR(__xludf.DUMMYFUNCTION("IFERROR(FILTER('VPLData(raw)'!F:F,'VPLData(raw)'!B:B=498,'VPLData(raw)'!A:A=A36),0)"),"342")</f>
        <v>342</v>
      </c>
      <c r="R36">
        <f>IFERROR(__xludf.DUMMYFUNCTION("IFERROR(FILTER('VPLData(raw)'!C:C,'VPLData(raw)'!B:B=515,'VPLData(raw)'!A:A=A36),0)"),"1492782532")</f>
        <v>1492782532</v>
      </c>
      <c r="S36">
        <f>IFERROR(__xludf.DUMMYFUNCTION("IFERROR(IF(R36&gt;0, FILTER('VPLData(raw)'!E:E,'VPLData(raw)'!B:B=515,'VPLData(raw)'!A:A=A36), 0),0)"),"10")</f>
        <v>10</v>
      </c>
      <c r="T36">
        <f>IFERROR(__xludf.DUMMYFUNCTION("IFERROR(FILTER('VPLData(raw)'!F:F,'VPLData(raw)'!B:B=515,'VPLData(raw)'!A:A=A36),0)"),"1980")</f>
        <v>1980</v>
      </c>
      <c r="U36">
        <f>IFERROR(__xludf.DUMMYFUNCTION("IFERROR(FILTER('VPLData(raw)'!C:C,'VPLData(raw)'!B:B=528,'VPLData(raw)'!A:A=A36),0)"),"1494499987")</f>
        <v>1494499987</v>
      </c>
      <c r="V36">
        <f>IFERROR(__xludf.DUMMYFUNCTION("IFERROR(IF(U36&gt;0, FILTER('VPLData(raw)'!E:E,'VPLData(raw)'!B:B=528,'VPLData(raw)'!A:A=A36), 0),0)"),"10")</f>
        <v>10</v>
      </c>
      <c r="W36">
        <f>IFERROR(__xludf.DUMMYFUNCTION("IFERROR(FILTER('VPLData(raw)'!F:F,'VPLData(raw)'!B:B=528,'VPLData(raw)'!A:A=A36),0)"),"1062")</f>
        <v>1062</v>
      </c>
      <c r="X36">
        <f>IFERROR(__xludf.DUMMYFUNCTION("IFERROR(FILTER('VPLData(raw)'!C:C,'VPLData(raw)'!B:B=524,'VPLData(raw)'!A:A=A36),0)"),"1494521523")</f>
        <v>1494521523</v>
      </c>
      <c r="Y36">
        <f>IFERROR(__xludf.DUMMYFUNCTION("IFERROR(IF(X36&gt;0, FILTER('VPLData(raw)'!E:E,'VPLData(raw)'!B:B=524,'VPLData(raw)'!A:A=A36), 0),0)"),"10")</f>
        <v>10</v>
      </c>
      <c r="Z36">
        <f>IFERROR(__xludf.DUMMYFUNCTION("IFERROR(FILTER('VPLData(raw)'!F:F,'VPLData(raw)'!B:B=524,'VPLData(raw)'!A:A=A36),0)"),"1576")</f>
        <v>1576</v>
      </c>
      <c r="AA36">
        <f>IFERROR(__xludf.DUMMYFUNCTION("IFERROR(FILTER('VPLData(raw)'!C:C,'VPLData(raw)'!B:B=478,'VPLData(raw)'!A:A=A36),0)"),"1494540254")</f>
        <v>1494540254</v>
      </c>
      <c r="AB36">
        <f>IFERROR(__xludf.DUMMYFUNCTION("IFERROR(IF(AA36&gt;0, FILTER('VPLData(raw)'!E:E,'VPLData(raw)'!B:B=478,'VPLData(raw)'!A:A=A36), 0),0)"),"10")</f>
        <v>10</v>
      </c>
      <c r="AC36">
        <f>IFERROR(__xludf.DUMMYFUNCTION("IFERROR(FILTER('VPLData(raw)'!F:F,'VPLData(raw)'!B:B=478,'VPLData(raw)'!A:A=A36),0)"),"8087")</f>
        <v>8087</v>
      </c>
      <c r="AD36">
        <f>IFERROR(__xludf.DUMMYFUNCTION("IFERROR(FILTER('VPLData(raw)'!C:C,'VPLData(raw)'!B:B=542,'VPLData(raw)'!A:A=A36),0)"),"1497579276")</f>
        <v>1497579276</v>
      </c>
      <c r="AE36">
        <f>IFERROR(__xludf.DUMMYFUNCTION("IFERROR(IF(AD36&gt;0, FILTER('VPLData(raw)'!E:E,'VPLData(raw)'!B:B=542,'VPLData(raw)'!A:A=A36), 0),0)"),"10")</f>
        <v>10</v>
      </c>
      <c r="AF36">
        <f>IFERROR(__xludf.DUMMYFUNCTION("IFERROR(FILTER('VPLData(raw)'!F:F,'VPLData(raw)'!B:B=542,'VPLData(raw)'!A:A=A36),0)"),"3000")</f>
        <v>3000</v>
      </c>
      <c r="AG36">
        <f>IFERROR(__xludf.DUMMYFUNCTION("IFERROR(FILTER('VPLData(raw)'!C:C,'VPLData(raw)'!B:B=544,'VPLData(raw)'!A:A=A36),0)"),"1497627488")</f>
        <v>1497627488</v>
      </c>
      <c r="AH36">
        <f>IFERROR(__xludf.DUMMYFUNCTION("IFERROR(IF(AG36&gt;0, FILTER('VPLData(raw)'!E:E,'VPLData(raw)'!B:B=544,'VPLData(raw)'!A:A=A36), 0),0)"),"10")</f>
        <v>10</v>
      </c>
      <c r="AI36">
        <f>IFERROR(__xludf.DUMMYFUNCTION("IFERROR(FILTER('VPLData(raw)'!F:F,'VPLData(raw)'!B:B=544,'VPLData(raw)'!A:A=A36),0)"),"5638")</f>
        <v>5638</v>
      </c>
      <c r="AJ36">
        <f>IFERROR(__xludf.DUMMYFUNCTION("IFERROR(FILTER('VPLData(raw)'!C:C,'VPLData(raw)'!B:B=545,'VPLData(raw)'!A:A=A36),0)"),"1497635431")</f>
        <v>1497635431</v>
      </c>
      <c r="AK36" t="str">
        <f>IFERROR(__xludf.DUMMYFUNCTION("IFERROR(IF(AJ36&gt;0, FILTER('VPLData(raw)'!E:E,'VPLData(raw)'!B:B=545,'VPLData(raw)'!A:A=A36), 0),0)"),"")</f>
        <v/>
      </c>
      <c r="AL36">
        <f>IFERROR(__xludf.DUMMYFUNCTION("IFERROR(FILTER('VPLData(raw)'!F:F,'VPLData(raw)'!B:B=545,'VPLData(raw)'!A:A=A36),0)"),"29022")</f>
        <v>29022</v>
      </c>
    </row>
    <row r="37">
      <c r="A37" s="1">
        <v>10201.0</v>
      </c>
      <c r="B37" s="1">
        <v>1.0276928E7</v>
      </c>
      <c r="C37">
        <f>IFERROR(__xludf.DUMMYFUNCTION("IFERROR(FILTER('VPLData(raw)'!C:C,'VPLData(raw)'!B:B=504,'VPLData(raw)'!A:A=A37),0)"),"1490751803")</f>
        <v>1490751803</v>
      </c>
      <c r="D37" s="7">
        <f>IFERROR(__xludf.DUMMYFUNCTION("IFERROR(IF(C37&gt;0, FILTER('VPLData(raw)'!E:E,'VPLData(raw)'!B:B=504,'VPLData(raw)'!A:A=A37), 0),0)"),"10")</f>
        <v>10</v>
      </c>
      <c r="E37">
        <f>IFERROR(__xludf.DUMMYFUNCTION("IFERROR(FILTER('VPLData(raw)'!F:F,'VPLData(raw)'!B:B=504,'VPLData(raw)'!A:A=A37),0)"),"592")</f>
        <v>592</v>
      </c>
      <c r="F37">
        <f>IFERROR(__xludf.DUMMYFUNCTION("IFERROR(FILTER('VPLData(raw)'!C:C,'VPLData(raw)'!B:B=454,'VPLData(raw)'!A:A=A37),0)"),"1491521351")</f>
        <v>1491521351</v>
      </c>
      <c r="G37">
        <f>IFERROR(__xludf.DUMMYFUNCTION("IFERROR(IF(F37&gt;0, FILTER('VPLData(raw)'!E:E,'VPLData(raw)'!B:B=454,'VPLData(raw)'!A:A=A37), 0),0)"),"10")</f>
        <v>10</v>
      </c>
      <c r="H37">
        <f>IFERROR(__xludf.DUMMYFUNCTION("IFERROR(FILTER('VPLData(raw)'!F:F,'VPLData(raw)'!B:B=454,'VPLData(raw)'!A:A=A37),0)"),"1769")</f>
        <v>1769</v>
      </c>
      <c r="I37">
        <f>IFERROR(__xludf.DUMMYFUNCTION("IFERROR(FILTER('VPLData(raw)'!C:C,'VPLData(raw)'!B:B=457,'VPLData(raw)'!A:A=A37),0)"),"1491870766")</f>
        <v>1491870766</v>
      </c>
      <c r="J37">
        <f>IFERROR(__xludf.DUMMYFUNCTION("IFERROR(IF(I37&gt;0, FILTER('VPLData(raw)'!E:E,'VPLData(raw)'!B:B=457,'VPLData(raw)'!A:A=A37), 0),0)"),"10")</f>
        <v>10</v>
      </c>
      <c r="K37">
        <f>IFERROR(__xludf.DUMMYFUNCTION("IFERROR(FILTER('VPLData(raw)'!F:F,'VPLData(raw)'!B:B=457,'VPLData(raw)'!A:A=A37),0)"),"4369")</f>
        <v>4369</v>
      </c>
      <c r="L37">
        <f>IFERROR(__xludf.DUMMYFUNCTION("IFERROR(FILTER('VPLData(raw)'!C:C,'VPLData(raw)'!B:B=534,'VPLData(raw)'!A:A=A37),0)"),"0")</f>
        <v>0</v>
      </c>
      <c r="M37">
        <f>IFERROR(__xludf.DUMMYFUNCTION("IFERROR(IF(L37&gt;0, FILTER('VPLData(raw)'!E:E,'VPLData(raw)'!B:B=534,'VPLData(raw)'!A:A=A37), 0),0)"),"0")</f>
        <v>0</v>
      </c>
      <c r="N37">
        <f>IFERROR(__xludf.DUMMYFUNCTION("IFERROR(FILTER('VPLData(raw)'!F:F,'VPLData(raw)'!B:B=534,'VPLData(raw)'!A:A=A37),0)"),"0")</f>
        <v>0</v>
      </c>
      <c r="O37">
        <f>IFERROR(__xludf.DUMMYFUNCTION("IFERROR(FILTER('VPLData(raw)'!C:C,'VPLData(raw)'!B:B=498,'VPLData(raw)'!A:A=A37),0)"),"1492445713")</f>
        <v>1492445713</v>
      </c>
      <c r="P37">
        <f>IFERROR(__xludf.DUMMYFUNCTION("IFERROR(IF(O37&gt;0, FILTER('VPLData(raw)'!E:E,'VPLData(raw)'!B:B=498,'VPLData(raw)'!A:A=A37), 0),0)"),"10")</f>
        <v>10</v>
      </c>
      <c r="Q37">
        <f>IFERROR(__xludf.DUMMYFUNCTION("IFERROR(FILTER('VPLData(raw)'!F:F,'VPLData(raw)'!B:B=498,'VPLData(raw)'!A:A=A37),0)"),"1095")</f>
        <v>1095</v>
      </c>
      <c r="R37">
        <f>IFERROR(__xludf.DUMMYFUNCTION("IFERROR(FILTER('VPLData(raw)'!C:C,'VPLData(raw)'!B:B=515,'VPLData(raw)'!A:A=A37),0)"),"1492446217")</f>
        <v>1492446217</v>
      </c>
      <c r="S37">
        <f>IFERROR(__xludf.DUMMYFUNCTION("IFERROR(IF(R37&gt;0, FILTER('VPLData(raw)'!E:E,'VPLData(raw)'!B:B=515,'VPLData(raw)'!A:A=A37), 0),0)"),"10")</f>
        <v>10</v>
      </c>
      <c r="T37">
        <f>IFERROR(__xludf.DUMMYFUNCTION("IFERROR(FILTER('VPLData(raw)'!F:F,'VPLData(raw)'!B:B=515,'VPLData(raw)'!A:A=A37),0)"),"2478")</f>
        <v>2478</v>
      </c>
      <c r="U37">
        <f>IFERROR(__xludf.DUMMYFUNCTION("IFERROR(FILTER('VPLData(raw)'!C:C,'VPLData(raw)'!B:B=528,'VPLData(raw)'!A:A=A37),0)"),"1494520579")</f>
        <v>1494520579</v>
      </c>
      <c r="V37">
        <f>IFERROR(__xludf.DUMMYFUNCTION("IFERROR(IF(U37&gt;0, FILTER('VPLData(raw)'!E:E,'VPLData(raw)'!B:B=528,'VPLData(raw)'!A:A=A37), 0),0)"),"10")</f>
        <v>10</v>
      </c>
      <c r="W37">
        <f>IFERROR(__xludf.DUMMYFUNCTION("IFERROR(FILTER('VPLData(raw)'!F:F,'VPLData(raw)'!B:B=528,'VPLData(raw)'!A:A=A37),0)"),"476")</f>
        <v>476</v>
      </c>
      <c r="X37">
        <f>IFERROR(__xludf.DUMMYFUNCTION("IFERROR(FILTER('VPLData(raw)'!C:C,'VPLData(raw)'!B:B=524,'VPLData(raw)'!A:A=A37),0)"),"1494861244")</f>
        <v>1494861244</v>
      </c>
      <c r="Y37">
        <f>IFERROR(__xludf.DUMMYFUNCTION("IFERROR(IF(X37&gt;0, FILTER('VPLData(raw)'!E:E,'VPLData(raw)'!B:B=524,'VPLData(raw)'!A:A=A37), 0),0)"),"10")</f>
        <v>10</v>
      </c>
      <c r="Z37">
        <f>IFERROR(__xludf.DUMMYFUNCTION("IFERROR(FILTER('VPLData(raw)'!F:F,'VPLData(raw)'!B:B=524,'VPLData(raw)'!A:A=A37),0)"),"1476")</f>
        <v>1476</v>
      </c>
      <c r="AA37">
        <f>IFERROR(__xludf.DUMMYFUNCTION("IFERROR(FILTER('VPLData(raw)'!C:C,'VPLData(raw)'!B:B=478,'VPLData(raw)'!A:A=A37),0)"),"1494861290")</f>
        <v>1494861290</v>
      </c>
      <c r="AB37" t="str">
        <f>IFERROR(__xludf.DUMMYFUNCTION("IFERROR(IF(AA37&gt;0, FILTER('VPLData(raw)'!E:E,'VPLData(raw)'!B:B=478,'VPLData(raw)'!A:A=A37), 0),0)"),"")</f>
        <v/>
      </c>
      <c r="AC37">
        <f>IFERROR(__xludf.DUMMYFUNCTION("IFERROR(FILTER('VPLData(raw)'!F:F,'VPLData(raw)'!B:B=478,'VPLData(raw)'!A:A=A37),0)"),"2093")</f>
        <v>2093</v>
      </c>
      <c r="AD37">
        <f>IFERROR(__xludf.DUMMYFUNCTION("IFERROR(FILTER('VPLData(raw)'!C:C,'VPLData(raw)'!B:B=542,'VPLData(raw)'!A:A=A37),0)"),"1499266696")</f>
        <v>1499266696</v>
      </c>
      <c r="AE37">
        <f>IFERROR(__xludf.DUMMYFUNCTION("IFERROR(IF(AD37&gt;0, FILTER('VPLData(raw)'!E:E,'VPLData(raw)'!B:B=542,'VPLData(raw)'!A:A=A37), 0),0)"),"10")</f>
        <v>10</v>
      </c>
      <c r="AF37">
        <f>IFERROR(__xludf.DUMMYFUNCTION("IFERROR(FILTER('VPLData(raw)'!F:F,'VPLData(raw)'!B:B=542,'VPLData(raw)'!A:A=A37),0)"),"2117")</f>
        <v>2117</v>
      </c>
      <c r="AG37">
        <f>IFERROR(__xludf.DUMMYFUNCTION("IFERROR(FILTER('VPLData(raw)'!C:C,'VPLData(raw)'!B:B=544,'VPLData(raw)'!A:A=A37),0)"),"1499271074")</f>
        <v>1499271074</v>
      </c>
      <c r="AH37">
        <f>IFERROR(__xludf.DUMMYFUNCTION("IFERROR(IF(AG37&gt;0, FILTER('VPLData(raw)'!E:E,'VPLData(raw)'!B:B=544,'VPLData(raw)'!A:A=A37), 0),0)"),"10")</f>
        <v>10</v>
      </c>
      <c r="AI37">
        <f>IFERROR(__xludf.DUMMYFUNCTION("IFERROR(FILTER('VPLData(raw)'!F:F,'VPLData(raw)'!B:B=544,'VPLData(raw)'!A:A=A37),0)"),"3182")</f>
        <v>3182</v>
      </c>
      <c r="AJ37">
        <f>IFERROR(__xludf.DUMMYFUNCTION("IFERROR(FILTER('VPLData(raw)'!C:C,'VPLData(raw)'!B:B=545,'VPLData(raw)'!A:A=A37),0)"),"1499362793")</f>
        <v>1499362793</v>
      </c>
      <c r="AK37" t="str">
        <f>IFERROR(__xludf.DUMMYFUNCTION("IFERROR(IF(AJ37&gt;0, FILTER('VPLData(raw)'!E:E,'VPLData(raw)'!B:B=545,'VPLData(raw)'!A:A=A37), 0),0)"),"")</f>
        <v/>
      </c>
      <c r="AL37">
        <f>IFERROR(__xludf.DUMMYFUNCTION("IFERROR(FILTER('VPLData(raw)'!F:F,'VPLData(raw)'!B:B=545,'VPLData(raw)'!A:A=A37),0)"),"5374")</f>
        <v>5374</v>
      </c>
    </row>
    <row r="38">
      <c r="A38" s="1">
        <v>10208.0</v>
      </c>
      <c r="B38" s="1">
        <v>1.0276932E7</v>
      </c>
      <c r="C38">
        <f>IFERROR(__xludf.DUMMYFUNCTION("IFERROR(FILTER('VPLData(raw)'!C:C,'VPLData(raw)'!B:B=504,'VPLData(raw)'!A:A=A38),0)"),"0")</f>
        <v>0</v>
      </c>
      <c r="D38" s="7">
        <f>IFERROR(__xludf.DUMMYFUNCTION("IFERROR(IF(C38&gt;0, FILTER('VPLData(raw)'!E:E,'VPLData(raw)'!B:B=504,'VPLData(raw)'!A:A=A38), 0),0)"),"0")</f>
        <v>0</v>
      </c>
      <c r="E38">
        <f>IFERROR(__xludf.DUMMYFUNCTION("IFERROR(FILTER('VPLData(raw)'!F:F,'VPLData(raw)'!B:B=504,'VPLData(raw)'!A:A=A38),0)"),"0")</f>
        <v>0</v>
      </c>
      <c r="F38">
        <f>IFERROR(__xludf.DUMMYFUNCTION("IFERROR(FILTER('VPLData(raw)'!C:C,'VPLData(raw)'!B:B=454,'VPLData(raw)'!A:A=A38),0)"),"1491759104")</f>
        <v>1491759104</v>
      </c>
      <c r="G38">
        <f>IFERROR(__xludf.DUMMYFUNCTION("IFERROR(IF(F38&gt;0, FILTER('VPLData(raw)'!E:E,'VPLData(raw)'!B:B=454,'VPLData(raw)'!A:A=A38), 0),0)"),"10")</f>
        <v>10</v>
      </c>
      <c r="H38">
        <f>IFERROR(__xludf.DUMMYFUNCTION("IFERROR(FILTER('VPLData(raw)'!F:F,'VPLData(raw)'!B:B=454,'VPLData(raw)'!A:A=A38),0)"),"198")</f>
        <v>198</v>
      </c>
      <c r="I38">
        <f>IFERROR(__xludf.DUMMYFUNCTION("IFERROR(FILTER('VPLData(raw)'!C:C,'VPLData(raw)'!B:B=457,'VPLData(raw)'!A:A=A38),0)"),"1491759985")</f>
        <v>1491759985</v>
      </c>
      <c r="J38">
        <f>IFERROR(__xludf.DUMMYFUNCTION("IFERROR(IF(I38&gt;0, FILTER('VPLData(raw)'!E:E,'VPLData(raw)'!B:B=457,'VPLData(raw)'!A:A=A38), 0),0)"),"10")</f>
        <v>10</v>
      </c>
      <c r="K38">
        <f>IFERROR(__xludf.DUMMYFUNCTION("IFERROR(FILTER('VPLData(raw)'!F:F,'VPLData(raw)'!B:B=457,'VPLData(raw)'!A:A=A38),0)"),"2033")</f>
        <v>2033</v>
      </c>
      <c r="L38">
        <f>IFERROR(__xludf.DUMMYFUNCTION("IFERROR(FILTER('VPLData(raw)'!C:C,'VPLData(raw)'!B:B=534,'VPLData(raw)'!A:A=A38),0)"),"1495649875")</f>
        <v>1495649875</v>
      </c>
      <c r="M38">
        <f>IFERROR(__xludf.DUMMYFUNCTION("IFERROR(IF(L38&gt;0, FILTER('VPLData(raw)'!E:E,'VPLData(raw)'!B:B=534,'VPLData(raw)'!A:A=A38), 0),0)"),"10")</f>
        <v>10</v>
      </c>
      <c r="N38">
        <f>IFERROR(__xludf.DUMMYFUNCTION("IFERROR(FILTER('VPLData(raw)'!F:F,'VPLData(raw)'!B:B=534,'VPLData(raw)'!A:A=A38),0)"),"4218")</f>
        <v>4218</v>
      </c>
      <c r="O38">
        <f>IFERROR(__xludf.DUMMYFUNCTION("IFERROR(FILTER('VPLData(raw)'!C:C,'VPLData(raw)'!B:B=498,'VPLData(raw)'!A:A=A38),0)"),"1492445132")</f>
        <v>1492445132</v>
      </c>
      <c r="P38">
        <f>IFERROR(__xludf.DUMMYFUNCTION("IFERROR(IF(O38&gt;0, FILTER('VPLData(raw)'!E:E,'VPLData(raw)'!B:B=498,'VPLData(raw)'!A:A=A38), 0),0)"),"10")</f>
        <v>10</v>
      </c>
      <c r="Q38">
        <f>IFERROR(__xludf.DUMMYFUNCTION("IFERROR(FILTER('VPLData(raw)'!F:F,'VPLData(raw)'!B:B=498,'VPLData(raw)'!A:A=A38),0)"),"1172")</f>
        <v>1172</v>
      </c>
      <c r="R38">
        <f>IFERROR(__xludf.DUMMYFUNCTION("IFERROR(FILTER('VPLData(raw)'!C:C,'VPLData(raw)'!B:B=515,'VPLData(raw)'!A:A=A38),0)"),"1492447205")</f>
        <v>1492447205</v>
      </c>
      <c r="S38">
        <f>IFERROR(__xludf.DUMMYFUNCTION("IFERROR(IF(R38&gt;0, FILTER('VPLData(raw)'!E:E,'VPLData(raw)'!B:B=515,'VPLData(raw)'!A:A=A38), 0),0)"),"10")</f>
        <v>10</v>
      </c>
      <c r="T38">
        <f>IFERROR(__xludf.DUMMYFUNCTION("IFERROR(FILTER('VPLData(raw)'!F:F,'VPLData(raw)'!B:B=515,'VPLData(raw)'!A:A=A38),0)"),"968")</f>
        <v>968</v>
      </c>
      <c r="U38">
        <f>IFERROR(__xludf.DUMMYFUNCTION("IFERROR(FILTER('VPLData(raw)'!C:C,'VPLData(raw)'!B:B=528,'VPLData(raw)'!A:A=A38),0)"),"1494358372")</f>
        <v>1494358372</v>
      </c>
      <c r="V38">
        <f>IFERROR(__xludf.DUMMYFUNCTION("IFERROR(IF(U38&gt;0, FILTER('VPLData(raw)'!E:E,'VPLData(raw)'!B:B=528,'VPLData(raw)'!A:A=A38), 0),0)"),"10")</f>
        <v>10</v>
      </c>
      <c r="W38">
        <f>IFERROR(__xludf.DUMMYFUNCTION("IFERROR(FILTER('VPLData(raw)'!F:F,'VPLData(raw)'!B:B=528,'VPLData(raw)'!A:A=A38),0)"),"751")</f>
        <v>751</v>
      </c>
      <c r="X38">
        <f>IFERROR(__xludf.DUMMYFUNCTION("IFERROR(FILTER('VPLData(raw)'!C:C,'VPLData(raw)'!B:B=524,'VPLData(raw)'!A:A=A38),0)"),"1494359065")</f>
        <v>1494359065</v>
      </c>
      <c r="Y38">
        <f>IFERROR(__xludf.DUMMYFUNCTION("IFERROR(IF(X38&gt;0, FILTER('VPLData(raw)'!E:E,'VPLData(raw)'!B:B=524,'VPLData(raw)'!A:A=A38), 0),0)"),"10")</f>
        <v>10</v>
      </c>
      <c r="Z38">
        <f>IFERROR(__xludf.DUMMYFUNCTION("IFERROR(FILTER('VPLData(raw)'!F:F,'VPLData(raw)'!B:B=524,'VPLData(raw)'!A:A=A38),0)"),"918")</f>
        <v>918</v>
      </c>
      <c r="AA38">
        <f>IFERROR(__xludf.DUMMYFUNCTION("IFERROR(FILTER('VPLData(raw)'!C:C,'VPLData(raw)'!B:B=478,'VPLData(raw)'!A:A=A38),0)"),"1494359988")</f>
        <v>1494359988</v>
      </c>
      <c r="AB38">
        <f>IFERROR(__xludf.DUMMYFUNCTION("IFERROR(IF(AA38&gt;0, FILTER('VPLData(raw)'!E:E,'VPLData(raw)'!B:B=478,'VPLData(raw)'!A:A=A38), 0),0)"),"10")</f>
        <v>10</v>
      </c>
      <c r="AC38">
        <f>IFERROR(__xludf.DUMMYFUNCTION("IFERROR(FILTER('VPLData(raw)'!F:F,'VPLData(raw)'!B:B=478,'VPLData(raw)'!A:A=A38),0)"),"1631")</f>
        <v>1631</v>
      </c>
      <c r="AD38">
        <f>IFERROR(__xludf.DUMMYFUNCTION("IFERROR(FILTER('VPLData(raw)'!C:C,'VPLData(raw)'!B:B=542,'VPLData(raw)'!A:A=A38),0)"),"1497728706")</f>
        <v>1497728706</v>
      </c>
      <c r="AE38">
        <f>IFERROR(__xludf.DUMMYFUNCTION("IFERROR(IF(AD38&gt;0, FILTER('VPLData(raw)'!E:E,'VPLData(raw)'!B:B=542,'VPLData(raw)'!A:A=A38), 0),0)"),"10")</f>
        <v>10</v>
      </c>
      <c r="AF38">
        <f>IFERROR(__xludf.DUMMYFUNCTION("IFERROR(FILTER('VPLData(raw)'!F:F,'VPLData(raw)'!B:B=542,'VPLData(raw)'!A:A=A38),0)"),"10732")</f>
        <v>10732</v>
      </c>
      <c r="AG38">
        <f>IFERROR(__xludf.DUMMYFUNCTION("IFERROR(FILTER('VPLData(raw)'!C:C,'VPLData(raw)'!B:B=544,'VPLData(raw)'!A:A=A38),0)"),"1497986819")</f>
        <v>1497986819</v>
      </c>
      <c r="AH38">
        <f>IFERROR(__xludf.DUMMYFUNCTION("IFERROR(IF(AG38&gt;0, FILTER('VPLData(raw)'!E:E,'VPLData(raw)'!B:B=544,'VPLData(raw)'!A:A=A38), 0),0)"),"10")</f>
        <v>10</v>
      </c>
      <c r="AI38">
        <f>IFERROR(__xludf.DUMMYFUNCTION("IFERROR(FILTER('VPLData(raw)'!F:F,'VPLData(raw)'!B:B=544,'VPLData(raw)'!A:A=A38),0)"),"8676")</f>
        <v>8676</v>
      </c>
      <c r="AJ38">
        <f>IFERROR(__xludf.DUMMYFUNCTION("IFERROR(FILTER('VPLData(raw)'!C:C,'VPLData(raw)'!B:B=545,'VPLData(raw)'!A:A=A38),0)"),"1498081788")</f>
        <v>1498081788</v>
      </c>
      <c r="AK38">
        <f>IFERROR(__xludf.DUMMYFUNCTION("IFERROR(IF(AJ38&gt;0, FILTER('VPLData(raw)'!E:E,'VPLData(raw)'!B:B=545,'VPLData(raw)'!A:A=A38), 0),0)"),"10")</f>
        <v>10</v>
      </c>
      <c r="AL38">
        <f>IFERROR(__xludf.DUMMYFUNCTION("IFERROR(FILTER('VPLData(raw)'!F:F,'VPLData(raw)'!B:B=545,'VPLData(raw)'!A:A=A38),0)"),"6115")</f>
        <v>6115</v>
      </c>
    </row>
    <row r="39">
      <c r="A39" s="1">
        <v>10176.0</v>
      </c>
      <c r="B39" s="1">
        <v>1.0276949E7</v>
      </c>
      <c r="C39">
        <f>IFERROR(__xludf.DUMMYFUNCTION("IFERROR(FILTER('VPLData(raw)'!C:C,'VPLData(raw)'!B:B=504,'VPLData(raw)'!A:A=A39),0)"),"1490838508")</f>
        <v>1490838508</v>
      </c>
      <c r="D39" s="7">
        <f>IFERROR(__xludf.DUMMYFUNCTION("IFERROR(IF(C39&gt;0, FILTER('VPLData(raw)'!E:E,'VPLData(raw)'!B:B=504,'VPLData(raw)'!A:A=A39), 0),0)"),"10")</f>
        <v>10</v>
      </c>
      <c r="E39">
        <f>IFERROR(__xludf.DUMMYFUNCTION("IFERROR(FILTER('VPLData(raw)'!F:F,'VPLData(raw)'!B:B=504,'VPLData(raw)'!A:A=A39),0)"),"3187")</f>
        <v>3187</v>
      </c>
      <c r="F39">
        <f>IFERROR(__xludf.DUMMYFUNCTION("IFERROR(FILTER('VPLData(raw)'!C:C,'VPLData(raw)'!B:B=454,'VPLData(raw)'!A:A=A39),0)"),"1491528063")</f>
        <v>1491528063</v>
      </c>
      <c r="G39">
        <f>IFERROR(__xludf.DUMMYFUNCTION("IFERROR(IF(F39&gt;0, FILTER('VPLData(raw)'!E:E,'VPLData(raw)'!B:B=454,'VPLData(raw)'!A:A=A39), 0),0)"),"10")</f>
        <v>10</v>
      </c>
      <c r="H39">
        <f>IFERROR(__xludf.DUMMYFUNCTION("IFERROR(FILTER('VPLData(raw)'!F:F,'VPLData(raw)'!B:B=454,'VPLData(raw)'!A:A=A39),0)"),"2123")</f>
        <v>2123</v>
      </c>
      <c r="I39">
        <f>IFERROR(__xludf.DUMMYFUNCTION("IFERROR(FILTER('VPLData(raw)'!C:C,'VPLData(raw)'!B:B=457,'VPLData(raw)'!A:A=A39),0)"),"1491836077")</f>
        <v>1491836077</v>
      </c>
      <c r="J39">
        <f>IFERROR(__xludf.DUMMYFUNCTION("IFERROR(IF(I39&gt;0, FILTER('VPLData(raw)'!E:E,'VPLData(raw)'!B:B=457,'VPLData(raw)'!A:A=A39), 0),0)"),"10")</f>
        <v>10</v>
      </c>
      <c r="K39">
        <f>IFERROR(__xludf.DUMMYFUNCTION("IFERROR(FILTER('VPLData(raw)'!F:F,'VPLData(raw)'!B:B=457,'VPLData(raw)'!A:A=A39),0)"),"2208")</f>
        <v>2208</v>
      </c>
      <c r="L39">
        <f>IFERROR(__xludf.DUMMYFUNCTION("IFERROR(FILTER('VPLData(raw)'!C:C,'VPLData(raw)'!B:B=534,'VPLData(raw)'!A:A=A39),0)"),"0")</f>
        <v>0</v>
      </c>
      <c r="M39">
        <f>IFERROR(__xludf.DUMMYFUNCTION("IFERROR(IF(L39&gt;0, FILTER('VPLData(raw)'!E:E,'VPLData(raw)'!B:B=534,'VPLData(raw)'!A:A=A39), 0),0)"),"0")</f>
        <v>0</v>
      </c>
      <c r="N39">
        <f>IFERROR(__xludf.DUMMYFUNCTION("IFERROR(FILTER('VPLData(raw)'!F:F,'VPLData(raw)'!B:B=534,'VPLData(raw)'!A:A=A39),0)"),"0")</f>
        <v>0</v>
      </c>
      <c r="O39">
        <f>IFERROR(__xludf.DUMMYFUNCTION("IFERROR(FILTER('VPLData(raw)'!C:C,'VPLData(raw)'!B:B=498,'VPLData(raw)'!A:A=A39),0)"),"1492884440")</f>
        <v>1492884440</v>
      </c>
      <c r="P39">
        <f>IFERROR(__xludf.DUMMYFUNCTION("IFERROR(IF(O39&gt;0, FILTER('VPLData(raw)'!E:E,'VPLData(raw)'!B:B=498,'VPLData(raw)'!A:A=A39), 0),0)"),"10")</f>
        <v>10</v>
      </c>
      <c r="Q39">
        <f>IFERROR(__xludf.DUMMYFUNCTION("IFERROR(FILTER('VPLData(raw)'!F:F,'VPLData(raw)'!B:B=498,'VPLData(raw)'!A:A=A39),0)"),"426")</f>
        <v>426</v>
      </c>
      <c r="R39">
        <f>IFERROR(__xludf.DUMMYFUNCTION("IFERROR(FILTER('VPLData(raw)'!C:C,'VPLData(raw)'!B:B=515,'VPLData(raw)'!A:A=A39),0)"),"1492883890")</f>
        <v>1492883890</v>
      </c>
      <c r="S39">
        <f>IFERROR(__xludf.DUMMYFUNCTION("IFERROR(IF(R39&gt;0, FILTER('VPLData(raw)'!E:E,'VPLData(raw)'!B:B=515,'VPLData(raw)'!A:A=A39), 0),0)"),"10")</f>
        <v>10</v>
      </c>
      <c r="T39">
        <f>IFERROR(__xludf.DUMMYFUNCTION("IFERROR(FILTER('VPLData(raw)'!F:F,'VPLData(raw)'!B:B=515,'VPLData(raw)'!A:A=A39),0)"),"1023")</f>
        <v>1023</v>
      </c>
      <c r="U39">
        <f>IFERROR(__xludf.DUMMYFUNCTION("IFERROR(FILTER('VPLData(raw)'!C:C,'VPLData(raw)'!B:B=528,'VPLData(raw)'!A:A=A39),0)"),"1494802838")</f>
        <v>1494802838</v>
      </c>
      <c r="V39" t="str">
        <f>IFERROR(__xludf.DUMMYFUNCTION("IFERROR(IF(U39&gt;0, FILTER('VPLData(raw)'!E:E,'VPLData(raw)'!B:B=528,'VPLData(raw)'!A:A=A39), 0),0)"),"")</f>
        <v/>
      </c>
      <c r="W39">
        <f>IFERROR(__xludf.DUMMYFUNCTION("IFERROR(FILTER('VPLData(raw)'!F:F,'VPLData(raw)'!B:B=528,'VPLData(raw)'!A:A=A39),0)"),"1598")</f>
        <v>1598</v>
      </c>
      <c r="X39">
        <f>IFERROR(__xludf.DUMMYFUNCTION("IFERROR(FILTER('VPLData(raw)'!C:C,'VPLData(raw)'!B:B=524,'VPLData(raw)'!A:A=A39),0)"),"0")</f>
        <v>0</v>
      </c>
      <c r="Y39">
        <f>IFERROR(__xludf.DUMMYFUNCTION("IFERROR(IF(X39&gt;0, FILTER('VPLData(raw)'!E:E,'VPLData(raw)'!B:B=524,'VPLData(raw)'!A:A=A39), 0),0)"),"0")</f>
        <v>0</v>
      </c>
      <c r="Z39">
        <f>IFERROR(__xludf.DUMMYFUNCTION("IFERROR(FILTER('VPLData(raw)'!F:F,'VPLData(raw)'!B:B=524,'VPLData(raw)'!A:A=A39),0)"),"0")</f>
        <v>0</v>
      </c>
      <c r="AA39">
        <f>IFERROR(__xludf.DUMMYFUNCTION("IFERROR(FILTER('VPLData(raw)'!C:C,'VPLData(raw)'!B:B=478,'VPLData(raw)'!A:A=A39),0)"),"0")</f>
        <v>0</v>
      </c>
      <c r="AB39">
        <f>IFERROR(__xludf.DUMMYFUNCTION("IFERROR(IF(AA39&gt;0, FILTER('VPLData(raw)'!E:E,'VPLData(raw)'!B:B=478,'VPLData(raw)'!A:A=A39), 0),0)"),"0")</f>
        <v>0</v>
      </c>
      <c r="AC39">
        <f>IFERROR(__xludf.DUMMYFUNCTION("IFERROR(FILTER('VPLData(raw)'!F:F,'VPLData(raw)'!B:B=478,'VPLData(raw)'!A:A=A39),0)"),"0")</f>
        <v>0</v>
      </c>
      <c r="AD39">
        <f>IFERROR(__xludf.DUMMYFUNCTION("IFERROR(FILTER('VPLData(raw)'!C:C,'VPLData(raw)'!B:B=542,'VPLData(raw)'!A:A=A39),0)"),"1499314559")</f>
        <v>1499314559</v>
      </c>
      <c r="AE39">
        <f>IFERROR(__xludf.DUMMYFUNCTION("IFERROR(IF(AD39&gt;0, FILTER('VPLData(raw)'!E:E,'VPLData(raw)'!B:B=542,'VPLData(raw)'!A:A=A39), 0),0)"),"10")</f>
        <v>10</v>
      </c>
      <c r="AF39">
        <f>IFERROR(__xludf.DUMMYFUNCTION("IFERROR(FILTER('VPLData(raw)'!F:F,'VPLData(raw)'!B:B=542,'VPLData(raw)'!A:A=A39),0)"),"667")</f>
        <v>667</v>
      </c>
      <c r="AG39">
        <f>IFERROR(__xludf.DUMMYFUNCTION("IFERROR(FILTER('VPLData(raw)'!C:C,'VPLData(raw)'!B:B=544,'VPLData(raw)'!A:A=A39),0)"),"1499451831")</f>
        <v>1499451831</v>
      </c>
      <c r="AH39">
        <f>IFERROR(__xludf.DUMMYFUNCTION("IFERROR(IF(AG39&gt;0, FILTER('VPLData(raw)'!E:E,'VPLData(raw)'!B:B=544,'VPLData(raw)'!A:A=A39), 0),0)"),"10")</f>
        <v>10</v>
      </c>
      <c r="AI39">
        <f>IFERROR(__xludf.DUMMYFUNCTION("IFERROR(FILTER('VPLData(raw)'!F:F,'VPLData(raw)'!B:B=544,'VPLData(raw)'!A:A=A39),0)"),"1286")</f>
        <v>1286</v>
      </c>
      <c r="AJ39">
        <f>IFERROR(__xludf.DUMMYFUNCTION("IFERROR(FILTER('VPLData(raw)'!C:C,'VPLData(raw)'!B:B=545,'VPLData(raw)'!A:A=A39),0)"),"1499451338")</f>
        <v>1499451338</v>
      </c>
      <c r="AK39">
        <f>IFERROR(__xludf.DUMMYFUNCTION("IFERROR(IF(AJ39&gt;0, FILTER('VPLData(raw)'!E:E,'VPLData(raw)'!B:B=545,'VPLData(raw)'!A:A=A39), 0),0)"),"10")</f>
        <v>10</v>
      </c>
      <c r="AL39">
        <f>IFERROR(__xludf.DUMMYFUNCTION("IFERROR(FILTER('VPLData(raw)'!F:F,'VPLData(raw)'!B:B=545,'VPLData(raw)'!A:A=A39),0)"),"414")</f>
        <v>414</v>
      </c>
    </row>
    <row r="40">
      <c r="A40" s="1">
        <v>10238.0</v>
      </c>
      <c r="B40" s="1">
        <v>1.0276953E7</v>
      </c>
      <c r="C40">
        <f>IFERROR(__xludf.DUMMYFUNCTION("IFERROR(FILTER('VPLData(raw)'!C:C,'VPLData(raw)'!B:B=504,'VPLData(raw)'!A:A=A40),0)"),"0")</f>
        <v>0</v>
      </c>
      <c r="D40" s="7">
        <f>IFERROR(__xludf.DUMMYFUNCTION("IFERROR(IF(C40&gt;0, FILTER('VPLData(raw)'!E:E,'VPLData(raw)'!B:B=504,'VPLData(raw)'!A:A=A40), 0),0)"),"0")</f>
        <v>0</v>
      </c>
      <c r="E40">
        <f>IFERROR(__xludf.DUMMYFUNCTION("IFERROR(FILTER('VPLData(raw)'!F:F,'VPLData(raw)'!B:B=504,'VPLData(raw)'!A:A=A40),0)"),"0")</f>
        <v>0</v>
      </c>
      <c r="F40">
        <f>IFERROR(__xludf.DUMMYFUNCTION("IFERROR(FILTER('VPLData(raw)'!C:C,'VPLData(raw)'!B:B=454,'VPLData(raw)'!A:A=A40),0)"),"1492528814")</f>
        <v>1492528814</v>
      </c>
      <c r="G40" t="str">
        <f>IFERROR(__xludf.DUMMYFUNCTION("IFERROR(IF(F40&gt;0, FILTER('VPLData(raw)'!E:E,'VPLData(raw)'!B:B=454,'VPLData(raw)'!A:A=A40), 0),0)"),"")</f>
        <v/>
      </c>
      <c r="H40">
        <f>IFERROR(__xludf.DUMMYFUNCTION("IFERROR(FILTER('VPLData(raw)'!F:F,'VPLData(raw)'!B:B=454,'VPLData(raw)'!A:A=A40),0)"),"241")</f>
        <v>241</v>
      </c>
      <c r="I40">
        <f>IFERROR(__xludf.DUMMYFUNCTION("IFERROR(FILTER('VPLData(raw)'!C:C,'VPLData(raw)'!B:B=457,'VPLData(raw)'!A:A=A40),0)"),"0")</f>
        <v>0</v>
      </c>
      <c r="J40">
        <f>IFERROR(__xludf.DUMMYFUNCTION("IFERROR(IF(I40&gt;0, FILTER('VPLData(raw)'!E:E,'VPLData(raw)'!B:B=457,'VPLData(raw)'!A:A=A40), 0),0)"),"0")</f>
        <v>0</v>
      </c>
      <c r="K40">
        <f>IFERROR(__xludf.DUMMYFUNCTION("IFERROR(FILTER('VPLData(raw)'!F:F,'VPLData(raw)'!B:B=457,'VPLData(raw)'!A:A=A40),0)"),"0")</f>
        <v>0</v>
      </c>
      <c r="L40">
        <f>IFERROR(__xludf.DUMMYFUNCTION("IFERROR(FILTER('VPLData(raw)'!C:C,'VPLData(raw)'!B:B=534,'VPLData(raw)'!A:A=A40),0)"),"0")</f>
        <v>0</v>
      </c>
      <c r="M40">
        <f>IFERROR(__xludf.DUMMYFUNCTION("IFERROR(IF(L40&gt;0, FILTER('VPLData(raw)'!E:E,'VPLData(raw)'!B:B=534,'VPLData(raw)'!A:A=A40), 0),0)"),"0")</f>
        <v>0</v>
      </c>
      <c r="N40">
        <f>IFERROR(__xludf.DUMMYFUNCTION("IFERROR(FILTER('VPLData(raw)'!F:F,'VPLData(raw)'!B:B=534,'VPLData(raw)'!A:A=A40),0)"),"0")</f>
        <v>0</v>
      </c>
      <c r="O40">
        <f>IFERROR(__xludf.DUMMYFUNCTION("IFERROR(FILTER('VPLData(raw)'!C:C,'VPLData(raw)'!B:B=498,'VPLData(raw)'!A:A=A40),0)"),"0")</f>
        <v>0</v>
      </c>
      <c r="P40">
        <f>IFERROR(__xludf.DUMMYFUNCTION("IFERROR(IF(O40&gt;0, FILTER('VPLData(raw)'!E:E,'VPLData(raw)'!B:B=498,'VPLData(raw)'!A:A=A40), 0),0)"),"0")</f>
        <v>0</v>
      </c>
      <c r="Q40">
        <f>IFERROR(__xludf.DUMMYFUNCTION("IFERROR(FILTER('VPLData(raw)'!F:F,'VPLData(raw)'!B:B=498,'VPLData(raw)'!A:A=A40),0)"),"0")</f>
        <v>0</v>
      </c>
      <c r="R40">
        <f>IFERROR(__xludf.DUMMYFUNCTION("IFERROR(FILTER('VPLData(raw)'!C:C,'VPLData(raw)'!B:B=515,'VPLData(raw)'!A:A=A40),0)"),"0")</f>
        <v>0</v>
      </c>
      <c r="S40">
        <f>IFERROR(__xludf.DUMMYFUNCTION("IFERROR(IF(R40&gt;0, FILTER('VPLData(raw)'!E:E,'VPLData(raw)'!B:B=515,'VPLData(raw)'!A:A=A40), 0),0)"),"0")</f>
        <v>0</v>
      </c>
      <c r="T40">
        <f>IFERROR(__xludf.DUMMYFUNCTION("IFERROR(FILTER('VPLData(raw)'!F:F,'VPLData(raw)'!B:B=515,'VPLData(raw)'!A:A=A40),0)"),"0")</f>
        <v>0</v>
      </c>
      <c r="U40">
        <f>IFERROR(__xludf.DUMMYFUNCTION("IFERROR(FILTER('VPLData(raw)'!C:C,'VPLData(raw)'!B:B=528,'VPLData(raw)'!A:A=A40),0)"),"0")</f>
        <v>0</v>
      </c>
      <c r="V40">
        <f>IFERROR(__xludf.DUMMYFUNCTION("IFERROR(IF(U40&gt;0, FILTER('VPLData(raw)'!E:E,'VPLData(raw)'!B:B=528,'VPLData(raw)'!A:A=A40), 0),0)"),"0")</f>
        <v>0</v>
      </c>
      <c r="W40">
        <f>IFERROR(__xludf.DUMMYFUNCTION("IFERROR(FILTER('VPLData(raw)'!F:F,'VPLData(raw)'!B:B=528,'VPLData(raw)'!A:A=A40),0)"),"0")</f>
        <v>0</v>
      </c>
      <c r="X40">
        <f>IFERROR(__xludf.DUMMYFUNCTION("IFERROR(FILTER('VPLData(raw)'!C:C,'VPLData(raw)'!B:B=524,'VPLData(raw)'!A:A=A40),0)"),"1494711845")</f>
        <v>1494711845</v>
      </c>
      <c r="Y40" t="str">
        <f>IFERROR(__xludf.DUMMYFUNCTION("IFERROR(IF(X40&gt;0, FILTER('VPLData(raw)'!E:E,'VPLData(raw)'!B:B=524,'VPLData(raw)'!A:A=A40), 0),0)"),"")</f>
        <v/>
      </c>
      <c r="Z40">
        <f>IFERROR(__xludf.DUMMYFUNCTION("IFERROR(FILTER('VPLData(raw)'!F:F,'VPLData(raw)'!B:B=524,'VPLData(raw)'!A:A=A40),0)"),"49")</f>
        <v>49</v>
      </c>
      <c r="AA40">
        <f>IFERROR(__xludf.DUMMYFUNCTION("IFERROR(FILTER('VPLData(raw)'!C:C,'VPLData(raw)'!B:B=478,'VPLData(raw)'!A:A=A40),0)"),"0")</f>
        <v>0</v>
      </c>
      <c r="AB40">
        <f>IFERROR(__xludf.DUMMYFUNCTION("IFERROR(IF(AA40&gt;0, FILTER('VPLData(raw)'!E:E,'VPLData(raw)'!B:B=478,'VPLData(raw)'!A:A=A40), 0),0)"),"0")</f>
        <v>0</v>
      </c>
      <c r="AC40">
        <f>IFERROR(__xludf.DUMMYFUNCTION("IFERROR(FILTER('VPLData(raw)'!F:F,'VPLData(raw)'!B:B=478,'VPLData(raw)'!A:A=A40),0)"),"0")</f>
        <v>0</v>
      </c>
      <c r="AD40">
        <f>IFERROR(__xludf.DUMMYFUNCTION("IFERROR(FILTER('VPLData(raw)'!C:C,'VPLData(raw)'!B:B=542,'VPLData(raw)'!A:A=A40),0)"),"0")</f>
        <v>0</v>
      </c>
      <c r="AE40">
        <f>IFERROR(__xludf.DUMMYFUNCTION("IFERROR(IF(AD40&gt;0, FILTER('VPLData(raw)'!E:E,'VPLData(raw)'!B:B=542,'VPLData(raw)'!A:A=A40), 0),0)"),"0")</f>
        <v>0</v>
      </c>
      <c r="AF40">
        <f>IFERROR(__xludf.DUMMYFUNCTION("IFERROR(FILTER('VPLData(raw)'!F:F,'VPLData(raw)'!B:B=542,'VPLData(raw)'!A:A=A40),0)"),"0")</f>
        <v>0</v>
      </c>
      <c r="AG40">
        <f>IFERROR(__xludf.DUMMYFUNCTION("IFERROR(FILTER('VPLData(raw)'!C:C,'VPLData(raw)'!B:B=544,'VPLData(raw)'!A:A=A40),0)"),"0")</f>
        <v>0</v>
      </c>
      <c r="AH40">
        <f>IFERROR(__xludf.DUMMYFUNCTION("IFERROR(IF(AG40&gt;0, FILTER('VPLData(raw)'!E:E,'VPLData(raw)'!B:B=544,'VPLData(raw)'!A:A=A40), 0),0)"),"0")</f>
        <v>0</v>
      </c>
      <c r="AI40">
        <f>IFERROR(__xludf.DUMMYFUNCTION("IFERROR(FILTER('VPLData(raw)'!F:F,'VPLData(raw)'!B:B=544,'VPLData(raw)'!A:A=A40),0)"),"0")</f>
        <v>0</v>
      </c>
      <c r="AJ40">
        <f>IFERROR(__xludf.DUMMYFUNCTION("IFERROR(FILTER('VPLData(raw)'!C:C,'VPLData(raw)'!B:B=545,'VPLData(raw)'!A:A=A40),0)"),"0")</f>
        <v>0</v>
      </c>
      <c r="AK40">
        <f>IFERROR(__xludf.DUMMYFUNCTION("IFERROR(IF(AJ40&gt;0, FILTER('VPLData(raw)'!E:E,'VPLData(raw)'!B:B=545,'VPLData(raw)'!A:A=A40), 0),0)"),"0")</f>
        <v>0</v>
      </c>
      <c r="AL40">
        <f>IFERROR(__xludf.DUMMYFUNCTION("IFERROR(FILTER('VPLData(raw)'!F:F,'VPLData(raw)'!B:B=545,'VPLData(raw)'!A:A=A40),0)"),"0")</f>
        <v>0</v>
      </c>
    </row>
    <row r="41">
      <c r="A41" s="1">
        <v>10185.0</v>
      </c>
      <c r="B41" s="1">
        <v>1.027696E7</v>
      </c>
      <c r="C41">
        <f>IFERROR(__xludf.DUMMYFUNCTION("IFERROR(FILTER('VPLData(raw)'!C:C,'VPLData(raw)'!B:B=504,'VPLData(raw)'!A:A=A41),0)"),"0")</f>
        <v>0</v>
      </c>
      <c r="D41" s="7">
        <f>IFERROR(__xludf.DUMMYFUNCTION("IFERROR(IF(C41&gt;0, FILTER('VPLData(raw)'!E:E,'VPLData(raw)'!B:B=504,'VPLData(raw)'!A:A=A41), 0),0)"),"0")</f>
        <v>0</v>
      </c>
      <c r="E41">
        <f>IFERROR(__xludf.DUMMYFUNCTION("IFERROR(FILTER('VPLData(raw)'!F:F,'VPLData(raw)'!B:B=504,'VPLData(raw)'!A:A=A41),0)"),"0")</f>
        <v>0</v>
      </c>
      <c r="F41">
        <f>IFERROR(__xludf.DUMMYFUNCTION("IFERROR(FILTER('VPLData(raw)'!C:C,'VPLData(raw)'!B:B=454,'VPLData(raw)'!A:A=A41),0)"),"0")</f>
        <v>0</v>
      </c>
      <c r="G41">
        <f>IFERROR(__xludf.DUMMYFUNCTION("IFERROR(IF(F41&gt;0, FILTER('VPLData(raw)'!E:E,'VPLData(raw)'!B:B=454,'VPLData(raw)'!A:A=A41), 0),0)"),"0")</f>
        <v>0</v>
      </c>
      <c r="H41">
        <f>IFERROR(__xludf.DUMMYFUNCTION("IFERROR(FILTER('VPLData(raw)'!F:F,'VPLData(raw)'!B:B=454,'VPLData(raw)'!A:A=A41),0)"),"0")</f>
        <v>0</v>
      </c>
      <c r="I41">
        <f>IFERROR(__xludf.DUMMYFUNCTION("IFERROR(FILTER('VPLData(raw)'!C:C,'VPLData(raw)'!B:B=457,'VPLData(raw)'!A:A=A41),0)"),"0")</f>
        <v>0</v>
      </c>
      <c r="J41">
        <f>IFERROR(__xludf.DUMMYFUNCTION("IFERROR(IF(I41&gt;0, FILTER('VPLData(raw)'!E:E,'VPLData(raw)'!B:B=457,'VPLData(raw)'!A:A=A41), 0),0)"),"0")</f>
        <v>0</v>
      </c>
      <c r="K41">
        <f>IFERROR(__xludf.DUMMYFUNCTION("IFERROR(FILTER('VPLData(raw)'!F:F,'VPLData(raw)'!B:B=457,'VPLData(raw)'!A:A=A41),0)"),"0")</f>
        <v>0</v>
      </c>
      <c r="L41">
        <f>IFERROR(__xludf.DUMMYFUNCTION("IFERROR(FILTER('VPLData(raw)'!C:C,'VPLData(raw)'!B:B=534,'VPLData(raw)'!A:A=A41),0)"),"0")</f>
        <v>0</v>
      </c>
      <c r="M41">
        <f>IFERROR(__xludf.DUMMYFUNCTION("IFERROR(IF(L41&gt;0, FILTER('VPLData(raw)'!E:E,'VPLData(raw)'!B:B=534,'VPLData(raw)'!A:A=A41), 0),0)"),"0")</f>
        <v>0</v>
      </c>
      <c r="N41">
        <f>IFERROR(__xludf.DUMMYFUNCTION("IFERROR(FILTER('VPLData(raw)'!F:F,'VPLData(raw)'!B:B=534,'VPLData(raw)'!A:A=A41),0)"),"0")</f>
        <v>0</v>
      </c>
      <c r="O41">
        <f>IFERROR(__xludf.DUMMYFUNCTION("IFERROR(FILTER('VPLData(raw)'!C:C,'VPLData(raw)'!B:B=498,'VPLData(raw)'!A:A=A41),0)"),"0")</f>
        <v>0</v>
      </c>
      <c r="P41">
        <f>IFERROR(__xludf.DUMMYFUNCTION("IFERROR(IF(O41&gt;0, FILTER('VPLData(raw)'!E:E,'VPLData(raw)'!B:B=498,'VPLData(raw)'!A:A=A41), 0),0)"),"0")</f>
        <v>0</v>
      </c>
      <c r="Q41">
        <f>IFERROR(__xludf.DUMMYFUNCTION("IFERROR(FILTER('VPLData(raw)'!F:F,'VPLData(raw)'!B:B=498,'VPLData(raw)'!A:A=A41),0)"),"0")</f>
        <v>0</v>
      </c>
      <c r="R41">
        <f>IFERROR(__xludf.DUMMYFUNCTION("IFERROR(FILTER('VPLData(raw)'!C:C,'VPLData(raw)'!B:B=515,'VPLData(raw)'!A:A=A41),0)"),"0")</f>
        <v>0</v>
      </c>
      <c r="S41">
        <f>IFERROR(__xludf.DUMMYFUNCTION("IFERROR(IF(R41&gt;0, FILTER('VPLData(raw)'!E:E,'VPLData(raw)'!B:B=515,'VPLData(raw)'!A:A=A41), 0),0)"),"0")</f>
        <v>0</v>
      </c>
      <c r="T41">
        <f>IFERROR(__xludf.DUMMYFUNCTION("IFERROR(FILTER('VPLData(raw)'!F:F,'VPLData(raw)'!B:B=515,'VPLData(raw)'!A:A=A41),0)"),"0")</f>
        <v>0</v>
      </c>
      <c r="U41">
        <f>IFERROR(__xludf.DUMMYFUNCTION("IFERROR(FILTER('VPLData(raw)'!C:C,'VPLData(raw)'!B:B=528,'VPLData(raw)'!A:A=A41),0)"),"0")</f>
        <v>0</v>
      </c>
      <c r="V41">
        <f>IFERROR(__xludf.DUMMYFUNCTION("IFERROR(IF(U41&gt;0, FILTER('VPLData(raw)'!E:E,'VPLData(raw)'!B:B=528,'VPLData(raw)'!A:A=A41), 0),0)"),"0")</f>
        <v>0</v>
      </c>
      <c r="W41">
        <f>IFERROR(__xludf.DUMMYFUNCTION("IFERROR(FILTER('VPLData(raw)'!F:F,'VPLData(raw)'!B:B=528,'VPLData(raw)'!A:A=A41),0)"),"0")</f>
        <v>0</v>
      </c>
      <c r="X41">
        <f>IFERROR(__xludf.DUMMYFUNCTION("IFERROR(FILTER('VPLData(raw)'!C:C,'VPLData(raw)'!B:B=524,'VPLData(raw)'!A:A=A41),0)"),"0")</f>
        <v>0</v>
      </c>
      <c r="Y41">
        <f>IFERROR(__xludf.DUMMYFUNCTION("IFERROR(IF(X41&gt;0, FILTER('VPLData(raw)'!E:E,'VPLData(raw)'!B:B=524,'VPLData(raw)'!A:A=A41), 0),0)"),"0")</f>
        <v>0</v>
      </c>
      <c r="Z41">
        <f>IFERROR(__xludf.DUMMYFUNCTION("IFERROR(FILTER('VPLData(raw)'!F:F,'VPLData(raw)'!B:B=524,'VPLData(raw)'!A:A=A41),0)"),"0")</f>
        <v>0</v>
      </c>
      <c r="AA41">
        <f>IFERROR(__xludf.DUMMYFUNCTION("IFERROR(FILTER('VPLData(raw)'!C:C,'VPLData(raw)'!B:B=478,'VPLData(raw)'!A:A=A41),0)"),"0")</f>
        <v>0</v>
      </c>
      <c r="AB41">
        <f>IFERROR(__xludf.DUMMYFUNCTION("IFERROR(IF(AA41&gt;0, FILTER('VPLData(raw)'!E:E,'VPLData(raw)'!B:B=478,'VPLData(raw)'!A:A=A41), 0),0)"),"0")</f>
        <v>0</v>
      </c>
      <c r="AC41">
        <f>IFERROR(__xludf.DUMMYFUNCTION("IFERROR(FILTER('VPLData(raw)'!F:F,'VPLData(raw)'!B:B=478,'VPLData(raw)'!A:A=A41),0)"),"0")</f>
        <v>0</v>
      </c>
      <c r="AD41">
        <f>IFERROR(__xludf.DUMMYFUNCTION("IFERROR(FILTER('VPLData(raw)'!C:C,'VPLData(raw)'!B:B=542,'VPLData(raw)'!A:A=A41),0)"),"1499415220")</f>
        <v>1499415220</v>
      </c>
      <c r="AE41">
        <f>IFERROR(__xludf.DUMMYFUNCTION("IFERROR(IF(AD41&gt;0, FILTER('VPLData(raw)'!E:E,'VPLData(raw)'!B:B=542,'VPLData(raw)'!A:A=A41), 0),0)"),"10")</f>
        <v>10</v>
      </c>
      <c r="AF41">
        <f>IFERROR(__xludf.DUMMYFUNCTION("IFERROR(FILTER('VPLData(raw)'!F:F,'VPLData(raw)'!B:B=542,'VPLData(raw)'!A:A=A41),0)"),"207")</f>
        <v>207</v>
      </c>
      <c r="AG41">
        <f>IFERROR(__xludf.DUMMYFUNCTION("IFERROR(FILTER('VPLData(raw)'!C:C,'VPLData(raw)'!B:B=544,'VPLData(raw)'!A:A=A41),0)"),"0")</f>
        <v>0</v>
      </c>
      <c r="AH41">
        <f>IFERROR(__xludf.DUMMYFUNCTION("IFERROR(IF(AG41&gt;0, FILTER('VPLData(raw)'!E:E,'VPLData(raw)'!B:B=544,'VPLData(raw)'!A:A=A41), 0),0)"),"0")</f>
        <v>0</v>
      </c>
      <c r="AI41">
        <f>IFERROR(__xludf.DUMMYFUNCTION("IFERROR(FILTER('VPLData(raw)'!F:F,'VPLData(raw)'!B:B=544,'VPLData(raw)'!A:A=A41),0)"),"0")</f>
        <v>0</v>
      </c>
      <c r="AJ41">
        <f>IFERROR(__xludf.DUMMYFUNCTION("IFERROR(FILTER('VPLData(raw)'!C:C,'VPLData(raw)'!B:B=545,'VPLData(raw)'!A:A=A41),0)"),"0")</f>
        <v>0</v>
      </c>
      <c r="AK41">
        <f>IFERROR(__xludf.DUMMYFUNCTION("IFERROR(IF(AJ41&gt;0, FILTER('VPLData(raw)'!E:E,'VPLData(raw)'!B:B=545,'VPLData(raw)'!A:A=A41), 0),0)"),"0")</f>
        <v>0</v>
      </c>
      <c r="AL41">
        <f>IFERROR(__xludf.DUMMYFUNCTION("IFERROR(FILTER('VPLData(raw)'!F:F,'VPLData(raw)'!B:B=545,'VPLData(raw)'!A:A=A41),0)"),"0")</f>
        <v>0</v>
      </c>
    </row>
    <row r="42">
      <c r="A42" s="1">
        <v>10232.0</v>
      </c>
      <c r="B42" s="1">
        <v>1.0276974E7</v>
      </c>
      <c r="C42">
        <f>IFERROR(__xludf.DUMMYFUNCTION("IFERROR(FILTER('VPLData(raw)'!C:C,'VPLData(raw)'!B:B=504,'VPLData(raw)'!A:A=A42),0)"),"0")</f>
        <v>0</v>
      </c>
      <c r="D42" s="7">
        <f>IFERROR(__xludf.DUMMYFUNCTION("IFERROR(IF(C42&gt;0, FILTER('VPLData(raw)'!E:E,'VPLData(raw)'!B:B=504,'VPLData(raw)'!A:A=A42), 0),0)"),"0")</f>
        <v>0</v>
      </c>
      <c r="E42">
        <f>IFERROR(__xludf.DUMMYFUNCTION("IFERROR(FILTER('VPLData(raw)'!F:F,'VPLData(raw)'!B:B=504,'VPLData(raw)'!A:A=A42),0)"),"0")</f>
        <v>0</v>
      </c>
      <c r="F42">
        <f>IFERROR(__xludf.DUMMYFUNCTION("IFERROR(FILTER('VPLData(raw)'!C:C,'VPLData(raw)'!B:B=454,'VPLData(raw)'!A:A=A42),0)"),"0")</f>
        <v>0</v>
      </c>
      <c r="G42">
        <f>IFERROR(__xludf.DUMMYFUNCTION("IFERROR(IF(F42&gt;0, FILTER('VPLData(raw)'!E:E,'VPLData(raw)'!B:B=454,'VPLData(raw)'!A:A=A42), 0),0)"),"0")</f>
        <v>0</v>
      </c>
      <c r="H42">
        <f>IFERROR(__xludf.DUMMYFUNCTION("IFERROR(FILTER('VPLData(raw)'!F:F,'VPLData(raw)'!B:B=454,'VPLData(raw)'!A:A=A42),0)"),"0")</f>
        <v>0</v>
      </c>
      <c r="I42">
        <f>IFERROR(__xludf.DUMMYFUNCTION("IFERROR(FILTER('VPLData(raw)'!C:C,'VPLData(raw)'!B:B=457,'VPLData(raw)'!A:A=A42),0)"),"0")</f>
        <v>0</v>
      </c>
      <c r="J42">
        <f>IFERROR(__xludf.DUMMYFUNCTION("IFERROR(IF(I42&gt;0, FILTER('VPLData(raw)'!E:E,'VPLData(raw)'!B:B=457,'VPLData(raw)'!A:A=A42), 0),0)"),"0")</f>
        <v>0</v>
      </c>
      <c r="K42">
        <f>IFERROR(__xludf.DUMMYFUNCTION("IFERROR(FILTER('VPLData(raw)'!F:F,'VPLData(raw)'!B:B=457,'VPLData(raw)'!A:A=A42),0)"),"0")</f>
        <v>0</v>
      </c>
      <c r="L42">
        <f>IFERROR(__xludf.DUMMYFUNCTION("IFERROR(FILTER('VPLData(raw)'!C:C,'VPLData(raw)'!B:B=534,'VPLData(raw)'!A:A=A42),0)"),"0")</f>
        <v>0</v>
      </c>
      <c r="M42">
        <f>IFERROR(__xludf.DUMMYFUNCTION("IFERROR(IF(L42&gt;0, FILTER('VPLData(raw)'!E:E,'VPLData(raw)'!B:B=534,'VPLData(raw)'!A:A=A42), 0),0)"),"0")</f>
        <v>0</v>
      </c>
      <c r="N42">
        <f>IFERROR(__xludf.DUMMYFUNCTION("IFERROR(FILTER('VPLData(raw)'!F:F,'VPLData(raw)'!B:B=534,'VPLData(raw)'!A:A=A42),0)"),"0")</f>
        <v>0</v>
      </c>
      <c r="O42">
        <f>IFERROR(__xludf.DUMMYFUNCTION("IFERROR(FILTER('VPLData(raw)'!C:C,'VPLData(raw)'!B:B=498,'VPLData(raw)'!A:A=A42),0)"),"1492512903")</f>
        <v>1492512903</v>
      </c>
      <c r="P42">
        <f>IFERROR(__xludf.DUMMYFUNCTION("IFERROR(IF(O42&gt;0, FILTER('VPLData(raw)'!E:E,'VPLData(raw)'!B:B=498,'VPLData(raw)'!A:A=A42), 0),0)"),"10")</f>
        <v>10</v>
      </c>
      <c r="Q42">
        <f>IFERROR(__xludf.DUMMYFUNCTION("IFERROR(FILTER('VPLData(raw)'!F:F,'VPLData(raw)'!B:B=498,'VPLData(raw)'!A:A=A42),0)"),"907")</f>
        <v>907</v>
      </c>
      <c r="R42">
        <f>IFERROR(__xludf.DUMMYFUNCTION("IFERROR(FILTER('VPLData(raw)'!C:C,'VPLData(raw)'!B:B=515,'VPLData(raw)'!A:A=A42),0)"),"0")</f>
        <v>0</v>
      </c>
      <c r="S42">
        <f>IFERROR(__xludf.DUMMYFUNCTION("IFERROR(IF(R42&gt;0, FILTER('VPLData(raw)'!E:E,'VPLData(raw)'!B:B=515,'VPLData(raw)'!A:A=A42), 0),0)"),"0")</f>
        <v>0</v>
      </c>
      <c r="T42">
        <f>IFERROR(__xludf.DUMMYFUNCTION("IFERROR(FILTER('VPLData(raw)'!F:F,'VPLData(raw)'!B:B=515,'VPLData(raw)'!A:A=A42),0)"),"0")</f>
        <v>0</v>
      </c>
      <c r="U42">
        <f>IFERROR(__xludf.DUMMYFUNCTION("IFERROR(FILTER('VPLData(raw)'!C:C,'VPLData(raw)'!B:B=528,'VPLData(raw)'!A:A=A42),0)"),"1494894258")</f>
        <v>1494894258</v>
      </c>
      <c r="V42">
        <f>IFERROR(__xludf.DUMMYFUNCTION("IFERROR(IF(U42&gt;0, FILTER('VPLData(raw)'!E:E,'VPLData(raw)'!B:B=528,'VPLData(raw)'!A:A=A42), 0),0)"),"10")</f>
        <v>10</v>
      </c>
      <c r="W42">
        <f>IFERROR(__xludf.DUMMYFUNCTION("IFERROR(FILTER('VPLData(raw)'!F:F,'VPLData(raw)'!B:B=528,'VPLData(raw)'!A:A=A42),0)"),"1691")</f>
        <v>1691</v>
      </c>
      <c r="X42">
        <f>IFERROR(__xludf.DUMMYFUNCTION("IFERROR(FILTER('VPLData(raw)'!C:C,'VPLData(raw)'!B:B=524,'VPLData(raw)'!A:A=A42),0)"),"1494935657")</f>
        <v>1494935657</v>
      </c>
      <c r="Y42" t="str">
        <f>IFERROR(__xludf.DUMMYFUNCTION("IFERROR(IF(X42&gt;0, FILTER('VPLData(raw)'!E:E,'VPLData(raw)'!B:B=524,'VPLData(raw)'!A:A=A42), 0),0)"),"")</f>
        <v/>
      </c>
      <c r="Z42">
        <f>IFERROR(__xludf.DUMMYFUNCTION("IFERROR(FILTER('VPLData(raw)'!F:F,'VPLData(raw)'!B:B=524,'VPLData(raw)'!A:A=A42),0)"),"2641")</f>
        <v>2641</v>
      </c>
      <c r="AA42">
        <f>IFERROR(__xludf.DUMMYFUNCTION("IFERROR(FILTER('VPLData(raw)'!C:C,'VPLData(raw)'!B:B=478,'VPLData(raw)'!A:A=A42),0)"),"0")</f>
        <v>0</v>
      </c>
      <c r="AB42">
        <f>IFERROR(__xludf.DUMMYFUNCTION("IFERROR(IF(AA42&gt;0, FILTER('VPLData(raw)'!E:E,'VPLData(raw)'!B:B=478,'VPLData(raw)'!A:A=A42), 0),0)"),"0")</f>
        <v>0</v>
      </c>
      <c r="AC42">
        <f>IFERROR(__xludf.DUMMYFUNCTION("IFERROR(FILTER('VPLData(raw)'!F:F,'VPLData(raw)'!B:B=478,'VPLData(raw)'!A:A=A42),0)"),"0")</f>
        <v>0</v>
      </c>
      <c r="AD42">
        <f>IFERROR(__xludf.DUMMYFUNCTION("IFERROR(FILTER('VPLData(raw)'!C:C,'VPLData(raw)'!B:B=542,'VPLData(raw)'!A:A=A42),0)"),"1499457375")</f>
        <v>1499457375</v>
      </c>
      <c r="AE42">
        <f>IFERROR(__xludf.DUMMYFUNCTION("IFERROR(IF(AD42&gt;0, FILTER('VPLData(raw)'!E:E,'VPLData(raw)'!B:B=542,'VPLData(raw)'!A:A=A42), 0),0)"),"10")</f>
        <v>10</v>
      </c>
      <c r="AF42">
        <f>IFERROR(__xludf.DUMMYFUNCTION("IFERROR(FILTER('VPLData(raw)'!F:F,'VPLData(raw)'!B:B=542,'VPLData(raw)'!A:A=A42),0)"),"508")</f>
        <v>508</v>
      </c>
      <c r="AG42">
        <f>IFERROR(__xludf.DUMMYFUNCTION("IFERROR(FILTER('VPLData(raw)'!C:C,'VPLData(raw)'!B:B=544,'VPLData(raw)'!A:A=A42),0)"),"1499457976")</f>
        <v>1499457976</v>
      </c>
      <c r="AH42">
        <f>IFERROR(__xludf.DUMMYFUNCTION("IFERROR(IF(AG42&gt;0, FILTER('VPLData(raw)'!E:E,'VPLData(raw)'!B:B=544,'VPLData(raw)'!A:A=A42), 0),0)"),"10")</f>
        <v>10</v>
      </c>
      <c r="AI42">
        <f>IFERROR(__xludf.DUMMYFUNCTION("IFERROR(FILTER('VPLData(raw)'!F:F,'VPLData(raw)'!B:B=544,'VPLData(raw)'!A:A=A42),0)"),"1566")</f>
        <v>1566</v>
      </c>
      <c r="AJ42">
        <f>IFERROR(__xludf.DUMMYFUNCTION("IFERROR(FILTER('VPLData(raw)'!C:C,'VPLData(raw)'!B:B=545,'VPLData(raw)'!A:A=A42),0)"),"1499459600")</f>
        <v>1499459600</v>
      </c>
      <c r="AK42">
        <f>IFERROR(__xludf.DUMMYFUNCTION("IFERROR(IF(AJ42&gt;0, FILTER('VPLData(raw)'!E:E,'VPLData(raw)'!B:B=545,'VPLData(raw)'!A:A=A42), 0),0)"),"10")</f>
        <v>10</v>
      </c>
      <c r="AL42">
        <f>IFERROR(__xludf.DUMMYFUNCTION("IFERROR(FILTER('VPLData(raw)'!F:F,'VPLData(raw)'!B:B=545,'VPLData(raw)'!A:A=A42),0)"),"885")</f>
        <v>885</v>
      </c>
    </row>
    <row r="43">
      <c r="A43" s="1">
        <v>10191.0</v>
      </c>
      <c r="B43" s="1">
        <v>1.0276981E7</v>
      </c>
      <c r="C43">
        <f>IFERROR(__xludf.DUMMYFUNCTION("IFERROR(FILTER('VPLData(raw)'!C:C,'VPLData(raw)'!B:B=504,'VPLData(raw)'!A:A=A43),0)"),"0")</f>
        <v>0</v>
      </c>
      <c r="D43" s="7">
        <f>IFERROR(__xludf.DUMMYFUNCTION("IFERROR(IF(C43&gt;0, FILTER('VPLData(raw)'!E:E,'VPLData(raw)'!B:B=504,'VPLData(raw)'!A:A=A43), 0),0)"),"0")</f>
        <v>0</v>
      </c>
      <c r="E43">
        <f>IFERROR(__xludf.DUMMYFUNCTION("IFERROR(FILTER('VPLData(raw)'!F:F,'VPLData(raw)'!B:B=504,'VPLData(raw)'!A:A=A43),0)"),"0")</f>
        <v>0</v>
      </c>
      <c r="F43">
        <f>IFERROR(__xludf.DUMMYFUNCTION("IFERROR(FILTER('VPLData(raw)'!C:C,'VPLData(raw)'!B:B=454,'VPLData(raw)'!A:A=A43),0)"),"1491848445")</f>
        <v>1491848445</v>
      </c>
      <c r="G43">
        <f>IFERROR(__xludf.DUMMYFUNCTION("IFERROR(IF(F43&gt;0, FILTER('VPLData(raw)'!E:E,'VPLData(raw)'!B:B=454,'VPLData(raw)'!A:A=A43), 0),0)"),"10")</f>
        <v>10</v>
      </c>
      <c r="H43">
        <f>IFERROR(__xludf.DUMMYFUNCTION("IFERROR(FILTER('VPLData(raw)'!F:F,'VPLData(raw)'!B:B=454,'VPLData(raw)'!A:A=A43),0)"),"318")</f>
        <v>318</v>
      </c>
      <c r="I43">
        <f>IFERROR(__xludf.DUMMYFUNCTION("IFERROR(FILTER('VPLData(raw)'!C:C,'VPLData(raw)'!B:B=457,'VPLData(raw)'!A:A=A43),0)"),"1491924462")</f>
        <v>1491924462</v>
      </c>
      <c r="J43">
        <f>IFERROR(__xludf.DUMMYFUNCTION("IFERROR(IF(I43&gt;0, FILTER('VPLData(raw)'!E:E,'VPLData(raw)'!B:B=457,'VPLData(raw)'!A:A=A43), 0),0)"),"10")</f>
        <v>10</v>
      </c>
      <c r="K43">
        <f>IFERROR(__xludf.DUMMYFUNCTION("IFERROR(FILTER('VPLData(raw)'!F:F,'VPLData(raw)'!B:B=457,'VPLData(raw)'!A:A=A43),0)"),"1688")</f>
        <v>1688</v>
      </c>
      <c r="L43">
        <f>IFERROR(__xludf.DUMMYFUNCTION("IFERROR(FILTER('VPLData(raw)'!C:C,'VPLData(raw)'!B:B=534,'VPLData(raw)'!A:A=A43),0)"),"0")</f>
        <v>0</v>
      </c>
      <c r="M43">
        <f>IFERROR(__xludf.DUMMYFUNCTION("IFERROR(IF(L43&gt;0, FILTER('VPLData(raw)'!E:E,'VPLData(raw)'!B:B=534,'VPLData(raw)'!A:A=A43), 0),0)"),"0")</f>
        <v>0</v>
      </c>
      <c r="N43">
        <f>IFERROR(__xludf.DUMMYFUNCTION("IFERROR(FILTER('VPLData(raw)'!F:F,'VPLData(raw)'!B:B=534,'VPLData(raw)'!A:A=A43),0)"),"0")</f>
        <v>0</v>
      </c>
      <c r="O43">
        <f>IFERROR(__xludf.DUMMYFUNCTION("IFERROR(FILTER('VPLData(raw)'!C:C,'VPLData(raw)'!B:B=498,'VPLData(raw)'!A:A=A43),0)"),"0")</f>
        <v>0</v>
      </c>
      <c r="P43">
        <f>IFERROR(__xludf.DUMMYFUNCTION("IFERROR(IF(O43&gt;0, FILTER('VPLData(raw)'!E:E,'VPLData(raw)'!B:B=498,'VPLData(raw)'!A:A=A43), 0),0)"),"0")</f>
        <v>0</v>
      </c>
      <c r="Q43">
        <f>IFERROR(__xludf.DUMMYFUNCTION("IFERROR(FILTER('VPLData(raw)'!F:F,'VPLData(raw)'!B:B=498,'VPLData(raw)'!A:A=A43),0)"),"0")</f>
        <v>0</v>
      </c>
      <c r="R43">
        <f>IFERROR(__xludf.DUMMYFUNCTION("IFERROR(FILTER('VPLData(raw)'!C:C,'VPLData(raw)'!B:B=515,'VPLData(raw)'!A:A=A43),0)"),"0")</f>
        <v>0</v>
      </c>
      <c r="S43">
        <f>IFERROR(__xludf.DUMMYFUNCTION("IFERROR(IF(R43&gt;0, FILTER('VPLData(raw)'!E:E,'VPLData(raw)'!B:B=515,'VPLData(raw)'!A:A=A43), 0),0)"),"0")</f>
        <v>0</v>
      </c>
      <c r="T43">
        <f>IFERROR(__xludf.DUMMYFUNCTION("IFERROR(FILTER('VPLData(raw)'!F:F,'VPLData(raw)'!B:B=515,'VPLData(raw)'!A:A=A43),0)"),"0")</f>
        <v>0</v>
      </c>
      <c r="U43">
        <f>IFERROR(__xludf.DUMMYFUNCTION("IFERROR(FILTER('VPLData(raw)'!C:C,'VPLData(raw)'!B:B=528,'VPLData(raw)'!A:A=A43),0)"),"1494891187")</f>
        <v>1494891187</v>
      </c>
      <c r="V43">
        <f>IFERROR(__xludf.DUMMYFUNCTION("IFERROR(IF(U43&gt;0, FILTER('VPLData(raw)'!E:E,'VPLData(raw)'!B:B=528,'VPLData(raw)'!A:A=A43), 0),0)"),"10")</f>
        <v>10</v>
      </c>
      <c r="W43">
        <f>IFERROR(__xludf.DUMMYFUNCTION("IFERROR(FILTER('VPLData(raw)'!F:F,'VPLData(raw)'!B:B=528,'VPLData(raw)'!A:A=A43),0)"),"556")</f>
        <v>556</v>
      </c>
      <c r="X43">
        <f>IFERROR(__xludf.DUMMYFUNCTION("IFERROR(FILTER('VPLData(raw)'!C:C,'VPLData(raw)'!B:B=524,'VPLData(raw)'!A:A=A43),0)"),"0")</f>
        <v>0</v>
      </c>
      <c r="Y43">
        <f>IFERROR(__xludf.DUMMYFUNCTION("IFERROR(IF(X43&gt;0, FILTER('VPLData(raw)'!E:E,'VPLData(raw)'!B:B=524,'VPLData(raw)'!A:A=A43), 0),0)"),"0")</f>
        <v>0</v>
      </c>
      <c r="Z43">
        <f>IFERROR(__xludf.DUMMYFUNCTION("IFERROR(FILTER('VPLData(raw)'!F:F,'VPLData(raw)'!B:B=524,'VPLData(raw)'!A:A=A43),0)"),"0")</f>
        <v>0</v>
      </c>
      <c r="AA43">
        <f>IFERROR(__xludf.DUMMYFUNCTION("IFERROR(FILTER('VPLData(raw)'!C:C,'VPLData(raw)'!B:B=478,'VPLData(raw)'!A:A=A43),0)"),"1494894465")</f>
        <v>1494894465</v>
      </c>
      <c r="AB43" t="str">
        <f>IFERROR(__xludf.DUMMYFUNCTION("IFERROR(IF(AA43&gt;0, FILTER('VPLData(raw)'!E:E,'VPLData(raw)'!B:B=478,'VPLData(raw)'!A:A=A43), 0),0)"),"")</f>
        <v/>
      </c>
      <c r="AC43">
        <f>IFERROR(__xludf.DUMMYFUNCTION("IFERROR(FILTER('VPLData(raw)'!F:F,'VPLData(raw)'!B:B=478,'VPLData(raw)'!A:A=A43),0)"),"1891")</f>
        <v>1891</v>
      </c>
      <c r="AD43">
        <f>IFERROR(__xludf.DUMMYFUNCTION("IFERROR(FILTER('VPLData(raw)'!C:C,'VPLData(raw)'!B:B=542,'VPLData(raw)'!A:A=A43),0)"),"1498953870")</f>
        <v>1498953870</v>
      </c>
      <c r="AE43">
        <f>IFERROR(__xludf.DUMMYFUNCTION("IFERROR(IF(AD43&gt;0, FILTER('VPLData(raw)'!E:E,'VPLData(raw)'!B:B=542,'VPLData(raw)'!A:A=A43), 0),0)"),"10")</f>
        <v>10</v>
      </c>
      <c r="AF43">
        <f>IFERROR(__xludf.DUMMYFUNCTION("IFERROR(FILTER('VPLData(raw)'!F:F,'VPLData(raw)'!B:B=542,'VPLData(raw)'!A:A=A43),0)"),"3026")</f>
        <v>3026</v>
      </c>
      <c r="AG43">
        <f>IFERROR(__xludf.DUMMYFUNCTION("IFERROR(FILTER('VPLData(raw)'!C:C,'VPLData(raw)'!B:B=544,'VPLData(raw)'!A:A=A43),0)"),"1499457999")</f>
        <v>1499457999</v>
      </c>
      <c r="AH43">
        <f>IFERROR(__xludf.DUMMYFUNCTION("IFERROR(IF(AG43&gt;0, FILTER('VPLData(raw)'!E:E,'VPLData(raw)'!B:B=544,'VPLData(raw)'!A:A=A43), 0),0)"),"10")</f>
        <v>10</v>
      </c>
      <c r="AI43">
        <f>IFERROR(__xludf.DUMMYFUNCTION("IFERROR(FILTER('VPLData(raw)'!F:F,'VPLData(raw)'!B:B=544,'VPLData(raw)'!A:A=A43),0)"),"853")</f>
        <v>853</v>
      </c>
      <c r="AJ43">
        <f>IFERROR(__xludf.DUMMYFUNCTION("IFERROR(FILTER('VPLData(raw)'!C:C,'VPLData(raw)'!B:B=545,'VPLData(raw)'!A:A=A43),0)"),"1499458076")</f>
        <v>1499458076</v>
      </c>
      <c r="AK43">
        <f>IFERROR(__xludf.DUMMYFUNCTION("IFERROR(IF(AJ43&gt;0, FILTER('VPLData(raw)'!E:E,'VPLData(raw)'!B:B=545,'VPLData(raw)'!A:A=A43), 0),0)"),"10")</f>
        <v>10</v>
      </c>
      <c r="AL43">
        <f>IFERROR(__xludf.DUMMYFUNCTION("IFERROR(FILTER('VPLData(raw)'!F:F,'VPLData(raw)'!B:B=545,'VPLData(raw)'!A:A=A43),0)"),"553")</f>
        <v>553</v>
      </c>
    </row>
    <row r="44">
      <c r="A44" s="1">
        <v>10188.0</v>
      </c>
      <c r="B44" s="1">
        <v>1.0276995E7</v>
      </c>
      <c r="C44">
        <f>IFERROR(__xludf.DUMMYFUNCTION("IFERROR(FILTER('VPLData(raw)'!C:C,'VPLData(raw)'!B:B=504,'VPLData(raw)'!A:A=A44),0)"),"1490745104")</f>
        <v>1490745104</v>
      </c>
      <c r="D44" s="7">
        <f>IFERROR(__xludf.DUMMYFUNCTION("IFERROR(IF(C44&gt;0, FILTER('VPLData(raw)'!E:E,'VPLData(raw)'!B:B=504,'VPLData(raw)'!A:A=A44), 0),0)"),"10")</f>
        <v>10</v>
      </c>
      <c r="E44">
        <f>IFERROR(__xludf.DUMMYFUNCTION("IFERROR(FILTER('VPLData(raw)'!F:F,'VPLData(raw)'!B:B=504,'VPLData(raw)'!A:A=A44),0)"),"853")</f>
        <v>853</v>
      </c>
      <c r="F44">
        <f>IFERROR(__xludf.DUMMYFUNCTION("IFERROR(FILTER('VPLData(raw)'!C:C,'VPLData(raw)'!B:B=454,'VPLData(raw)'!A:A=A44),0)"),"1491429483")</f>
        <v>1491429483</v>
      </c>
      <c r="G44">
        <f>IFERROR(__xludf.DUMMYFUNCTION("IFERROR(IF(F44&gt;0, FILTER('VPLData(raw)'!E:E,'VPLData(raw)'!B:B=454,'VPLData(raw)'!A:A=A44), 0),0)"),"10")</f>
        <v>10</v>
      </c>
      <c r="H44">
        <f>IFERROR(__xludf.DUMMYFUNCTION("IFERROR(FILTER('VPLData(raw)'!F:F,'VPLData(raw)'!B:B=454,'VPLData(raw)'!A:A=A44),0)"),"1028")</f>
        <v>1028</v>
      </c>
      <c r="I44">
        <f>IFERROR(__xludf.DUMMYFUNCTION("IFERROR(FILTER('VPLData(raw)'!C:C,'VPLData(raw)'!B:B=457,'VPLData(raw)'!A:A=A44),0)"),"1491662112")</f>
        <v>1491662112</v>
      </c>
      <c r="J44">
        <f>IFERROR(__xludf.DUMMYFUNCTION("IFERROR(IF(I44&gt;0, FILTER('VPLData(raw)'!E:E,'VPLData(raw)'!B:B=457,'VPLData(raw)'!A:A=A44), 0),0)"),"10")</f>
        <v>10</v>
      </c>
      <c r="K44">
        <f>IFERROR(__xludf.DUMMYFUNCTION("IFERROR(FILTER('VPLData(raw)'!F:F,'VPLData(raw)'!B:B=457,'VPLData(raw)'!A:A=A44),0)"),"254")</f>
        <v>254</v>
      </c>
      <c r="L44">
        <f>IFERROR(__xludf.DUMMYFUNCTION("IFERROR(FILTER('VPLData(raw)'!C:C,'VPLData(raw)'!B:B=534,'VPLData(raw)'!A:A=A44),0)"),"1495570337")</f>
        <v>1495570337</v>
      </c>
      <c r="M44">
        <f>IFERROR(__xludf.DUMMYFUNCTION("IFERROR(IF(L44&gt;0, FILTER('VPLData(raw)'!E:E,'VPLData(raw)'!B:B=534,'VPLData(raw)'!A:A=A44), 0),0)"),"10")</f>
        <v>10</v>
      </c>
      <c r="N44">
        <f>IFERROR(__xludf.DUMMYFUNCTION("IFERROR(FILTER('VPLData(raw)'!F:F,'VPLData(raw)'!B:B=534,'VPLData(raw)'!A:A=A44),0)"),"10931")</f>
        <v>10931</v>
      </c>
      <c r="O44">
        <f>IFERROR(__xludf.DUMMYFUNCTION("IFERROR(FILTER('VPLData(raw)'!C:C,'VPLData(raw)'!B:B=498,'VPLData(raw)'!A:A=A44),0)"),"1492468833")</f>
        <v>1492468833</v>
      </c>
      <c r="P44">
        <f>IFERROR(__xludf.DUMMYFUNCTION("IFERROR(IF(O44&gt;0, FILTER('VPLData(raw)'!E:E,'VPLData(raw)'!B:B=498,'VPLData(raw)'!A:A=A44), 0),0)"),"10")</f>
        <v>10</v>
      </c>
      <c r="Q44">
        <f>IFERROR(__xludf.DUMMYFUNCTION("IFERROR(FILTER('VPLData(raw)'!F:F,'VPLData(raw)'!B:B=498,'VPLData(raw)'!A:A=A44),0)"),"263")</f>
        <v>263</v>
      </c>
      <c r="R44">
        <f>IFERROR(__xludf.DUMMYFUNCTION("IFERROR(FILTER('VPLData(raw)'!C:C,'VPLData(raw)'!B:B=515,'VPLData(raw)'!A:A=A44),0)"),"1492469366")</f>
        <v>1492469366</v>
      </c>
      <c r="S44" t="str">
        <f>IFERROR(__xludf.DUMMYFUNCTION("IFERROR(IF(R44&gt;0, FILTER('VPLData(raw)'!E:E,'VPLData(raw)'!B:B=515,'VPLData(raw)'!A:A=A44), 0),0)"),"")</f>
        <v/>
      </c>
      <c r="T44">
        <f>IFERROR(__xludf.DUMMYFUNCTION("IFERROR(FILTER('VPLData(raw)'!F:F,'VPLData(raw)'!B:B=515,'VPLData(raw)'!A:A=A44),0)"),"861")</f>
        <v>861</v>
      </c>
      <c r="U44">
        <f>IFERROR(__xludf.DUMMYFUNCTION("IFERROR(FILTER('VPLData(raw)'!C:C,'VPLData(raw)'!B:B=528,'VPLData(raw)'!A:A=A44),0)"),"1494602798")</f>
        <v>1494602798</v>
      </c>
      <c r="V44" t="str">
        <f>IFERROR(__xludf.DUMMYFUNCTION("IFERROR(IF(U44&gt;0, FILTER('VPLData(raw)'!E:E,'VPLData(raw)'!B:B=528,'VPLData(raw)'!A:A=A44), 0),0)"),"")</f>
        <v/>
      </c>
      <c r="W44">
        <f>IFERROR(__xludf.DUMMYFUNCTION("IFERROR(FILTER('VPLData(raw)'!F:F,'VPLData(raw)'!B:B=528,'VPLData(raw)'!A:A=A44),0)"),"7234")</f>
        <v>7234</v>
      </c>
      <c r="X44">
        <f>IFERROR(__xludf.DUMMYFUNCTION("IFERROR(FILTER('VPLData(raw)'!C:C,'VPLData(raw)'!B:B=524,'VPLData(raw)'!A:A=A44),0)"),"0")</f>
        <v>0</v>
      </c>
      <c r="Y44">
        <f>IFERROR(__xludf.DUMMYFUNCTION("IFERROR(IF(X44&gt;0, FILTER('VPLData(raw)'!E:E,'VPLData(raw)'!B:B=524,'VPLData(raw)'!A:A=A44), 0),0)"),"0")</f>
        <v>0</v>
      </c>
      <c r="Z44">
        <f>IFERROR(__xludf.DUMMYFUNCTION("IFERROR(FILTER('VPLData(raw)'!F:F,'VPLData(raw)'!B:B=524,'VPLData(raw)'!A:A=A44),0)"),"0")</f>
        <v>0</v>
      </c>
      <c r="AA44">
        <f>IFERROR(__xludf.DUMMYFUNCTION("IFERROR(FILTER('VPLData(raw)'!C:C,'VPLData(raw)'!B:B=478,'VPLData(raw)'!A:A=A44),0)"),"1495153615")</f>
        <v>1495153615</v>
      </c>
      <c r="AB44">
        <f>IFERROR(__xludf.DUMMYFUNCTION("IFERROR(IF(AA44&gt;0, FILTER('VPLData(raw)'!E:E,'VPLData(raw)'!B:B=478,'VPLData(raw)'!A:A=A44), 0),0)"),"10")</f>
        <v>10</v>
      </c>
      <c r="AC44">
        <f>IFERROR(__xludf.DUMMYFUNCTION("IFERROR(FILTER('VPLData(raw)'!F:F,'VPLData(raw)'!B:B=478,'VPLData(raw)'!A:A=A44),0)"),"1235")</f>
        <v>1235</v>
      </c>
      <c r="AD44">
        <f>IFERROR(__xludf.DUMMYFUNCTION("IFERROR(FILTER('VPLData(raw)'!C:C,'VPLData(raw)'!B:B=542,'VPLData(raw)'!A:A=A44),0)"),"1497908595")</f>
        <v>1497908595</v>
      </c>
      <c r="AE44">
        <f>IFERROR(__xludf.DUMMYFUNCTION("IFERROR(IF(AD44&gt;0, FILTER('VPLData(raw)'!E:E,'VPLData(raw)'!B:B=542,'VPLData(raw)'!A:A=A44), 0),0)"),"10")</f>
        <v>10</v>
      </c>
      <c r="AF44">
        <f>IFERROR(__xludf.DUMMYFUNCTION("IFERROR(FILTER('VPLData(raw)'!F:F,'VPLData(raw)'!B:B=542,'VPLData(raw)'!A:A=A44),0)"),"2416")</f>
        <v>2416</v>
      </c>
      <c r="AG44">
        <f>IFERROR(__xludf.DUMMYFUNCTION("IFERROR(FILTER('VPLData(raw)'!C:C,'VPLData(raw)'!B:B=544,'VPLData(raw)'!A:A=A44),0)"),"1497914959")</f>
        <v>1497914959</v>
      </c>
      <c r="AH44">
        <f>IFERROR(__xludf.DUMMYFUNCTION("IFERROR(IF(AG44&gt;0, FILTER('VPLData(raw)'!E:E,'VPLData(raw)'!B:B=544,'VPLData(raw)'!A:A=A44), 0),0)"),"10")</f>
        <v>10</v>
      </c>
      <c r="AI44">
        <f>IFERROR(__xludf.DUMMYFUNCTION("IFERROR(FILTER('VPLData(raw)'!F:F,'VPLData(raw)'!B:B=544,'VPLData(raw)'!A:A=A44),0)"),"29950")</f>
        <v>29950</v>
      </c>
      <c r="AJ44">
        <f>IFERROR(__xludf.DUMMYFUNCTION("IFERROR(FILTER('VPLData(raw)'!C:C,'VPLData(raw)'!B:B=545,'VPLData(raw)'!A:A=A44),0)"),"1499373227")</f>
        <v>1499373227</v>
      </c>
      <c r="AK44">
        <f>IFERROR(__xludf.DUMMYFUNCTION("IFERROR(IF(AJ44&gt;0, FILTER('VPLData(raw)'!E:E,'VPLData(raw)'!B:B=545,'VPLData(raw)'!A:A=A44), 0),0)"),"10")</f>
        <v>10</v>
      </c>
      <c r="AL44">
        <f>IFERROR(__xludf.DUMMYFUNCTION("IFERROR(FILTER('VPLData(raw)'!F:F,'VPLData(raw)'!B:B=545,'VPLData(raw)'!A:A=A44),0)"),"23790")</f>
        <v>23790</v>
      </c>
    </row>
    <row r="45">
      <c r="A45" s="1">
        <v>10210.0</v>
      </c>
      <c r="B45" s="1">
        <v>1.0277015E7</v>
      </c>
      <c r="C45">
        <f>IFERROR(__xludf.DUMMYFUNCTION("IFERROR(FILTER('VPLData(raw)'!C:C,'VPLData(raw)'!B:B=504,'VPLData(raw)'!A:A=A45),0)"),"1490742967")</f>
        <v>1490742967</v>
      </c>
      <c r="D45" s="7">
        <f>IFERROR(__xludf.DUMMYFUNCTION("IFERROR(IF(C45&gt;0, FILTER('VPLData(raw)'!E:E,'VPLData(raw)'!B:B=504,'VPLData(raw)'!A:A=A45), 0),0)"),"10")</f>
        <v>10</v>
      </c>
      <c r="E45">
        <f>IFERROR(__xludf.DUMMYFUNCTION("IFERROR(FILTER('VPLData(raw)'!F:F,'VPLData(raw)'!B:B=504,'VPLData(raw)'!A:A=A45),0)"),"3315")</f>
        <v>3315</v>
      </c>
      <c r="F45">
        <f>IFERROR(__xludf.DUMMYFUNCTION("IFERROR(FILTER('VPLData(raw)'!C:C,'VPLData(raw)'!B:B=454,'VPLData(raw)'!A:A=A45),0)"),"1491410967")</f>
        <v>1491410967</v>
      </c>
      <c r="G45">
        <f>IFERROR(__xludf.DUMMYFUNCTION("IFERROR(IF(F45&gt;0, FILTER('VPLData(raw)'!E:E,'VPLData(raw)'!B:B=454,'VPLData(raw)'!A:A=A45), 0),0)"),"10")</f>
        <v>10</v>
      </c>
      <c r="H45">
        <f>IFERROR(__xludf.DUMMYFUNCTION("IFERROR(FILTER('VPLData(raw)'!F:F,'VPLData(raw)'!B:B=454,'VPLData(raw)'!A:A=A45),0)"),"2157")</f>
        <v>2157</v>
      </c>
      <c r="I45">
        <f>IFERROR(__xludf.DUMMYFUNCTION("IFERROR(FILTER('VPLData(raw)'!C:C,'VPLData(raw)'!B:B=457,'VPLData(raw)'!A:A=A45),0)"),"1491910070")</f>
        <v>1491910070</v>
      </c>
      <c r="J45">
        <f>IFERROR(__xludf.DUMMYFUNCTION("IFERROR(IF(I45&gt;0, FILTER('VPLData(raw)'!E:E,'VPLData(raw)'!B:B=457,'VPLData(raw)'!A:A=A45), 0),0)"),"10")</f>
        <v>10</v>
      </c>
      <c r="K45">
        <f>IFERROR(__xludf.DUMMYFUNCTION("IFERROR(FILTER('VPLData(raw)'!F:F,'VPLData(raw)'!B:B=457,'VPLData(raw)'!A:A=A45),0)"),"684")</f>
        <v>684</v>
      </c>
      <c r="L45">
        <f>IFERROR(__xludf.DUMMYFUNCTION("IFERROR(FILTER('VPLData(raw)'!C:C,'VPLData(raw)'!B:B=534,'VPLData(raw)'!A:A=A45),0)"),"0")</f>
        <v>0</v>
      </c>
      <c r="M45">
        <f>IFERROR(__xludf.DUMMYFUNCTION("IFERROR(IF(L45&gt;0, FILTER('VPLData(raw)'!E:E,'VPLData(raw)'!B:B=534,'VPLData(raw)'!A:A=A45), 0),0)"),"0")</f>
        <v>0</v>
      </c>
      <c r="N45">
        <f>IFERROR(__xludf.DUMMYFUNCTION("IFERROR(FILTER('VPLData(raw)'!F:F,'VPLData(raw)'!B:B=534,'VPLData(raw)'!A:A=A45),0)"),"0")</f>
        <v>0</v>
      </c>
      <c r="O45">
        <f>IFERROR(__xludf.DUMMYFUNCTION("IFERROR(FILTER('VPLData(raw)'!C:C,'VPLData(raw)'!B:B=498,'VPLData(raw)'!A:A=A45),0)"),"0")</f>
        <v>0</v>
      </c>
      <c r="P45">
        <f>IFERROR(__xludf.DUMMYFUNCTION("IFERROR(IF(O45&gt;0, FILTER('VPLData(raw)'!E:E,'VPLData(raw)'!B:B=498,'VPLData(raw)'!A:A=A45), 0),0)"),"0")</f>
        <v>0</v>
      </c>
      <c r="Q45">
        <f>IFERROR(__xludf.DUMMYFUNCTION("IFERROR(FILTER('VPLData(raw)'!F:F,'VPLData(raw)'!B:B=498,'VPLData(raw)'!A:A=A45),0)"),"0")</f>
        <v>0</v>
      </c>
      <c r="R45">
        <f>IFERROR(__xludf.DUMMYFUNCTION("IFERROR(FILTER('VPLData(raw)'!C:C,'VPLData(raw)'!B:B=515,'VPLData(raw)'!A:A=A45),0)"),"0")</f>
        <v>0</v>
      </c>
      <c r="S45">
        <f>IFERROR(__xludf.DUMMYFUNCTION("IFERROR(IF(R45&gt;0, FILTER('VPLData(raw)'!E:E,'VPLData(raw)'!B:B=515,'VPLData(raw)'!A:A=A45), 0),0)"),"0")</f>
        <v>0</v>
      </c>
      <c r="T45">
        <f>IFERROR(__xludf.DUMMYFUNCTION("IFERROR(FILTER('VPLData(raw)'!F:F,'VPLData(raw)'!B:B=515,'VPLData(raw)'!A:A=A45),0)"),"0")</f>
        <v>0</v>
      </c>
      <c r="U45">
        <f>IFERROR(__xludf.DUMMYFUNCTION("IFERROR(FILTER('VPLData(raw)'!C:C,'VPLData(raw)'!B:B=528,'VPLData(raw)'!A:A=A45),0)"),"1494550780")</f>
        <v>1494550780</v>
      </c>
      <c r="V45">
        <f>IFERROR(__xludf.DUMMYFUNCTION("IFERROR(IF(U45&gt;0, FILTER('VPLData(raw)'!E:E,'VPLData(raw)'!B:B=528,'VPLData(raw)'!A:A=A45), 0),0)"),"10")</f>
        <v>10</v>
      </c>
      <c r="W45">
        <f>IFERROR(__xludf.DUMMYFUNCTION("IFERROR(FILTER('VPLData(raw)'!F:F,'VPLData(raw)'!B:B=528,'VPLData(raw)'!A:A=A45),0)"),"506")</f>
        <v>506</v>
      </c>
      <c r="X45">
        <f>IFERROR(__xludf.DUMMYFUNCTION("IFERROR(FILTER('VPLData(raw)'!C:C,'VPLData(raw)'!B:B=524,'VPLData(raw)'!A:A=A45),0)"),"1494551994")</f>
        <v>1494551994</v>
      </c>
      <c r="Y45">
        <f>IFERROR(__xludf.DUMMYFUNCTION("IFERROR(IF(X45&gt;0, FILTER('VPLData(raw)'!E:E,'VPLData(raw)'!B:B=524,'VPLData(raw)'!A:A=A45), 0),0)"),"10")</f>
        <v>10</v>
      </c>
      <c r="Z45">
        <f>IFERROR(__xludf.DUMMYFUNCTION("IFERROR(FILTER('VPLData(raw)'!F:F,'VPLData(raw)'!B:B=524,'VPLData(raw)'!A:A=A45),0)"),"6177")</f>
        <v>6177</v>
      </c>
      <c r="AA45">
        <f>IFERROR(__xludf.DUMMYFUNCTION("IFERROR(FILTER('VPLData(raw)'!C:C,'VPLData(raw)'!B:B=478,'VPLData(raw)'!A:A=A45),0)"),"1494883218")</f>
        <v>1494883218</v>
      </c>
      <c r="AB45" t="str">
        <f>IFERROR(__xludf.DUMMYFUNCTION("IFERROR(IF(AA45&gt;0, FILTER('VPLData(raw)'!E:E,'VPLData(raw)'!B:B=478,'VPLData(raw)'!A:A=A45), 0),0)"),"")</f>
        <v/>
      </c>
      <c r="AC45">
        <f>IFERROR(__xludf.DUMMYFUNCTION("IFERROR(FILTER('VPLData(raw)'!F:F,'VPLData(raw)'!B:B=478,'VPLData(raw)'!A:A=A45),0)"),"14104")</f>
        <v>14104</v>
      </c>
      <c r="AD45">
        <f>IFERROR(__xludf.DUMMYFUNCTION("IFERROR(FILTER('VPLData(raw)'!C:C,'VPLData(raw)'!B:B=542,'VPLData(raw)'!A:A=A45),0)"),"1499376991")</f>
        <v>1499376991</v>
      </c>
      <c r="AE45">
        <f>IFERROR(__xludf.DUMMYFUNCTION("IFERROR(IF(AD45&gt;0, FILTER('VPLData(raw)'!E:E,'VPLData(raw)'!B:B=542,'VPLData(raw)'!A:A=A45), 0),0)"),"10")</f>
        <v>10</v>
      </c>
      <c r="AF45">
        <f>IFERROR(__xludf.DUMMYFUNCTION("IFERROR(FILTER('VPLData(raw)'!F:F,'VPLData(raw)'!B:B=542,'VPLData(raw)'!A:A=A45),0)"),"1018")</f>
        <v>1018</v>
      </c>
      <c r="AG45">
        <f>IFERROR(__xludf.DUMMYFUNCTION("IFERROR(FILTER('VPLData(raw)'!C:C,'VPLData(raw)'!B:B=544,'VPLData(raw)'!A:A=A45),0)"),"1499440927")</f>
        <v>1499440927</v>
      </c>
      <c r="AH45">
        <f>IFERROR(__xludf.DUMMYFUNCTION("IFERROR(IF(AG45&gt;0, FILTER('VPLData(raw)'!E:E,'VPLData(raw)'!B:B=544,'VPLData(raw)'!A:A=A45), 0),0)"),"10")</f>
        <v>10</v>
      </c>
      <c r="AI45">
        <f>IFERROR(__xludf.DUMMYFUNCTION("IFERROR(FILTER('VPLData(raw)'!F:F,'VPLData(raw)'!B:B=544,'VPLData(raw)'!A:A=A45),0)"),"588")</f>
        <v>588</v>
      </c>
      <c r="AJ45">
        <f>IFERROR(__xludf.DUMMYFUNCTION("IFERROR(FILTER('VPLData(raw)'!C:C,'VPLData(raw)'!B:B=545,'VPLData(raw)'!A:A=A45),0)"),"1499482482")</f>
        <v>1499482482</v>
      </c>
      <c r="AK45" t="str">
        <f>IFERROR(__xludf.DUMMYFUNCTION("IFERROR(IF(AJ45&gt;0, FILTER('VPLData(raw)'!E:E,'VPLData(raw)'!B:B=545,'VPLData(raw)'!A:A=A45), 0),0)"),"")</f>
        <v/>
      </c>
      <c r="AL45">
        <f>IFERROR(__xludf.DUMMYFUNCTION("IFERROR(FILTER('VPLData(raw)'!F:F,'VPLData(raw)'!B:B=545,'VPLData(raw)'!A:A=A45),0)"),"741")</f>
        <v>741</v>
      </c>
    </row>
    <row r="46">
      <c r="A46" s="1">
        <v>10214.0</v>
      </c>
      <c r="B46" s="1">
        <v>1.0277022E7</v>
      </c>
      <c r="C46">
        <f>IFERROR(__xludf.DUMMYFUNCTION("IFERROR(FILTER('VPLData(raw)'!C:C,'VPLData(raw)'!B:B=504,'VPLData(raw)'!A:A=A46),0)"),"0")</f>
        <v>0</v>
      </c>
      <c r="D46" s="7">
        <f>IFERROR(__xludf.DUMMYFUNCTION("IFERROR(IF(C46&gt;0, FILTER('VPLData(raw)'!E:E,'VPLData(raw)'!B:B=504,'VPLData(raw)'!A:A=A46), 0),0)"),"0")</f>
        <v>0</v>
      </c>
      <c r="E46">
        <f>IFERROR(__xludf.DUMMYFUNCTION("IFERROR(FILTER('VPLData(raw)'!F:F,'VPLData(raw)'!B:B=504,'VPLData(raw)'!A:A=A46),0)"),"0")</f>
        <v>0</v>
      </c>
      <c r="F46">
        <f>IFERROR(__xludf.DUMMYFUNCTION("IFERROR(FILTER('VPLData(raw)'!C:C,'VPLData(raw)'!B:B=454,'VPLData(raw)'!A:A=A46),0)"),"1491345213")</f>
        <v>1491345213</v>
      </c>
      <c r="G46">
        <f>IFERROR(__xludf.DUMMYFUNCTION("IFERROR(IF(F46&gt;0, FILTER('VPLData(raw)'!E:E,'VPLData(raw)'!B:B=454,'VPLData(raw)'!A:A=A46), 0),0)"),"10")</f>
        <v>10</v>
      </c>
      <c r="H46">
        <f>IFERROR(__xludf.DUMMYFUNCTION("IFERROR(FILTER('VPLData(raw)'!F:F,'VPLData(raw)'!B:B=454,'VPLData(raw)'!A:A=A46),0)"),"3733")</f>
        <v>3733</v>
      </c>
      <c r="I46">
        <f>IFERROR(__xludf.DUMMYFUNCTION("IFERROR(FILTER('VPLData(raw)'!C:C,'VPLData(raw)'!B:B=457,'VPLData(raw)'!A:A=A46),0)"),"1492442776")</f>
        <v>1492442776</v>
      </c>
      <c r="J46">
        <f>IFERROR(__xludf.DUMMYFUNCTION("IFERROR(IF(I46&gt;0, FILTER('VPLData(raw)'!E:E,'VPLData(raw)'!B:B=457,'VPLData(raw)'!A:A=A46), 0),0)"),"10")</f>
        <v>10</v>
      </c>
      <c r="K46">
        <f>IFERROR(__xludf.DUMMYFUNCTION("IFERROR(FILTER('VPLData(raw)'!F:F,'VPLData(raw)'!B:B=457,'VPLData(raw)'!A:A=A46),0)"),"10755")</f>
        <v>10755</v>
      </c>
      <c r="L46">
        <f>IFERROR(__xludf.DUMMYFUNCTION("IFERROR(FILTER('VPLData(raw)'!C:C,'VPLData(raw)'!B:B=534,'VPLData(raw)'!A:A=A46),0)"),"0")</f>
        <v>0</v>
      </c>
      <c r="M46">
        <f>IFERROR(__xludf.DUMMYFUNCTION("IFERROR(IF(L46&gt;0, FILTER('VPLData(raw)'!E:E,'VPLData(raw)'!B:B=534,'VPLData(raw)'!A:A=A46), 0),0)"),"0")</f>
        <v>0</v>
      </c>
      <c r="N46">
        <f>IFERROR(__xludf.DUMMYFUNCTION("IFERROR(FILTER('VPLData(raw)'!F:F,'VPLData(raw)'!B:B=534,'VPLData(raw)'!A:A=A46),0)"),"0")</f>
        <v>0</v>
      </c>
      <c r="O46">
        <f>IFERROR(__xludf.DUMMYFUNCTION("IFERROR(FILTER('VPLData(raw)'!C:C,'VPLData(raw)'!B:B=498,'VPLData(raw)'!A:A=A46),0)"),"1492638819")</f>
        <v>1492638819</v>
      </c>
      <c r="P46">
        <f>IFERROR(__xludf.DUMMYFUNCTION("IFERROR(IF(O46&gt;0, FILTER('VPLData(raw)'!E:E,'VPLData(raw)'!B:B=498,'VPLData(raw)'!A:A=A46), 0),0)"),"10")</f>
        <v>10</v>
      </c>
      <c r="Q46">
        <f>IFERROR(__xludf.DUMMYFUNCTION("IFERROR(FILTER('VPLData(raw)'!F:F,'VPLData(raw)'!B:B=498,'VPLData(raw)'!A:A=A46),0)"),"991")</f>
        <v>991</v>
      </c>
      <c r="R46">
        <f>IFERROR(__xludf.DUMMYFUNCTION("IFERROR(FILTER('VPLData(raw)'!C:C,'VPLData(raw)'!B:B=515,'VPLData(raw)'!A:A=A46),0)"),"1492639168")</f>
        <v>1492639168</v>
      </c>
      <c r="S46">
        <f>IFERROR(__xludf.DUMMYFUNCTION("IFERROR(IF(R46&gt;0, FILTER('VPLData(raw)'!E:E,'VPLData(raw)'!B:B=515,'VPLData(raw)'!A:A=A46), 0),0)"),"10")</f>
        <v>10</v>
      </c>
      <c r="T46">
        <f>IFERROR(__xludf.DUMMYFUNCTION("IFERROR(FILTER('VPLData(raw)'!F:F,'VPLData(raw)'!B:B=515,'VPLData(raw)'!A:A=A46),0)"),"2437")</f>
        <v>2437</v>
      </c>
      <c r="U46">
        <f>IFERROR(__xludf.DUMMYFUNCTION("IFERROR(FILTER('VPLData(raw)'!C:C,'VPLData(raw)'!B:B=528,'VPLData(raw)'!A:A=A46),0)"),"1494522046")</f>
        <v>1494522046</v>
      </c>
      <c r="V46">
        <f>IFERROR(__xludf.DUMMYFUNCTION("IFERROR(IF(U46&gt;0, FILTER('VPLData(raw)'!E:E,'VPLData(raw)'!B:B=528,'VPLData(raw)'!A:A=A46), 0),0)"),"10")</f>
        <v>10</v>
      </c>
      <c r="W46">
        <f>IFERROR(__xludf.DUMMYFUNCTION("IFERROR(FILTER('VPLData(raw)'!F:F,'VPLData(raw)'!B:B=528,'VPLData(raw)'!A:A=A46),0)"),"2123")</f>
        <v>2123</v>
      </c>
      <c r="X46">
        <f>IFERROR(__xludf.DUMMYFUNCTION("IFERROR(FILTER('VPLData(raw)'!C:C,'VPLData(raw)'!B:B=524,'VPLData(raw)'!A:A=A46),0)"),"1494862418")</f>
        <v>1494862418</v>
      </c>
      <c r="Y46">
        <f>IFERROR(__xludf.DUMMYFUNCTION("IFERROR(IF(X46&gt;0, FILTER('VPLData(raw)'!E:E,'VPLData(raw)'!B:B=524,'VPLData(raw)'!A:A=A46), 0),0)"),"10")</f>
        <v>10</v>
      </c>
      <c r="Z46">
        <f>IFERROR(__xludf.DUMMYFUNCTION("IFERROR(FILTER('VPLData(raw)'!F:F,'VPLData(raw)'!B:B=524,'VPLData(raw)'!A:A=A46),0)"),"1311")</f>
        <v>1311</v>
      </c>
      <c r="AA46">
        <f>IFERROR(__xludf.DUMMYFUNCTION("IFERROR(FILTER('VPLData(raw)'!C:C,'VPLData(raw)'!B:B=478,'VPLData(raw)'!A:A=A46),0)"),"1494863890")</f>
        <v>1494863890</v>
      </c>
      <c r="AB46">
        <f>IFERROR(__xludf.DUMMYFUNCTION("IFERROR(IF(AA46&gt;0, FILTER('VPLData(raw)'!E:E,'VPLData(raw)'!B:B=478,'VPLData(raw)'!A:A=A46), 0),0)"),"10")</f>
        <v>10</v>
      </c>
      <c r="AC46">
        <f>IFERROR(__xludf.DUMMYFUNCTION("IFERROR(FILTER('VPLData(raw)'!F:F,'VPLData(raw)'!B:B=478,'VPLData(raw)'!A:A=A46),0)"),"16178")</f>
        <v>16178</v>
      </c>
      <c r="AD46">
        <f>IFERROR(__xludf.DUMMYFUNCTION("IFERROR(FILTER('VPLData(raw)'!C:C,'VPLData(raw)'!B:B=542,'VPLData(raw)'!A:A=A46),0)"),"1497901745")</f>
        <v>1497901745</v>
      </c>
      <c r="AE46">
        <f>IFERROR(__xludf.DUMMYFUNCTION("IFERROR(IF(AD46&gt;0, FILTER('VPLData(raw)'!E:E,'VPLData(raw)'!B:B=542,'VPLData(raw)'!A:A=A46), 0),0)"),"10")</f>
        <v>10</v>
      </c>
      <c r="AF46">
        <f>IFERROR(__xludf.DUMMYFUNCTION("IFERROR(FILTER('VPLData(raw)'!F:F,'VPLData(raw)'!B:B=542,'VPLData(raw)'!A:A=A46),0)"),"3122")</f>
        <v>3122</v>
      </c>
      <c r="AG46">
        <f>IFERROR(__xludf.DUMMYFUNCTION("IFERROR(FILTER('VPLData(raw)'!C:C,'VPLData(raw)'!B:B=544,'VPLData(raw)'!A:A=A46),0)"),"0")</f>
        <v>0</v>
      </c>
      <c r="AH46">
        <f>IFERROR(__xludf.DUMMYFUNCTION("IFERROR(IF(AG46&gt;0, FILTER('VPLData(raw)'!E:E,'VPLData(raw)'!B:B=544,'VPLData(raw)'!A:A=A46), 0),0)"),"0")</f>
        <v>0</v>
      </c>
      <c r="AI46">
        <f>IFERROR(__xludf.DUMMYFUNCTION("IFERROR(FILTER('VPLData(raw)'!F:F,'VPLData(raw)'!B:B=544,'VPLData(raw)'!A:A=A46),0)"),"0")</f>
        <v>0</v>
      </c>
      <c r="AJ46">
        <f>IFERROR(__xludf.DUMMYFUNCTION("IFERROR(FILTER('VPLData(raw)'!C:C,'VPLData(raw)'!B:B=545,'VPLData(raw)'!A:A=A46),0)"),"0")</f>
        <v>0</v>
      </c>
      <c r="AK46">
        <f>IFERROR(__xludf.DUMMYFUNCTION("IFERROR(IF(AJ46&gt;0, FILTER('VPLData(raw)'!E:E,'VPLData(raw)'!B:B=545,'VPLData(raw)'!A:A=A46), 0),0)"),"0")</f>
        <v>0</v>
      </c>
      <c r="AL46">
        <f>IFERROR(__xludf.DUMMYFUNCTION("IFERROR(FILTER('VPLData(raw)'!F:F,'VPLData(raw)'!B:B=545,'VPLData(raw)'!A:A=A46),0)"),"0")</f>
        <v>0</v>
      </c>
    </row>
    <row r="47">
      <c r="A47" s="1">
        <v>10202.0</v>
      </c>
      <c r="B47" s="1">
        <v>1.0277036E7</v>
      </c>
      <c r="C47">
        <f>IFERROR(__xludf.DUMMYFUNCTION("IFERROR(FILTER('VPLData(raw)'!C:C,'VPLData(raw)'!B:B=504,'VPLData(raw)'!A:A=A47),0)"),"1490804478")</f>
        <v>1490804478</v>
      </c>
      <c r="D47" s="7">
        <f>IFERROR(__xludf.DUMMYFUNCTION("IFERROR(IF(C47&gt;0, FILTER('VPLData(raw)'!E:E,'VPLData(raw)'!B:B=504,'VPLData(raw)'!A:A=A47), 0),0)"),"10")</f>
        <v>10</v>
      </c>
      <c r="E47">
        <f>IFERROR(__xludf.DUMMYFUNCTION("IFERROR(FILTER('VPLData(raw)'!F:F,'VPLData(raw)'!B:B=504,'VPLData(raw)'!A:A=A47),0)"),"6258")</f>
        <v>6258</v>
      </c>
      <c r="F47">
        <f>IFERROR(__xludf.DUMMYFUNCTION("IFERROR(FILTER('VPLData(raw)'!C:C,'VPLData(raw)'!B:B=454,'VPLData(raw)'!A:A=A47),0)"),"1491853817")</f>
        <v>1491853817</v>
      </c>
      <c r="G47">
        <f>IFERROR(__xludf.DUMMYFUNCTION("IFERROR(IF(F47&gt;0, FILTER('VPLData(raw)'!E:E,'VPLData(raw)'!B:B=454,'VPLData(raw)'!A:A=A47), 0),0)"),"10")</f>
        <v>10</v>
      </c>
      <c r="H47">
        <f>IFERROR(__xludf.DUMMYFUNCTION("IFERROR(FILTER('VPLData(raw)'!F:F,'VPLData(raw)'!B:B=454,'VPLData(raw)'!A:A=A47),0)"),"9601")</f>
        <v>9601</v>
      </c>
      <c r="I47">
        <f>IFERROR(__xludf.DUMMYFUNCTION("IFERROR(FILTER('VPLData(raw)'!C:C,'VPLData(raw)'!B:B=457,'VPLData(raw)'!A:A=A47),0)"),"1491949270")</f>
        <v>1491949270</v>
      </c>
      <c r="J47" t="str">
        <f>IFERROR(__xludf.DUMMYFUNCTION("IFERROR(IF(I47&gt;0, FILTER('VPLData(raw)'!E:E,'VPLData(raw)'!B:B=457,'VPLData(raw)'!A:A=A47), 0),0)"),"")</f>
        <v/>
      </c>
      <c r="K47">
        <f>IFERROR(__xludf.DUMMYFUNCTION("IFERROR(FILTER('VPLData(raw)'!F:F,'VPLData(raw)'!B:B=457,'VPLData(raw)'!A:A=A47),0)"),"6809")</f>
        <v>6809</v>
      </c>
      <c r="L47">
        <f>IFERROR(__xludf.DUMMYFUNCTION("IFERROR(FILTER('VPLData(raw)'!C:C,'VPLData(raw)'!B:B=534,'VPLData(raw)'!A:A=A47),0)"),"0")</f>
        <v>0</v>
      </c>
      <c r="M47">
        <f>IFERROR(__xludf.DUMMYFUNCTION("IFERROR(IF(L47&gt;0, FILTER('VPLData(raw)'!E:E,'VPLData(raw)'!B:B=534,'VPLData(raw)'!A:A=A47), 0),0)"),"0")</f>
        <v>0</v>
      </c>
      <c r="N47">
        <f>IFERROR(__xludf.DUMMYFUNCTION("IFERROR(FILTER('VPLData(raw)'!F:F,'VPLData(raw)'!B:B=534,'VPLData(raw)'!A:A=A47),0)"),"0")</f>
        <v>0</v>
      </c>
      <c r="O47">
        <f>IFERROR(__xludf.DUMMYFUNCTION("IFERROR(FILTER('VPLData(raw)'!C:C,'VPLData(raw)'!B:B=498,'VPLData(raw)'!A:A=A47),0)"),"0")</f>
        <v>0</v>
      </c>
      <c r="P47">
        <f>IFERROR(__xludf.DUMMYFUNCTION("IFERROR(IF(O47&gt;0, FILTER('VPLData(raw)'!E:E,'VPLData(raw)'!B:B=498,'VPLData(raw)'!A:A=A47), 0),0)"),"0")</f>
        <v>0</v>
      </c>
      <c r="Q47">
        <f>IFERROR(__xludf.DUMMYFUNCTION("IFERROR(FILTER('VPLData(raw)'!F:F,'VPLData(raw)'!B:B=498,'VPLData(raw)'!A:A=A47),0)"),"0")</f>
        <v>0</v>
      </c>
      <c r="R47">
        <f>IFERROR(__xludf.DUMMYFUNCTION("IFERROR(FILTER('VPLData(raw)'!C:C,'VPLData(raw)'!B:B=515,'VPLData(raw)'!A:A=A47),0)"),"0")</f>
        <v>0</v>
      </c>
      <c r="S47">
        <f>IFERROR(__xludf.DUMMYFUNCTION("IFERROR(IF(R47&gt;0, FILTER('VPLData(raw)'!E:E,'VPLData(raw)'!B:B=515,'VPLData(raw)'!A:A=A47), 0),0)"),"0")</f>
        <v>0</v>
      </c>
      <c r="T47">
        <f>IFERROR(__xludf.DUMMYFUNCTION("IFERROR(FILTER('VPLData(raw)'!F:F,'VPLData(raw)'!B:B=515,'VPLData(raw)'!A:A=A47),0)"),"0")</f>
        <v>0</v>
      </c>
      <c r="U47">
        <f>IFERROR(__xludf.DUMMYFUNCTION("IFERROR(FILTER('VPLData(raw)'!C:C,'VPLData(raw)'!B:B=528,'VPLData(raw)'!A:A=A47),0)"),"1494817462")</f>
        <v>1494817462</v>
      </c>
      <c r="V47">
        <f>IFERROR(__xludf.DUMMYFUNCTION("IFERROR(IF(U47&gt;0, FILTER('VPLData(raw)'!E:E,'VPLData(raw)'!B:B=528,'VPLData(raw)'!A:A=A47), 0),0)"),"10")</f>
        <v>10</v>
      </c>
      <c r="W47">
        <f>IFERROR(__xludf.DUMMYFUNCTION("IFERROR(FILTER('VPLData(raw)'!F:F,'VPLData(raw)'!B:B=528,'VPLData(raw)'!A:A=A47),0)"),"4431")</f>
        <v>4431</v>
      </c>
      <c r="X47">
        <f>IFERROR(__xludf.DUMMYFUNCTION("IFERROR(FILTER('VPLData(raw)'!C:C,'VPLData(raw)'!B:B=524,'VPLData(raw)'!A:A=A47),0)"),"1494853765")</f>
        <v>1494853765</v>
      </c>
      <c r="Y47" t="str">
        <f>IFERROR(__xludf.DUMMYFUNCTION("IFERROR(IF(X47&gt;0, FILTER('VPLData(raw)'!E:E,'VPLData(raw)'!B:B=524,'VPLData(raw)'!A:A=A47), 0),0)"),"")</f>
        <v/>
      </c>
      <c r="Z47">
        <f>IFERROR(__xludf.DUMMYFUNCTION("IFERROR(FILTER('VPLData(raw)'!F:F,'VPLData(raw)'!B:B=524,'VPLData(raw)'!A:A=A47),0)"),"6559")</f>
        <v>6559</v>
      </c>
      <c r="AA47">
        <f>IFERROR(__xludf.DUMMYFUNCTION("IFERROR(FILTER('VPLData(raw)'!C:C,'VPLData(raw)'!B:B=478,'VPLData(raw)'!A:A=A47),0)"),"0")</f>
        <v>0</v>
      </c>
      <c r="AB47">
        <f>IFERROR(__xludf.DUMMYFUNCTION("IFERROR(IF(AA47&gt;0, FILTER('VPLData(raw)'!E:E,'VPLData(raw)'!B:B=478,'VPLData(raw)'!A:A=A47), 0),0)"),"0")</f>
        <v>0</v>
      </c>
      <c r="AC47">
        <f>IFERROR(__xludf.DUMMYFUNCTION("IFERROR(FILTER('VPLData(raw)'!F:F,'VPLData(raw)'!B:B=478,'VPLData(raw)'!A:A=A47),0)"),"0")</f>
        <v>0</v>
      </c>
      <c r="AD47">
        <f>IFERROR(__xludf.DUMMYFUNCTION("IFERROR(FILTER('VPLData(raw)'!C:C,'VPLData(raw)'!B:B=542,'VPLData(raw)'!A:A=A47),0)"),"0")</f>
        <v>0</v>
      </c>
      <c r="AE47">
        <f>IFERROR(__xludf.DUMMYFUNCTION("IFERROR(IF(AD47&gt;0, FILTER('VPLData(raw)'!E:E,'VPLData(raw)'!B:B=542,'VPLData(raw)'!A:A=A47), 0),0)"),"0")</f>
        <v>0</v>
      </c>
      <c r="AF47">
        <f>IFERROR(__xludf.DUMMYFUNCTION("IFERROR(FILTER('VPLData(raw)'!F:F,'VPLData(raw)'!B:B=542,'VPLData(raw)'!A:A=A47),0)"),"0")</f>
        <v>0</v>
      </c>
      <c r="AG47">
        <f>IFERROR(__xludf.DUMMYFUNCTION("IFERROR(FILTER('VPLData(raw)'!C:C,'VPLData(raw)'!B:B=544,'VPLData(raw)'!A:A=A47),0)"),"0")</f>
        <v>0</v>
      </c>
      <c r="AH47">
        <f>IFERROR(__xludf.DUMMYFUNCTION("IFERROR(IF(AG47&gt;0, FILTER('VPLData(raw)'!E:E,'VPLData(raw)'!B:B=544,'VPLData(raw)'!A:A=A47), 0),0)"),"0")</f>
        <v>0</v>
      </c>
      <c r="AI47">
        <f>IFERROR(__xludf.DUMMYFUNCTION("IFERROR(FILTER('VPLData(raw)'!F:F,'VPLData(raw)'!B:B=544,'VPLData(raw)'!A:A=A47),0)"),"0")</f>
        <v>0</v>
      </c>
      <c r="AJ47">
        <f>IFERROR(__xludf.DUMMYFUNCTION("IFERROR(FILTER('VPLData(raw)'!C:C,'VPLData(raw)'!B:B=545,'VPLData(raw)'!A:A=A47),0)"),"0")</f>
        <v>0</v>
      </c>
      <c r="AK47">
        <f>IFERROR(__xludf.DUMMYFUNCTION("IFERROR(IF(AJ47&gt;0, FILTER('VPLData(raw)'!E:E,'VPLData(raw)'!B:B=545,'VPLData(raw)'!A:A=A47), 0),0)"),"0")</f>
        <v>0</v>
      </c>
      <c r="AL47">
        <f>IFERROR(__xludf.DUMMYFUNCTION("IFERROR(FILTER('VPLData(raw)'!F:F,'VPLData(raw)'!B:B=545,'VPLData(raw)'!A:A=A47),0)"),"0")</f>
        <v>0</v>
      </c>
    </row>
    <row r="48">
      <c r="A48" s="1">
        <v>10213.0</v>
      </c>
      <c r="B48" s="1">
        <v>1.027704E7</v>
      </c>
      <c r="C48">
        <f>IFERROR(__xludf.DUMMYFUNCTION("IFERROR(FILTER('VPLData(raw)'!C:C,'VPLData(raw)'!B:B=504,'VPLData(raw)'!A:A=A48),0)"),"0")</f>
        <v>0</v>
      </c>
      <c r="D48" s="7">
        <f>IFERROR(__xludf.DUMMYFUNCTION("IFERROR(IF(C48&gt;0, FILTER('VPLData(raw)'!E:E,'VPLData(raw)'!B:B=504,'VPLData(raw)'!A:A=A48), 0),0)"),"0")</f>
        <v>0</v>
      </c>
      <c r="E48">
        <f>IFERROR(__xludf.DUMMYFUNCTION("IFERROR(FILTER('VPLData(raw)'!F:F,'VPLData(raw)'!B:B=504,'VPLData(raw)'!A:A=A48),0)"),"0")</f>
        <v>0</v>
      </c>
      <c r="F48">
        <f>IFERROR(__xludf.DUMMYFUNCTION("IFERROR(FILTER('VPLData(raw)'!C:C,'VPLData(raw)'!B:B=454,'VPLData(raw)'!A:A=A48),0)"),"1492560683")</f>
        <v>1492560683</v>
      </c>
      <c r="G48" t="str">
        <f>IFERROR(__xludf.DUMMYFUNCTION("IFERROR(IF(F48&gt;0, FILTER('VPLData(raw)'!E:E,'VPLData(raw)'!B:B=454,'VPLData(raw)'!A:A=A48), 0),0)"),"")</f>
        <v/>
      </c>
      <c r="H48">
        <f>IFERROR(__xludf.DUMMYFUNCTION("IFERROR(FILTER('VPLData(raw)'!F:F,'VPLData(raw)'!B:B=454,'VPLData(raw)'!A:A=A48),0)"),"277")</f>
        <v>277</v>
      </c>
      <c r="I48">
        <f>IFERROR(__xludf.DUMMYFUNCTION("IFERROR(FILTER('VPLData(raw)'!C:C,'VPLData(raw)'!B:B=457,'VPLData(raw)'!A:A=A48),0)"),"0")</f>
        <v>0</v>
      </c>
      <c r="J48">
        <f>IFERROR(__xludf.DUMMYFUNCTION("IFERROR(IF(I48&gt;0, FILTER('VPLData(raw)'!E:E,'VPLData(raw)'!B:B=457,'VPLData(raw)'!A:A=A48), 0),0)"),"0")</f>
        <v>0</v>
      </c>
      <c r="K48">
        <f>IFERROR(__xludf.DUMMYFUNCTION("IFERROR(FILTER('VPLData(raw)'!F:F,'VPLData(raw)'!B:B=457,'VPLData(raw)'!A:A=A48),0)"),"0")</f>
        <v>0</v>
      </c>
      <c r="L48">
        <f>IFERROR(__xludf.DUMMYFUNCTION("IFERROR(FILTER('VPLData(raw)'!C:C,'VPLData(raw)'!B:B=534,'VPLData(raw)'!A:A=A48),0)"),"0")</f>
        <v>0</v>
      </c>
      <c r="M48">
        <f>IFERROR(__xludf.DUMMYFUNCTION("IFERROR(IF(L48&gt;0, FILTER('VPLData(raw)'!E:E,'VPLData(raw)'!B:B=534,'VPLData(raw)'!A:A=A48), 0),0)"),"0")</f>
        <v>0</v>
      </c>
      <c r="N48">
        <f>IFERROR(__xludf.DUMMYFUNCTION("IFERROR(FILTER('VPLData(raw)'!F:F,'VPLData(raw)'!B:B=534,'VPLData(raw)'!A:A=A48),0)"),"0")</f>
        <v>0</v>
      </c>
      <c r="O48">
        <f>IFERROR(__xludf.DUMMYFUNCTION("IFERROR(FILTER('VPLData(raw)'!C:C,'VPLData(raw)'!B:B=498,'VPLData(raw)'!A:A=A48),0)"),"1492711295")</f>
        <v>1492711295</v>
      </c>
      <c r="P48">
        <f>IFERROR(__xludf.DUMMYFUNCTION("IFERROR(IF(O48&gt;0, FILTER('VPLData(raw)'!E:E,'VPLData(raw)'!B:B=498,'VPLData(raw)'!A:A=A48), 0),0)"),"10")</f>
        <v>10</v>
      </c>
      <c r="Q48">
        <f>IFERROR(__xludf.DUMMYFUNCTION("IFERROR(FILTER('VPLData(raw)'!F:F,'VPLData(raw)'!B:B=498,'VPLData(raw)'!A:A=A48),0)"),"744")</f>
        <v>744</v>
      </c>
      <c r="R48">
        <f>IFERROR(__xludf.DUMMYFUNCTION("IFERROR(FILTER('VPLData(raw)'!C:C,'VPLData(raw)'!B:B=515,'VPLData(raw)'!A:A=A48),0)"),"0")</f>
        <v>0</v>
      </c>
      <c r="S48">
        <f>IFERROR(__xludf.DUMMYFUNCTION("IFERROR(IF(R48&gt;0, FILTER('VPLData(raw)'!E:E,'VPLData(raw)'!B:B=515,'VPLData(raw)'!A:A=A48), 0),0)"),"0")</f>
        <v>0</v>
      </c>
      <c r="T48">
        <f>IFERROR(__xludf.DUMMYFUNCTION("IFERROR(FILTER('VPLData(raw)'!F:F,'VPLData(raw)'!B:B=515,'VPLData(raw)'!A:A=A48),0)"),"0")</f>
        <v>0</v>
      </c>
      <c r="U48">
        <f>IFERROR(__xludf.DUMMYFUNCTION("IFERROR(FILTER('VPLData(raw)'!C:C,'VPLData(raw)'!B:B=528,'VPLData(raw)'!A:A=A48),0)"),"0")</f>
        <v>0</v>
      </c>
      <c r="V48">
        <f>IFERROR(__xludf.DUMMYFUNCTION("IFERROR(IF(U48&gt;0, FILTER('VPLData(raw)'!E:E,'VPLData(raw)'!B:B=528,'VPLData(raw)'!A:A=A48), 0),0)"),"0")</f>
        <v>0</v>
      </c>
      <c r="W48">
        <f>IFERROR(__xludf.DUMMYFUNCTION("IFERROR(FILTER('VPLData(raw)'!F:F,'VPLData(raw)'!B:B=528,'VPLData(raw)'!A:A=A48),0)"),"0")</f>
        <v>0</v>
      </c>
      <c r="X48">
        <f>IFERROR(__xludf.DUMMYFUNCTION("IFERROR(FILTER('VPLData(raw)'!C:C,'VPLData(raw)'!B:B=524,'VPLData(raw)'!A:A=A48),0)"),"0")</f>
        <v>0</v>
      </c>
      <c r="Y48">
        <f>IFERROR(__xludf.DUMMYFUNCTION("IFERROR(IF(X48&gt;0, FILTER('VPLData(raw)'!E:E,'VPLData(raw)'!B:B=524,'VPLData(raw)'!A:A=A48), 0),0)"),"0")</f>
        <v>0</v>
      </c>
      <c r="Z48">
        <f>IFERROR(__xludf.DUMMYFUNCTION("IFERROR(FILTER('VPLData(raw)'!F:F,'VPLData(raw)'!B:B=524,'VPLData(raw)'!A:A=A48),0)"),"0")</f>
        <v>0</v>
      </c>
      <c r="AA48">
        <f>IFERROR(__xludf.DUMMYFUNCTION("IFERROR(FILTER('VPLData(raw)'!C:C,'VPLData(raw)'!B:B=478,'VPLData(raw)'!A:A=A48),0)"),"1494813601")</f>
        <v>1494813601</v>
      </c>
      <c r="AB48">
        <f>IFERROR(__xludf.DUMMYFUNCTION("IFERROR(IF(AA48&gt;0, FILTER('VPLData(raw)'!E:E,'VPLData(raw)'!B:B=478,'VPLData(raw)'!A:A=A48), 0),0)"),"10")</f>
        <v>10</v>
      </c>
      <c r="AC48">
        <f>IFERROR(__xludf.DUMMYFUNCTION("IFERROR(FILTER('VPLData(raw)'!F:F,'VPLData(raw)'!B:B=478,'VPLData(raw)'!A:A=A48),0)"),"1221")</f>
        <v>1221</v>
      </c>
      <c r="AD48">
        <f>IFERROR(__xludf.DUMMYFUNCTION("IFERROR(FILTER('VPLData(raw)'!C:C,'VPLData(raw)'!B:B=542,'VPLData(raw)'!A:A=A48),0)"),"1499438872")</f>
        <v>1499438872</v>
      </c>
      <c r="AE48">
        <f>IFERROR(__xludf.DUMMYFUNCTION("IFERROR(IF(AD48&gt;0, FILTER('VPLData(raw)'!E:E,'VPLData(raw)'!B:B=542,'VPLData(raw)'!A:A=A48), 0),0)"),"10")</f>
        <v>10</v>
      </c>
      <c r="AF48">
        <f>IFERROR(__xludf.DUMMYFUNCTION("IFERROR(FILTER('VPLData(raw)'!F:F,'VPLData(raw)'!B:B=542,'VPLData(raw)'!A:A=A48),0)"),"538")</f>
        <v>538</v>
      </c>
      <c r="AG48">
        <f>IFERROR(__xludf.DUMMYFUNCTION("IFERROR(FILTER('VPLData(raw)'!C:C,'VPLData(raw)'!B:B=544,'VPLData(raw)'!A:A=A48),0)"),"1499438722")</f>
        <v>1499438722</v>
      </c>
      <c r="AH48">
        <f>IFERROR(__xludf.DUMMYFUNCTION("IFERROR(IF(AG48&gt;0, FILTER('VPLData(raw)'!E:E,'VPLData(raw)'!B:B=544,'VPLData(raw)'!A:A=A48), 0),0)"),"10")</f>
        <v>10</v>
      </c>
      <c r="AI48">
        <f>IFERROR(__xludf.DUMMYFUNCTION("IFERROR(FILTER('VPLData(raw)'!F:F,'VPLData(raw)'!B:B=544,'VPLData(raw)'!A:A=A48),0)"),"1202")</f>
        <v>1202</v>
      </c>
      <c r="AJ48">
        <f>IFERROR(__xludf.DUMMYFUNCTION("IFERROR(FILTER('VPLData(raw)'!C:C,'VPLData(raw)'!B:B=545,'VPLData(raw)'!A:A=A48),0)"),"1499392169")</f>
        <v>1499392169</v>
      </c>
      <c r="AK48">
        <f>IFERROR(__xludf.DUMMYFUNCTION("IFERROR(IF(AJ48&gt;0, FILTER('VPLData(raw)'!E:E,'VPLData(raw)'!B:B=545,'VPLData(raw)'!A:A=A48), 0),0)"),"10")</f>
        <v>10</v>
      </c>
      <c r="AL48">
        <f>IFERROR(__xludf.DUMMYFUNCTION("IFERROR(FILTER('VPLData(raw)'!F:F,'VPLData(raw)'!B:B=545,'VPLData(raw)'!A:A=A48),0)"),"844")</f>
        <v>844</v>
      </c>
    </row>
    <row r="49">
      <c r="A49" s="1">
        <v>10226.0</v>
      </c>
      <c r="B49" s="1">
        <v>1.0310342E7</v>
      </c>
      <c r="C49">
        <f>IFERROR(__xludf.DUMMYFUNCTION("IFERROR(FILTER('VPLData(raw)'!C:C,'VPLData(raw)'!B:B=504,'VPLData(raw)'!A:A=A49),0)"),"1490835393")</f>
        <v>1490835393</v>
      </c>
      <c r="D49" s="7">
        <f>IFERROR(__xludf.DUMMYFUNCTION("IFERROR(IF(C49&gt;0, FILTER('VPLData(raw)'!E:E,'VPLData(raw)'!B:B=504,'VPLData(raw)'!A:A=A49), 0),0)"),"10")</f>
        <v>10</v>
      </c>
      <c r="E49">
        <f>IFERROR(__xludf.DUMMYFUNCTION("IFERROR(FILTER('VPLData(raw)'!F:F,'VPLData(raw)'!B:B=504,'VPLData(raw)'!A:A=A49),0)"),"3084")</f>
        <v>3084</v>
      </c>
      <c r="F49">
        <f>IFERROR(__xludf.DUMMYFUNCTION("IFERROR(FILTER('VPLData(raw)'!C:C,'VPLData(raw)'!B:B=454,'VPLData(raw)'!A:A=A49),0)"),"0")</f>
        <v>0</v>
      </c>
      <c r="G49">
        <f>IFERROR(__xludf.DUMMYFUNCTION("IFERROR(IF(F49&gt;0, FILTER('VPLData(raw)'!E:E,'VPLData(raw)'!B:B=454,'VPLData(raw)'!A:A=A49), 0),0)"),"0")</f>
        <v>0</v>
      </c>
      <c r="H49">
        <f>IFERROR(__xludf.DUMMYFUNCTION("IFERROR(FILTER('VPLData(raw)'!F:F,'VPLData(raw)'!B:B=454,'VPLData(raw)'!A:A=A49),0)"),"0")</f>
        <v>0</v>
      </c>
      <c r="I49">
        <f>IFERROR(__xludf.DUMMYFUNCTION("IFERROR(FILTER('VPLData(raw)'!C:C,'VPLData(raw)'!B:B=457,'VPLData(raw)'!A:A=A49),0)"),"0")</f>
        <v>0</v>
      </c>
      <c r="J49">
        <f>IFERROR(__xludf.DUMMYFUNCTION("IFERROR(IF(I49&gt;0, FILTER('VPLData(raw)'!E:E,'VPLData(raw)'!B:B=457,'VPLData(raw)'!A:A=A49), 0),0)"),"0")</f>
        <v>0</v>
      </c>
      <c r="K49">
        <f>IFERROR(__xludf.DUMMYFUNCTION("IFERROR(FILTER('VPLData(raw)'!F:F,'VPLData(raw)'!B:B=457,'VPLData(raw)'!A:A=A49),0)"),"0")</f>
        <v>0</v>
      </c>
      <c r="L49">
        <f>IFERROR(__xludf.DUMMYFUNCTION("IFERROR(FILTER('VPLData(raw)'!C:C,'VPLData(raw)'!B:B=534,'VPLData(raw)'!A:A=A49),0)"),"0")</f>
        <v>0</v>
      </c>
      <c r="M49">
        <f>IFERROR(__xludf.DUMMYFUNCTION("IFERROR(IF(L49&gt;0, FILTER('VPLData(raw)'!E:E,'VPLData(raw)'!B:B=534,'VPLData(raw)'!A:A=A49), 0),0)"),"0")</f>
        <v>0</v>
      </c>
      <c r="N49">
        <f>IFERROR(__xludf.DUMMYFUNCTION("IFERROR(FILTER('VPLData(raw)'!F:F,'VPLData(raw)'!B:B=534,'VPLData(raw)'!A:A=A49),0)"),"0")</f>
        <v>0</v>
      </c>
      <c r="O49">
        <f>IFERROR(__xludf.DUMMYFUNCTION("IFERROR(FILTER('VPLData(raw)'!C:C,'VPLData(raw)'!B:B=498,'VPLData(raw)'!A:A=A49),0)"),"0")</f>
        <v>0</v>
      </c>
      <c r="P49">
        <f>IFERROR(__xludf.DUMMYFUNCTION("IFERROR(IF(O49&gt;0, FILTER('VPLData(raw)'!E:E,'VPLData(raw)'!B:B=498,'VPLData(raw)'!A:A=A49), 0),0)"),"0")</f>
        <v>0</v>
      </c>
      <c r="Q49">
        <f>IFERROR(__xludf.DUMMYFUNCTION("IFERROR(FILTER('VPLData(raw)'!F:F,'VPLData(raw)'!B:B=498,'VPLData(raw)'!A:A=A49),0)"),"0")</f>
        <v>0</v>
      </c>
      <c r="R49">
        <f>IFERROR(__xludf.DUMMYFUNCTION("IFERROR(FILTER('VPLData(raw)'!C:C,'VPLData(raw)'!B:B=515,'VPLData(raw)'!A:A=A49),0)"),"0")</f>
        <v>0</v>
      </c>
      <c r="S49">
        <f>IFERROR(__xludf.DUMMYFUNCTION("IFERROR(IF(R49&gt;0, FILTER('VPLData(raw)'!E:E,'VPLData(raw)'!B:B=515,'VPLData(raw)'!A:A=A49), 0),0)"),"0")</f>
        <v>0</v>
      </c>
      <c r="T49">
        <f>IFERROR(__xludf.DUMMYFUNCTION("IFERROR(FILTER('VPLData(raw)'!F:F,'VPLData(raw)'!B:B=515,'VPLData(raw)'!A:A=A49),0)"),"0")</f>
        <v>0</v>
      </c>
      <c r="U49">
        <f>IFERROR(__xludf.DUMMYFUNCTION("IFERROR(FILTER('VPLData(raw)'!C:C,'VPLData(raw)'!B:B=528,'VPLData(raw)'!A:A=A49),0)"),"0")</f>
        <v>0</v>
      </c>
      <c r="V49">
        <f>IFERROR(__xludf.DUMMYFUNCTION("IFERROR(IF(U49&gt;0, FILTER('VPLData(raw)'!E:E,'VPLData(raw)'!B:B=528,'VPLData(raw)'!A:A=A49), 0),0)"),"0")</f>
        <v>0</v>
      </c>
      <c r="W49">
        <f>IFERROR(__xludf.DUMMYFUNCTION("IFERROR(FILTER('VPLData(raw)'!F:F,'VPLData(raw)'!B:B=528,'VPLData(raw)'!A:A=A49),0)"),"0")</f>
        <v>0</v>
      </c>
      <c r="X49">
        <f>IFERROR(__xludf.DUMMYFUNCTION("IFERROR(FILTER('VPLData(raw)'!C:C,'VPLData(raw)'!B:B=524,'VPLData(raw)'!A:A=A49),0)"),"1494445675")</f>
        <v>1494445675</v>
      </c>
      <c r="Y49">
        <f>IFERROR(__xludf.DUMMYFUNCTION("IFERROR(IF(X49&gt;0, FILTER('VPLData(raw)'!E:E,'VPLData(raw)'!B:B=524,'VPLData(raw)'!A:A=A49), 0),0)"),"10")</f>
        <v>10</v>
      </c>
      <c r="Z49">
        <f>IFERROR(__xludf.DUMMYFUNCTION("IFERROR(FILTER('VPLData(raw)'!F:F,'VPLData(raw)'!B:B=524,'VPLData(raw)'!A:A=A49),0)"),"1981")</f>
        <v>1981</v>
      </c>
      <c r="AA49">
        <f>IFERROR(__xludf.DUMMYFUNCTION("IFERROR(FILTER('VPLData(raw)'!C:C,'VPLData(raw)'!B:B=478,'VPLData(raw)'!A:A=A49),0)"),"0")</f>
        <v>0</v>
      </c>
      <c r="AB49">
        <f>IFERROR(__xludf.DUMMYFUNCTION("IFERROR(IF(AA49&gt;0, FILTER('VPLData(raw)'!E:E,'VPLData(raw)'!B:B=478,'VPLData(raw)'!A:A=A49), 0),0)"),"0")</f>
        <v>0</v>
      </c>
      <c r="AC49">
        <f>IFERROR(__xludf.DUMMYFUNCTION("IFERROR(FILTER('VPLData(raw)'!F:F,'VPLData(raw)'!B:B=478,'VPLData(raw)'!A:A=A49),0)"),"0")</f>
        <v>0</v>
      </c>
      <c r="AD49">
        <f>IFERROR(__xludf.DUMMYFUNCTION("IFERROR(FILTER('VPLData(raw)'!C:C,'VPLData(raw)'!B:B=542,'VPLData(raw)'!A:A=A49),0)"),"1499482167")</f>
        <v>1499482167</v>
      </c>
      <c r="AE49">
        <f>IFERROR(__xludf.DUMMYFUNCTION("IFERROR(IF(AD49&gt;0, FILTER('VPLData(raw)'!E:E,'VPLData(raw)'!B:B=542,'VPLData(raw)'!A:A=A49), 0),0)"),"10")</f>
        <v>10</v>
      </c>
      <c r="AF49">
        <f>IFERROR(__xludf.DUMMYFUNCTION("IFERROR(FILTER('VPLData(raw)'!F:F,'VPLData(raw)'!B:B=542,'VPLData(raw)'!A:A=A49),0)"),"549")</f>
        <v>549</v>
      </c>
      <c r="AG49">
        <f>IFERROR(__xludf.DUMMYFUNCTION("IFERROR(FILTER('VPLData(raw)'!C:C,'VPLData(raw)'!B:B=544,'VPLData(raw)'!A:A=A49),0)"),"0")</f>
        <v>0</v>
      </c>
      <c r="AH49">
        <f>IFERROR(__xludf.DUMMYFUNCTION("IFERROR(IF(AG49&gt;0, FILTER('VPLData(raw)'!E:E,'VPLData(raw)'!B:B=544,'VPLData(raw)'!A:A=A49), 0),0)"),"0")</f>
        <v>0</v>
      </c>
      <c r="AI49">
        <f>IFERROR(__xludf.DUMMYFUNCTION("IFERROR(FILTER('VPLData(raw)'!F:F,'VPLData(raw)'!B:B=544,'VPLData(raw)'!A:A=A49),0)"),"0")</f>
        <v>0</v>
      </c>
      <c r="AJ49">
        <f>IFERROR(__xludf.DUMMYFUNCTION("IFERROR(FILTER('VPLData(raw)'!C:C,'VPLData(raw)'!B:B=545,'VPLData(raw)'!A:A=A49),0)"),"1499482834")</f>
        <v>1499482834</v>
      </c>
      <c r="AK49">
        <f>IFERROR(__xludf.DUMMYFUNCTION("IFERROR(IF(AJ49&gt;0, FILTER('VPLData(raw)'!E:E,'VPLData(raw)'!B:B=545,'VPLData(raw)'!A:A=A49), 0),0)"),"10")</f>
        <v>10</v>
      </c>
      <c r="AL49">
        <f>IFERROR(__xludf.DUMMYFUNCTION("IFERROR(FILTER('VPLData(raw)'!F:F,'VPLData(raw)'!B:B=545,'VPLData(raw)'!A:A=A49),0)"),"2386")</f>
        <v>2386</v>
      </c>
    </row>
    <row r="50">
      <c r="A50" s="1">
        <v>10204.0</v>
      </c>
      <c r="B50" s="1">
        <v>1.0310471E7</v>
      </c>
      <c r="C50">
        <f>IFERROR(__xludf.DUMMYFUNCTION("IFERROR(FILTER('VPLData(raw)'!C:C,'VPLData(raw)'!B:B=504,'VPLData(raw)'!A:A=A50),0)"),"0")</f>
        <v>0</v>
      </c>
      <c r="D50" s="7">
        <f>IFERROR(__xludf.DUMMYFUNCTION("IFERROR(IF(C50&gt;0, FILTER('VPLData(raw)'!E:E,'VPLData(raw)'!B:B=504,'VPLData(raw)'!A:A=A50), 0),0)"),"0")</f>
        <v>0</v>
      </c>
      <c r="E50">
        <f>IFERROR(__xludf.DUMMYFUNCTION("IFERROR(FILTER('VPLData(raw)'!F:F,'VPLData(raw)'!B:B=504,'VPLData(raw)'!A:A=A50),0)"),"0")</f>
        <v>0</v>
      </c>
      <c r="F50">
        <f>IFERROR(__xludf.DUMMYFUNCTION("IFERROR(FILTER('VPLData(raw)'!C:C,'VPLData(raw)'!B:B=454,'VPLData(raw)'!A:A=A50),0)"),"1491512969")</f>
        <v>1491512969</v>
      </c>
      <c r="G50">
        <f>IFERROR(__xludf.DUMMYFUNCTION("IFERROR(IF(F50&gt;0, FILTER('VPLData(raw)'!E:E,'VPLData(raw)'!B:B=454,'VPLData(raw)'!A:A=A50), 0),0)"),"10")</f>
        <v>10</v>
      </c>
      <c r="H50">
        <f>IFERROR(__xludf.DUMMYFUNCTION("IFERROR(FILTER('VPLData(raw)'!F:F,'VPLData(raw)'!B:B=454,'VPLData(raw)'!A:A=A50),0)"),"5363")</f>
        <v>5363</v>
      </c>
      <c r="I50">
        <f>IFERROR(__xludf.DUMMYFUNCTION("IFERROR(FILTER('VPLData(raw)'!C:C,'VPLData(raw)'!B:B=457,'VPLData(raw)'!A:A=A50),0)"),"1492092350")</f>
        <v>1492092350</v>
      </c>
      <c r="J50" t="str">
        <f>IFERROR(__xludf.DUMMYFUNCTION("IFERROR(IF(I50&gt;0, FILTER('VPLData(raw)'!E:E,'VPLData(raw)'!B:B=457,'VPLData(raw)'!A:A=A50), 0),0)"),"")</f>
        <v/>
      </c>
      <c r="K50">
        <f>IFERROR(__xludf.DUMMYFUNCTION("IFERROR(FILTER('VPLData(raw)'!F:F,'VPLData(raw)'!B:B=457,'VPLData(raw)'!A:A=A50),0)"),"20815")</f>
        <v>20815</v>
      </c>
      <c r="L50">
        <f>IFERROR(__xludf.DUMMYFUNCTION("IFERROR(FILTER('VPLData(raw)'!C:C,'VPLData(raw)'!B:B=534,'VPLData(raw)'!A:A=A50),0)"),"1495631033")</f>
        <v>1495631033</v>
      </c>
      <c r="M50" t="str">
        <f>IFERROR(__xludf.DUMMYFUNCTION("IFERROR(IF(L50&gt;0, FILTER('VPLData(raw)'!E:E,'VPLData(raw)'!B:B=534,'VPLData(raw)'!A:A=A50), 0),0)"),"")</f>
        <v/>
      </c>
      <c r="N50">
        <f>IFERROR(__xludf.DUMMYFUNCTION("IFERROR(FILTER('VPLData(raw)'!F:F,'VPLData(raw)'!B:B=534,'VPLData(raw)'!A:A=A50),0)"),"6317")</f>
        <v>6317</v>
      </c>
      <c r="O50">
        <f>IFERROR(__xludf.DUMMYFUNCTION("IFERROR(FILTER('VPLData(raw)'!C:C,'VPLData(raw)'!B:B=498,'VPLData(raw)'!A:A=A50),0)"),"1492704342")</f>
        <v>1492704342</v>
      </c>
      <c r="P50">
        <f>IFERROR(__xludf.DUMMYFUNCTION("IFERROR(IF(O50&gt;0, FILTER('VPLData(raw)'!E:E,'VPLData(raw)'!B:B=498,'VPLData(raw)'!A:A=A50), 0),0)"),"10")</f>
        <v>10</v>
      </c>
      <c r="Q50">
        <f>IFERROR(__xludf.DUMMYFUNCTION("IFERROR(FILTER('VPLData(raw)'!F:F,'VPLData(raw)'!B:B=498,'VPLData(raw)'!A:A=A50),0)"),"1402")</f>
        <v>1402</v>
      </c>
      <c r="R50">
        <f>IFERROR(__xludf.DUMMYFUNCTION("IFERROR(FILTER('VPLData(raw)'!C:C,'VPLData(raw)'!B:B=515,'VPLData(raw)'!A:A=A50),0)"),"1492706259")</f>
        <v>1492706259</v>
      </c>
      <c r="S50" t="str">
        <f>IFERROR(__xludf.DUMMYFUNCTION("IFERROR(IF(R50&gt;0, FILTER('VPLData(raw)'!E:E,'VPLData(raw)'!B:B=515,'VPLData(raw)'!A:A=A50), 0),0)"),"")</f>
        <v/>
      </c>
      <c r="T50">
        <f>IFERROR(__xludf.DUMMYFUNCTION("IFERROR(FILTER('VPLData(raw)'!F:F,'VPLData(raw)'!B:B=515,'VPLData(raw)'!A:A=A50),0)"),"454")</f>
        <v>454</v>
      </c>
      <c r="U50">
        <f>IFERROR(__xludf.DUMMYFUNCTION("IFERROR(FILTER('VPLData(raw)'!C:C,'VPLData(raw)'!B:B=528,'VPLData(raw)'!A:A=A50),0)"),"1494514768")</f>
        <v>1494514768</v>
      </c>
      <c r="V50">
        <f>IFERROR(__xludf.DUMMYFUNCTION("IFERROR(IF(U50&gt;0, FILTER('VPLData(raw)'!E:E,'VPLData(raw)'!B:B=528,'VPLData(raw)'!A:A=A50), 0),0)"),"10")</f>
        <v>10</v>
      </c>
      <c r="W50">
        <f>IFERROR(__xludf.DUMMYFUNCTION("IFERROR(FILTER('VPLData(raw)'!F:F,'VPLData(raw)'!B:B=528,'VPLData(raw)'!A:A=A50),0)"),"3937")</f>
        <v>3937</v>
      </c>
      <c r="X50">
        <f>IFERROR(__xludf.DUMMYFUNCTION("IFERROR(FILTER('VPLData(raw)'!C:C,'VPLData(raw)'!B:B=524,'VPLData(raw)'!A:A=A50),0)"),"1495137271")</f>
        <v>1495137271</v>
      </c>
      <c r="Y50">
        <f>IFERROR(__xludf.DUMMYFUNCTION("IFERROR(IF(X50&gt;0, FILTER('VPLData(raw)'!E:E,'VPLData(raw)'!B:B=524,'VPLData(raw)'!A:A=A50), 0),0)"),"10")</f>
        <v>10</v>
      </c>
      <c r="Z50">
        <f>IFERROR(__xludf.DUMMYFUNCTION("IFERROR(FILTER('VPLData(raw)'!F:F,'VPLData(raw)'!B:B=524,'VPLData(raw)'!A:A=A50),0)"),"700")</f>
        <v>700</v>
      </c>
      <c r="AA50">
        <f>IFERROR(__xludf.DUMMYFUNCTION("IFERROR(FILTER('VPLData(raw)'!C:C,'VPLData(raw)'!B:B=478,'VPLData(raw)'!A:A=A50),0)"),"1495109875")</f>
        <v>1495109875</v>
      </c>
      <c r="AB50">
        <f>IFERROR(__xludf.DUMMYFUNCTION("IFERROR(IF(AA50&gt;0, FILTER('VPLData(raw)'!E:E,'VPLData(raw)'!B:B=478,'VPLData(raw)'!A:A=A50), 0),0)"),"10")</f>
        <v>10</v>
      </c>
      <c r="AC50">
        <f>IFERROR(__xludf.DUMMYFUNCTION("IFERROR(FILTER('VPLData(raw)'!F:F,'VPLData(raw)'!B:B=478,'VPLData(raw)'!A:A=A50),0)"),"6921")</f>
        <v>6921</v>
      </c>
      <c r="AD50">
        <f>IFERROR(__xludf.DUMMYFUNCTION("IFERROR(FILTER('VPLData(raw)'!C:C,'VPLData(raw)'!B:B=542,'VPLData(raw)'!A:A=A50),0)"),"1499476660")</f>
        <v>1499476660</v>
      </c>
      <c r="AE50">
        <f>IFERROR(__xludf.DUMMYFUNCTION("IFERROR(IF(AD50&gt;0, FILTER('VPLData(raw)'!E:E,'VPLData(raw)'!B:B=542,'VPLData(raw)'!A:A=A50), 0),0)"),"10")</f>
        <v>10</v>
      </c>
      <c r="AF50">
        <f>IFERROR(__xludf.DUMMYFUNCTION("IFERROR(FILTER('VPLData(raw)'!F:F,'VPLData(raw)'!B:B=542,'VPLData(raw)'!A:A=A50),0)"),"1209")</f>
        <v>1209</v>
      </c>
      <c r="AG50">
        <f>IFERROR(__xludf.DUMMYFUNCTION("IFERROR(FILTER('VPLData(raw)'!C:C,'VPLData(raw)'!B:B=544,'VPLData(raw)'!A:A=A50),0)"),"1499477961")</f>
        <v>1499477961</v>
      </c>
      <c r="AH50">
        <f>IFERROR(__xludf.DUMMYFUNCTION("IFERROR(IF(AG50&gt;0, FILTER('VPLData(raw)'!E:E,'VPLData(raw)'!B:B=544,'VPLData(raw)'!A:A=A50), 0),0)"),"10")</f>
        <v>10</v>
      </c>
      <c r="AI50">
        <f>IFERROR(__xludf.DUMMYFUNCTION("IFERROR(FILTER('VPLData(raw)'!F:F,'VPLData(raw)'!B:B=544,'VPLData(raw)'!A:A=A50),0)"),"2517")</f>
        <v>2517</v>
      </c>
      <c r="AJ50">
        <f>IFERROR(__xludf.DUMMYFUNCTION("IFERROR(FILTER('VPLData(raw)'!C:C,'VPLData(raw)'!B:B=545,'VPLData(raw)'!A:A=A50),0)"),"1499384809")</f>
        <v>1499384809</v>
      </c>
      <c r="AK50">
        <f>IFERROR(__xludf.DUMMYFUNCTION("IFERROR(IF(AJ50&gt;0, FILTER('VPLData(raw)'!E:E,'VPLData(raw)'!B:B=545,'VPLData(raw)'!A:A=A50), 0),0)"),"10")</f>
        <v>10</v>
      </c>
      <c r="AL50">
        <f>IFERROR(__xludf.DUMMYFUNCTION("IFERROR(FILTER('VPLData(raw)'!F:F,'VPLData(raw)'!B:B=545,'VPLData(raw)'!A:A=A50),0)"),"1649")</f>
        <v>1649</v>
      </c>
    </row>
    <row r="51">
      <c r="A51" s="1">
        <v>10228.0</v>
      </c>
      <c r="B51" s="1">
        <v>1.0310492E7</v>
      </c>
      <c r="C51">
        <f>IFERROR(__xludf.DUMMYFUNCTION("IFERROR(FILTER('VPLData(raw)'!C:C,'VPLData(raw)'!B:B=504,'VPLData(raw)'!A:A=A51),0)"),"0")</f>
        <v>0</v>
      </c>
      <c r="D51" s="7">
        <f>IFERROR(__xludf.DUMMYFUNCTION("IFERROR(IF(C51&gt;0, FILTER('VPLData(raw)'!E:E,'VPLData(raw)'!B:B=504,'VPLData(raw)'!A:A=A51), 0),0)"),"0")</f>
        <v>0</v>
      </c>
      <c r="E51">
        <f>IFERROR(__xludf.DUMMYFUNCTION("IFERROR(FILTER('VPLData(raw)'!F:F,'VPLData(raw)'!B:B=504,'VPLData(raw)'!A:A=A51),0)"),"0")</f>
        <v>0</v>
      </c>
      <c r="F51">
        <f>IFERROR(__xludf.DUMMYFUNCTION("IFERROR(FILTER('VPLData(raw)'!C:C,'VPLData(raw)'!B:B=454,'VPLData(raw)'!A:A=A51),0)"),"0")</f>
        <v>0</v>
      </c>
      <c r="G51">
        <f>IFERROR(__xludf.DUMMYFUNCTION("IFERROR(IF(F51&gt;0, FILTER('VPLData(raw)'!E:E,'VPLData(raw)'!B:B=454,'VPLData(raw)'!A:A=A51), 0),0)"),"0")</f>
        <v>0</v>
      </c>
      <c r="H51">
        <f>IFERROR(__xludf.DUMMYFUNCTION("IFERROR(FILTER('VPLData(raw)'!F:F,'VPLData(raw)'!B:B=454,'VPLData(raw)'!A:A=A51),0)"),"0")</f>
        <v>0</v>
      </c>
      <c r="I51">
        <f>IFERROR(__xludf.DUMMYFUNCTION("IFERROR(FILTER('VPLData(raw)'!C:C,'VPLData(raw)'!B:B=457,'VPLData(raw)'!A:A=A51),0)"),"0")</f>
        <v>0</v>
      </c>
      <c r="J51">
        <f>IFERROR(__xludf.DUMMYFUNCTION("IFERROR(IF(I51&gt;0, FILTER('VPLData(raw)'!E:E,'VPLData(raw)'!B:B=457,'VPLData(raw)'!A:A=A51), 0),0)"),"0")</f>
        <v>0</v>
      </c>
      <c r="K51">
        <f>IFERROR(__xludf.DUMMYFUNCTION("IFERROR(FILTER('VPLData(raw)'!F:F,'VPLData(raw)'!B:B=457,'VPLData(raw)'!A:A=A51),0)"),"0")</f>
        <v>0</v>
      </c>
      <c r="L51">
        <f>IFERROR(__xludf.DUMMYFUNCTION("IFERROR(FILTER('VPLData(raw)'!C:C,'VPLData(raw)'!B:B=534,'VPLData(raw)'!A:A=A51),0)"),"0")</f>
        <v>0</v>
      </c>
      <c r="M51">
        <f>IFERROR(__xludf.DUMMYFUNCTION("IFERROR(IF(L51&gt;0, FILTER('VPLData(raw)'!E:E,'VPLData(raw)'!B:B=534,'VPLData(raw)'!A:A=A51), 0),0)"),"0")</f>
        <v>0</v>
      </c>
      <c r="N51">
        <f>IFERROR(__xludf.DUMMYFUNCTION("IFERROR(FILTER('VPLData(raw)'!F:F,'VPLData(raw)'!B:B=534,'VPLData(raw)'!A:A=A51),0)"),"0")</f>
        <v>0</v>
      </c>
      <c r="O51">
        <f>IFERROR(__xludf.DUMMYFUNCTION("IFERROR(FILTER('VPLData(raw)'!C:C,'VPLData(raw)'!B:B=498,'VPLData(raw)'!A:A=A51),0)"),"0")</f>
        <v>0</v>
      </c>
      <c r="P51">
        <f>IFERROR(__xludf.DUMMYFUNCTION("IFERROR(IF(O51&gt;0, FILTER('VPLData(raw)'!E:E,'VPLData(raw)'!B:B=498,'VPLData(raw)'!A:A=A51), 0),0)"),"0")</f>
        <v>0</v>
      </c>
      <c r="Q51">
        <f>IFERROR(__xludf.DUMMYFUNCTION("IFERROR(FILTER('VPLData(raw)'!F:F,'VPLData(raw)'!B:B=498,'VPLData(raw)'!A:A=A51),0)"),"0")</f>
        <v>0</v>
      </c>
      <c r="R51">
        <f>IFERROR(__xludf.DUMMYFUNCTION("IFERROR(FILTER('VPLData(raw)'!C:C,'VPLData(raw)'!B:B=515,'VPLData(raw)'!A:A=A51),0)"),"0")</f>
        <v>0</v>
      </c>
      <c r="S51">
        <f>IFERROR(__xludf.DUMMYFUNCTION("IFERROR(IF(R51&gt;0, FILTER('VPLData(raw)'!E:E,'VPLData(raw)'!B:B=515,'VPLData(raw)'!A:A=A51), 0),0)"),"0")</f>
        <v>0</v>
      </c>
      <c r="T51">
        <f>IFERROR(__xludf.DUMMYFUNCTION("IFERROR(FILTER('VPLData(raw)'!F:F,'VPLData(raw)'!B:B=515,'VPLData(raw)'!A:A=A51),0)"),"0")</f>
        <v>0</v>
      </c>
      <c r="U51">
        <f>IFERROR(__xludf.DUMMYFUNCTION("IFERROR(FILTER('VPLData(raw)'!C:C,'VPLData(raw)'!B:B=528,'VPLData(raw)'!A:A=A51),0)"),"0")</f>
        <v>0</v>
      </c>
      <c r="V51">
        <f>IFERROR(__xludf.DUMMYFUNCTION("IFERROR(IF(U51&gt;0, FILTER('VPLData(raw)'!E:E,'VPLData(raw)'!B:B=528,'VPLData(raw)'!A:A=A51), 0),0)"),"0")</f>
        <v>0</v>
      </c>
      <c r="W51">
        <f>IFERROR(__xludf.DUMMYFUNCTION("IFERROR(FILTER('VPLData(raw)'!F:F,'VPLData(raw)'!B:B=528,'VPLData(raw)'!A:A=A51),0)"),"0")</f>
        <v>0</v>
      </c>
      <c r="X51">
        <f>IFERROR(__xludf.DUMMYFUNCTION("IFERROR(FILTER('VPLData(raw)'!C:C,'VPLData(raw)'!B:B=524,'VPLData(raw)'!A:A=A51),0)"),"0")</f>
        <v>0</v>
      </c>
      <c r="Y51">
        <f>IFERROR(__xludf.DUMMYFUNCTION("IFERROR(IF(X51&gt;0, FILTER('VPLData(raw)'!E:E,'VPLData(raw)'!B:B=524,'VPLData(raw)'!A:A=A51), 0),0)"),"0")</f>
        <v>0</v>
      </c>
      <c r="Z51">
        <f>IFERROR(__xludf.DUMMYFUNCTION("IFERROR(FILTER('VPLData(raw)'!F:F,'VPLData(raw)'!B:B=524,'VPLData(raw)'!A:A=A51),0)"),"0")</f>
        <v>0</v>
      </c>
      <c r="AA51">
        <f>IFERROR(__xludf.DUMMYFUNCTION("IFERROR(FILTER('VPLData(raw)'!C:C,'VPLData(raw)'!B:B=478,'VPLData(raw)'!A:A=A51),0)"),"0")</f>
        <v>0</v>
      </c>
      <c r="AB51">
        <f>IFERROR(__xludf.DUMMYFUNCTION("IFERROR(IF(AA51&gt;0, FILTER('VPLData(raw)'!E:E,'VPLData(raw)'!B:B=478,'VPLData(raw)'!A:A=A51), 0),0)"),"0")</f>
        <v>0</v>
      </c>
      <c r="AC51">
        <f>IFERROR(__xludf.DUMMYFUNCTION("IFERROR(FILTER('VPLData(raw)'!F:F,'VPLData(raw)'!B:B=478,'VPLData(raw)'!A:A=A51),0)"),"0")</f>
        <v>0</v>
      </c>
      <c r="AD51">
        <f>IFERROR(__xludf.DUMMYFUNCTION("IFERROR(FILTER('VPLData(raw)'!C:C,'VPLData(raw)'!B:B=542,'VPLData(raw)'!A:A=A51),0)"),"1499402767")</f>
        <v>1499402767</v>
      </c>
      <c r="AE51">
        <f>IFERROR(__xludf.DUMMYFUNCTION("IFERROR(IF(AD51&gt;0, FILTER('VPLData(raw)'!E:E,'VPLData(raw)'!B:B=542,'VPLData(raw)'!A:A=A51), 0),0)"),"10")</f>
        <v>10</v>
      </c>
      <c r="AF51">
        <f>IFERROR(__xludf.DUMMYFUNCTION("IFERROR(FILTER('VPLData(raw)'!F:F,'VPLData(raw)'!B:B=542,'VPLData(raw)'!A:A=A51),0)"),"996")</f>
        <v>996</v>
      </c>
      <c r="AG51">
        <f>IFERROR(__xludf.DUMMYFUNCTION("IFERROR(FILTER('VPLData(raw)'!C:C,'VPLData(raw)'!B:B=544,'VPLData(raw)'!A:A=A51),0)"),"0")</f>
        <v>0</v>
      </c>
      <c r="AH51">
        <f>IFERROR(__xludf.DUMMYFUNCTION("IFERROR(IF(AG51&gt;0, FILTER('VPLData(raw)'!E:E,'VPLData(raw)'!B:B=544,'VPLData(raw)'!A:A=A51), 0),0)"),"0")</f>
        <v>0</v>
      </c>
      <c r="AI51">
        <f>IFERROR(__xludf.DUMMYFUNCTION("IFERROR(FILTER('VPLData(raw)'!F:F,'VPLData(raw)'!B:B=544,'VPLData(raw)'!A:A=A51),0)"),"0")</f>
        <v>0</v>
      </c>
      <c r="AJ51">
        <f>IFERROR(__xludf.DUMMYFUNCTION("IFERROR(FILTER('VPLData(raw)'!C:C,'VPLData(raw)'!B:B=545,'VPLData(raw)'!A:A=A51),0)"),"0")</f>
        <v>0</v>
      </c>
      <c r="AK51">
        <f>IFERROR(__xludf.DUMMYFUNCTION("IFERROR(IF(AJ51&gt;0, FILTER('VPLData(raw)'!E:E,'VPLData(raw)'!B:B=545,'VPLData(raw)'!A:A=A51), 0),0)"),"0")</f>
        <v>0</v>
      </c>
      <c r="AL51">
        <f>IFERROR(__xludf.DUMMYFUNCTION("IFERROR(FILTER('VPLData(raw)'!F:F,'VPLData(raw)'!B:B=545,'VPLData(raw)'!A:A=A51),0)"),"0")</f>
        <v>0</v>
      </c>
    </row>
    <row r="52">
      <c r="A52" s="1">
        <v>10186.0</v>
      </c>
      <c r="B52" s="1">
        <v>1.0310551E7</v>
      </c>
      <c r="C52">
        <f>IFERROR(__xludf.DUMMYFUNCTION("IFERROR(FILTER('VPLData(raw)'!C:C,'VPLData(raw)'!B:B=504,'VPLData(raw)'!A:A=A52),0)"),"0")</f>
        <v>0</v>
      </c>
      <c r="D52" s="7">
        <f>IFERROR(__xludf.DUMMYFUNCTION("IFERROR(IF(C52&gt;0, FILTER('VPLData(raw)'!E:E,'VPLData(raw)'!B:B=504,'VPLData(raw)'!A:A=A52), 0),0)"),"0")</f>
        <v>0</v>
      </c>
      <c r="E52">
        <f>IFERROR(__xludf.DUMMYFUNCTION("IFERROR(FILTER('VPLData(raw)'!F:F,'VPLData(raw)'!B:B=504,'VPLData(raw)'!A:A=A52),0)"),"0")</f>
        <v>0</v>
      </c>
      <c r="F52">
        <f>IFERROR(__xludf.DUMMYFUNCTION("IFERROR(FILTER('VPLData(raw)'!C:C,'VPLData(raw)'!B:B=454,'VPLData(raw)'!A:A=A52),0)"),"0")</f>
        <v>0</v>
      </c>
      <c r="G52">
        <f>IFERROR(__xludf.DUMMYFUNCTION("IFERROR(IF(F52&gt;0, FILTER('VPLData(raw)'!E:E,'VPLData(raw)'!B:B=454,'VPLData(raw)'!A:A=A52), 0),0)"),"0")</f>
        <v>0</v>
      </c>
      <c r="H52">
        <f>IFERROR(__xludf.DUMMYFUNCTION("IFERROR(FILTER('VPLData(raw)'!F:F,'VPLData(raw)'!B:B=454,'VPLData(raw)'!A:A=A52),0)"),"0")</f>
        <v>0</v>
      </c>
      <c r="I52">
        <f>IFERROR(__xludf.DUMMYFUNCTION("IFERROR(FILTER('VPLData(raw)'!C:C,'VPLData(raw)'!B:B=457,'VPLData(raw)'!A:A=A52),0)"),"0")</f>
        <v>0</v>
      </c>
      <c r="J52">
        <f>IFERROR(__xludf.DUMMYFUNCTION("IFERROR(IF(I52&gt;0, FILTER('VPLData(raw)'!E:E,'VPLData(raw)'!B:B=457,'VPLData(raw)'!A:A=A52), 0),0)"),"0")</f>
        <v>0</v>
      </c>
      <c r="K52">
        <f>IFERROR(__xludf.DUMMYFUNCTION("IFERROR(FILTER('VPLData(raw)'!F:F,'VPLData(raw)'!B:B=457,'VPLData(raw)'!A:A=A52),0)"),"0")</f>
        <v>0</v>
      </c>
      <c r="L52">
        <f>IFERROR(__xludf.DUMMYFUNCTION("IFERROR(FILTER('VPLData(raw)'!C:C,'VPLData(raw)'!B:B=534,'VPLData(raw)'!A:A=A52),0)"),"0")</f>
        <v>0</v>
      </c>
      <c r="M52">
        <f>IFERROR(__xludf.DUMMYFUNCTION("IFERROR(IF(L52&gt;0, FILTER('VPLData(raw)'!E:E,'VPLData(raw)'!B:B=534,'VPLData(raw)'!A:A=A52), 0),0)"),"0")</f>
        <v>0</v>
      </c>
      <c r="N52">
        <f>IFERROR(__xludf.DUMMYFUNCTION("IFERROR(FILTER('VPLData(raw)'!F:F,'VPLData(raw)'!B:B=534,'VPLData(raw)'!A:A=A52),0)"),"0")</f>
        <v>0</v>
      </c>
      <c r="O52">
        <f>IFERROR(__xludf.DUMMYFUNCTION("IFERROR(FILTER('VPLData(raw)'!C:C,'VPLData(raw)'!B:B=498,'VPLData(raw)'!A:A=A52),0)"),"0")</f>
        <v>0</v>
      </c>
      <c r="P52">
        <f>IFERROR(__xludf.DUMMYFUNCTION("IFERROR(IF(O52&gt;0, FILTER('VPLData(raw)'!E:E,'VPLData(raw)'!B:B=498,'VPLData(raw)'!A:A=A52), 0),0)"),"0")</f>
        <v>0</v>
      </c>
      <c r="Q52">
        <f>IFERROR(__xludf.DUMMYFUNCTION("IFERROR(FILTER('VPLData(raw)'!F:F,'VPLData(raw)'!B:B=498,'VPLData(raw)'!A:A=A52),0)"),"0")</f>
        <v>0</v>
      </c>
      <c r="R52">
        <f>IFERROR(__xludf.DUMMYFUNCTION("IFERROR(FILTER('VPLData(raw)'!C:C,'VPLData(raw)'!B:B=515,'VPLData(raw)'!A:A=A52),0)"),"0")</f>
        <v>0</v>
      </c>
      <c r="S52">
        <f>IFERROR(__xludf.DUMMYFUNCTION("IFERROR(IF(R52&gt;0, FILTER('VPLData(raw)'!E:E,'VPLData(raw)'!B:B=515,'VPLData(raw)'!A:A=A52), 0),0)"),"0")</f>
        <v>0</v>
      </c>
      <c r="T52">
        <f>IFERROR(__xludf.DUMMYFUNCTION("IFERROR(FILTER('VPLData(raw)'!F:F,'VPLData(raw)'!B:B=515,'VPLData(raw)'!A:A=A52),0)"),"0")</f>
        <v>0</v>
      </c>
      <c r="U52">
        <f>IFERROR(__xludf.DUMMYFUNCTION("IFERROR(FILTER('VPLData(raw)'!C:C,'VPLData(raw)'!B:B=528,'VPLData(raw)'!A:A=A52),0)"),"0")</f>
        <v>0</v>
      </c>
      <c r="V52">
        <f>IFERROR(__xludf.DUMMYFUNCTION("IFERROR(IF(U52&gt;0, FILTER('VPLData(raw)'!E:E,'VPLData(raw)'!B:B=528,'VPLData(raw)'!A:A=A52), 0),0)"),"0")</f>
        <v>0</v>
      </c>
      <c r="W52">
        <f>IFERROR(__xludf.DUMMYFUNCTION("IFERROR(FILTER('VPLData(raw)'!F:F,'VPLData(raw)'!B:B=528,'VPLData(raw)'!A:A=A52),0)"),"0")</f>
        <v>0</v>
      </c>
      <c r="X52">
        <f>IFERROR(__xludf.DUMMYFUNCTION("IFERROR(FILTER('VPLData(raw)'!C:C,'VPLData(raw)'!B:B=524,'VPLData(raw)'!A:A=A52),0)"),"0")</f>
        <v>0</v>
      </c>
      <c r="Y52">
        <f>IFERROR(__xludf.DUMMYFUNCTION("IFERROR(IF(X52&gt;0, FILTER('VPLData(raw)'!E:E,'VPLData(raw)'!B:B=524,'VPLData(raw)'!A:A=A52), 0),0)"),"0")</f>
        <v>0</v>
      </c>
      <c r="Z52">
        <f>IFERROR(__xludf.DUMMYFUNCTION("IFERROR(FILTER('VPLData(raw)'!F:F,'VPLData(raw)'!B:B=524,'VPLData(raw)'!A:A=A52),0)"),"0")</f>
        <v>0</v>
      </c>
      <c r="AA52">
        <f>IFERROR(__xludf.DUMMYFUNCTION("IFERROR(FILTER('VPLData(raw)'!C:C,'VPLData(raw)'!B:B=478,'VPLData(raw)'!A:A=A52),0)"),"0")</f>
        <v>0</v>
      </c>
      <c r="AB52">
        <f>IFERROR(__xludf.DUMMYFUNCTION("IFERROR(IF(AA52&gt;0, FILTER('VPLData(raw)'!E:E,'VPLData(raw)'!B:B=478,'VPLData(raw)'!A:A=A52), 0),0)"),"0")</f>
        <v>0</v>
      </c>
      <c r="AC52">
        <f>IFERROR(__xludf.DUMMYFUNCTION("IFERROR(FILTER('VPLData(raw)'!F:F,'VPLData(raw)'!B:B=478,'VPLData(raw)'!A:A=A52),0)"),"0")</f>
        <v>0</v>
      </c>
      <c r="AD52">
        <f>IFERROR(__xludf.DUMMYFUNCTION("IFERROR(FILTER('VPLData(raw)'!C:C,'VPLData(raw)'!B:B=542,'VPLData(raw)'!A:A=A52),0)"),"1499390861")</f>
        <v>1499390861</v>
      </c>
      <c r="AE52">
        <f>IFERROR(__xludf.DUMMYFUNCTION("IFERROR(IF(AD52&gt;0, FILTER('VPLData(raw)'!E:E,'VPLData(raw)'!B:B=542,'VPLData(raw)'!A:A=A52), 0),0)"),"10")</f>
        <v>10</v>
      </c>
      <c r="AF52">
        <f>IFERROR(__xludf.DUMMYFUNCTION("IFERROR(FILTER('VPLData(raw)'!F:F,'VPLData(raw)'!B:B=542,'VPLData(raw)'!A:A=A52),0)"),"339")</f>
        <v>339</v>
      </c>
      <c r="AG52">
        <f>IFERROR(__xludf.DUMMYFUNCTION("IFERROR(FILTER('VPLData(raw)'!C:C,'VPLData(raw)'!B:B=544,'VPLData(raw)'!A:A=A52),0)"),"1499458121")</f>
        <v>1499458121</v>
      </c>
      <c r="AH52">
        <f>IFERROR(__xludf.DUMMYFUNCTION("IFERROR(IF(AG52&gt;0, FILTER('VPLData(raw)'!E:E,'VPLData(raw)'!B:B=544,'VPLData(raw)'!A:A=A52), 0),0)"),"10")</f>
        <v>10</v>
      </c>
      <c r="AI52">
        <f>IFERROR(__xludf.DUMMYFUNCTION("IFERROR(FILTER('VPLData(raw)'!F:F,'VPLData(raw)'!B:B=544,'VPLData(raw)'!A:A=A52),0)"),"776")</f>
        <v>776</v>
      </c>
      <c r="AJ52">
        <f>IFERROR(__xludf.DUMMYFUNCTION("IFERROR(FILTER('VPLData(raw)'!C:C,'VPLData(raw)'!B:B=545,'VPLData(raw)'!A:A=A52),0)"),"1499459069")</f>
        <v>1499459069</v>
      </c>
      <c r="AK52">
        <f>IFERROR(__xludf.DUMMYFUNCTION("IFERROR(IF(AJ52&gt;0, FILTER('VPLData(raw)'!E:E,'VPLData(raw)'!B:B=545,'VPLData(raw)'!A:A=A52), 0),0)"),"10")</f>
        <v>10</v>
      </c>
      <c r="AL52">
        <f>IFERROR(__xludf.DUMMYFUNCTION("IFERROR(FILTER('VPLData(raw)'!F:F,'VPLData(raw)'!B:B=545,'VPLData(raw)'!A:A=A52),0)"),"438")</f>
        <v>438</v>
      </c>
    </row>
    <row r="53">
      <c r="A53" s="1">
        <v>10196.0</v>
      </c>
      <c r="B53" s="1">
        <v>1.0310655E7</v>
      </c>
      <c r="C53">
        <f>IFERROR(__xludf.DUMMYFUNCTION("IFERROR(FILTER('VPLData(raw)'!C:C,'VPLData(raw)'!B:B=504,'VPLData(raw)'!A:A=A53),0)"),"1490836901")</f>
        <v>1490836901</v>
      </c>
      <c r="D53" s="7">
        <f>IFERROR(__xludf.DUMMYFUNCTION("IFERROR(IF(C53&gt;0, FILTER('VPLData(raw)'!E:E,'VPLData(raw)'!B:B=504,'VPLData(raw)'!A:A=A53), 0),0)"),"10")</f>
        <v>10</v>
      </c>
      <c r="E53">
        <f>IFERROR(__xludf.DUMMYFUNCTION("IFERROR(FILTER('VPLData(raw)'!F:F,'VPLData(raw)'!B:B=504,'VPLData(raw)'!A:A=A53),0)"),"2136")</f>
        <v>2136</v>
      </c>
      <c r="F53">
        <f>IFERROR(__xludf.DUMMYFUNCTION("IFERROR(FILTER('VPLData(raw)'!C:C,'VPLData(raw)'!B:B=454,'VPLData(raw)'!A:A=A53),0)"),"1491443969")</f>
        <v>1491443969</v>
      </c>
      <c r="G53">
        <f>IFERROR(__xludf.DUMMYFUNCTION("IFERROR(IF(F53&gt;0, FILTER('VPLData(raw)'!E:E,'VPLData(raw)'!B:B=454,'VPLData(raw)'!A:A=A53), 0),0)"),"10")</f>
        <v>10</v>
      </c>
      <c r="H53">
        <f>IFERROR(__xludf.DUMMYFUNCTION("IFERROR(FILTER('VPLData(raw)'!F:F,'VPLData(raw)'!B:B=454,'VPLData(raw)'!A:A=A53),0)"),"1996")</f>
        <v>1996</v>
      </c>
      <c r="I53">
        <f>IFERROR(__xludf.DUMMYFUNCTION("IFERROR(FILTER('VPLData(raw)'!C:C,'VPLData(raw)'!B:B=457,'VPLData(raw)'!A:A=A53),0)"),"1492475522")</f>
        <v>1492475522</v>
      </c>
      <c r="J53">
        <f>IFERROR(__xludf.DUMMYFUNCTION("IFERROR(IF(I53&gt;0, FILTER('VPLData(raw)'!E:E,'VPLData(raw)'!B:B=457,'VPLData(raw)'!A:A=A53), 0),0)"),"10")</f>
        <v>10</v>
      </c>
      <c r="K53">
        <f>IFERROR(__xludf.DUMMYFUNCTION("IFERROR(FILTER('VPLData(raw)'!F:F,'VPLData(raw)'!B:B=457,'VPLData(raw)'!A:A=A53),0)"),"533")</f>
        <v>533</v>
      </c>
      <c r="L53">
        <f>IFERROR(__xludf.DUMMYFUNCTION("IFERROR(FILTER('VPLData(raw)'!C:C,'VPLData(raw)'!B:B=534,'VPLData(raw)'!A:A=A53),0)"),"0")</f>
        <v>0</v>
      </c>
      <c r="M53">
        <f>IFERROR(__xludf.DUMMYFUNCTION("IFERROR(IF(L53&gt;0, FILTER('VPLData(raw)'!E:E,'VPLData(raw)'!B:B=534,'VPLData(raw)'!A:A=A53), 0),0)"),"0")</f>
        <v>0</v>
      </c>
      <c r="N53">
        <f>IFERROR(__xludf.DUMMYFUNCTION("IFERROR(FILTER('VPLData(raw)'!F:F,'VPLData(raw)'!B:B=534,'VPLData(raw)'!A:A=A53),0)"),"0")</f>
        <v>0</v>
      </c>
      <c r="O53">
        <f>IFERROR(__xludf.DUMMYFUNCTION("IFERROR(FILTER('VPLData(raw)'!C:C,'VPLData(raw)'!B:B=498,'VPLData(raw)'!A:A=A53),0)"),"1492476160")</f>
        <v>1492476160</v>
      </c>
      <c r="P53">
        <f>IFERROR(__xludf.DUMMYFUNCTION("IFERROR(IF(O53&gt;0, FILTER('VPLData(raw)'!E:E,'VPLData(raw)'!B:B=498,'VPLData(raw)'!A:A=A53), 0),0)"),"10")</f>
        <v>10</v>
      </c>
      <c r="Q53">
        <f>IFERROR(__xludf.DUMMYFUNCTION("IFERROR(FILTER('VPLData(raw)'!F:F,'VPLData(raw)'!B:B=498,'VPLData(raw)'!A:A=A53),0)"),"1830")</f>
        <v>1830</v>
      </c>
      <c r="R53">
        <f>IFERROR(__xludf.DUMMYFUNCTION("IFERROR(FILTER('VPLData(raw)'!C:C,'VPLData(raw)'!B:B=515,'VPLData(raw)'!A:A=A53),0)"),"1492477301")</f>
        <v>1492477301</v>
      </c>
      <c r="S53">
        <f>IFERROR(__xludf.DUMMYFUNCTION("IFERROR(IF(R53&gt;0, FILTER('VPLData(raw)'!E:E,'VPLData(raw)'!B:B=515,'VPLData(raw)'!A:A=A53), 0),0)"),"10")</f>
        <v>10</v>
      </c>
      <c r="T53">
        <f>IFERROR(__xludf.DUMMYFUNCTION("IFERROR(FILTER('VPLData(raw)'!F:F,'VPLData(raw)'!B:B=515,'VPLData(raw)'!A:A=A53),0)"),"1547")</f>
        <v>1547</v>
      </c>
      <c r="U53">
        <f>IFERROR(__xludf.DUMMYFUNCTION("IFERROR(FILTER('VPLData(raw)'!C:C,'VPLData(raw)'!B:B=528,'VPLData(raw)'!A:A=A53),0)"),"1494887088")</f>
        <v>1494887088</v>
      </c>
      <c r="V53">
        <f>IFERROR(__xludf.DUMMYFUNCTION("IFERROR(IF(U53&gt;0, FILTER('VPLData(raw)'!E:E,'VPLData(raw)'!B:B=528,'VPLData(raw)'!A:A=A53), 0),0)"),"10")</f>
        <v>10</v>
      </c>
      <c r="W53">
        <f>IFERROR(__xludf.DUMMYFUNCTION("IFERROR(FILTER('VPLData(raw)'!F:F,'VPLData(raw)'!B:B=528,'VPLData(raw)'!A:A=A53),0)"),"531")</f>
        <v>531</v>
      </c>
      <c r="X53">
        <f>IFERROR(__xludf.DUMMYFUNCTION("IFERROR(FILTER('VPLData(raw)'!C:C,'VPLData(raw)'!B:B=524,'VPLData(raw)'!A:A=A53),0)"),"1494888210")</f>
        <v>1494888210</v>
      </c>
      <c r="Y53">
        <f>IFERROR(__xludf.DUMMYFUNCTION("IFERROR(IF(X53&gt;0, FILTER('VPLData(raw)'!E:E,'VPLData(raw)'!B:B=524,'VPLData(raw)'!A:A=A53), 0),0)"),"10")</f>
        <v>10</v>
      </c>
      <c r="Z53">
        <f>IFERROR(__xludf.DUMMYFUNCTION("IFERROR(FILTER('VPLData(raw)'!F:F,'VPLData(raw)'!B:B=524,'VPLData(raw)'!A:A=A53),0)"),"2781")</f>
        <v>2781</v>
      </c>
      <c r="AA53">
        <f>IFERROR(__xludf.DUMMYFUNCTION("IFERROR(FILTER('VPLData(raw)'!C:C,'VPLData(raw)'!B:B=478,'VPLData(raw)'!A:A=A53),0)"),"0")</f>
        <v>0</v>
      </c>
      <c r="AB53">
        <f>IFERROR(__xludf.DUMMYFUNCTION("IFERROR(IF(AA53&gt;0, FILTER('VPLData(raw)'!E:E,'VPLData(raw)'!B:B=478,'VPLData(raw)'!A:A=A53), 0),0)"),"0")</f>
        <v>0</v>
      </c>
      <c r="AC53">
        <f>IFERROR(__xludf.DUMMYFUNCTION("IFERROR(FILTER('VPLData(raw)'!F:F,'VPLData(raw)'!B:B=478,'VPLData(raw)'!A:A=A53),0)"),"0")</f>
        <v>0</v>
      </c>
      <c r="AD53">
        <f>IFERROR(__xludf.DUMMYFUNCTION("IFERROR(FILTER('VPLData(raw)'!C:C,'VPLData(raw)'!B:B=542,'VPLData(raw)'!A:A=A53),0)"),"0")</f>
        <v>0</v>
      </c>
      <c r="AE53">
        <f>IFERROR(__xludf.DUMMYFUNCTION("IFERROR(IF(AD53&gt;0, FILTER('VPLData(raw)'!E:E,'VPLData(raw)'!B:B=542,'VPLData(raw)'!A:A=A53), 0),0)"),"0")</f>
        <v>0</v>
      </c>
      <c r="AF53">
        <f>IFERROR(__xludf.DUMMYFUNCTION("IFERROR(FILTER('VPLData(raw)'!F:F,'VPLData(raw)'!B:B=542,'VPLData(raw)'!A:A=A53),0)"),"0")</f>
        <v>0</v>
      </c>
      <c r="AG53">
        <f>IFERROR(__xludf.DUMMYFUNCTION("IFERROR(FILTER('VPLData(raw)'!C:C,'VPLData(raw)'!B:B=544,'VPLData(raw)'!A:A=A53),0)"),"1499472635")</f>
        <v>1499472635</v>
      </c>
      <c r="AH53">
        <f>IFERROR(__xludf.DUMMYFUNCTION("IFERROR(IF(AG53&gt;0, FILTER('VPLData(raw)'!E:E,'VPLData(raw)'!B:B=544,'VPLData(raw)'!A:A=A53), 0),0)"),"10")</f>
        <v>10</v>
      </c>
      <c r="AI53">
        <f>IFERROR(__xludf.DUMMYFUNCTION("IFERROR(FILTER('VPLData(raw)'!F:F,'VPLData(raw)'!B:B=544,'VPLData(raw)'!A:A=A53),0)"),"1137")</f>
        <v>1137</v>
      </c>
      <c r="AJ53">
        <f>IFERROR(__xludf.DUMMYFUNCTION("IFERROR(FILTER('VPLData(raw)'!C:C,'VPLData(raw)'!B:B=545,'VPLData(raw)'!A:A=A53),0)"),"1499474089")</f>
        <v>1499474089</v>
      </c>
      <c r="AK53">
        <f>IFERROR(__xludf.DUMMYFUNCTION("IFERROR(IF(AJ53&gt;0, FILTER('VPLData(raw)'!E:E,'VPLData(raw)'!B:B=545,'VPLData(raw)'!A:A=A53), 0),0)"),"10")</f>
        <v>10</v>
      </c>
      <c r="AL53">
        <f>IFERROR(__xludf.DUMMYFUNCTION("IFERROR(FILTER('VPLData(raw)'!F:F,'VPLData(raw)'!B:B=545,'VPLData(raw)'!A:A=A53),0)"),"878")</f>
        <v>878</v>
      </c>
    </row>
    <row r="54">
      <c r="A54" s="1">
        <v>10234.0</v>
      </c>
      <c r="B54" s="1">
        <v>1.0310676E7</v>
      </c>
      <c r="C54">
        <f>IFERROR(__xludf.DUMMYFUNCTION("IFERROR(FILTER('VPLData(raw)'!C:C,'VPLData(raw)'!B:B=504,'VPLData(raw)'!A:A=A54),0)"),"0")</f>
        <v>0</v>
      </c>
      <c r="D54" s="7">
        <f>IFERROR(__xludf.DUMMYFUNCTION("IFERROR(IF(C54&gt;0, FILTER('VPLData(raw)'!E:E,'VPLData(raw)'!B:B=504,'VPLData(raw)'!A:A=A54), 0),0)"),"0")</f>
        <v>0</v>
      </c>
      <c r="E54">
        <f>IFERROR(__xludf.DUMMYFUNCTION("IFERROR(FILTER('VPLData(raw)'!F:F,'VPLData(raw)'!B:B=504,'VPLData(raw)'!A:A=A54),0)"),"0")</f>
        <v>0</v>
      </c>
      <c r="F54">
        <f>IFERROR(__xludf.DUMMYFUNCTION("IFERROR(FILTER('VPLData(raw)'!C:C,'VPLData(raw)'!B:B=454,'VPLData(raw)'!A:A=A54),0)"),"0")</f>
        <v>0</v>
      </c>
      <c r="G54">
        <f>IFERROR(__xludf.DUMMYFUNCTION("IFERROR(IF(F54&gt;0, FILTER('VPLData(raw)'!E:E,'VPLData(raw)'!B:B=454,'VPLData(raw)'!A:A=A54), 0),0)"),"0")</f>
        <v>0</v>
      </c>
      <c r="H54">
        <f>IFERROR(__xludf.DUMMYFUNCTION("IFERROR(FILTER('VPLData(raw)'!F:F,'VPLData(raw)'!B:B=454,'VPLData(raw)'!A:A=A54),0)"),"0")</f>
        <v>0</v>
      </c>
      <c r="I54">
        <f>IFERROR(__xludf.DUMMYFUNCTION("IFERROR(FILTER('VPLData(raw)'!C:C,'VPLData(raw)'!B:B=457,'VPLData(raw)'!A:A=A54),0)"),"0")</f>
        <v>0</v>
      </c>
      <c r="J54">
        <f>IFERROR(__xludf.DUMMYFUNCTION("IFERROR(IF(I54&gt;0, FILTER('VPLData(raw)'!E:E,'VPLData(raw)'!B:B=457,'VPLData(raw)'!A:A=A54), 0),0)"),"0")</f>
        <v>0</v>
      </c>
      <c r="K54">
        <f>IFERROR(__xludf.DUMMYFUNCTION("IFERROR(FILTER('VPLData(raw)'!F:F,'VPLData(raw)'!B:B=457,'VPLData(raw)'!A:A=A54),0)"),"0")</f>
        <v>0</v>
      </c>
      <c r="L54">
        <f>IFERROR(__xludf.DUMMYFUNCTION("IFERROR(FILTER('VPLData(raw)'!C:C,'VPLData(raw)'!B:B=534,'VPLData(raw)'!A:A=A54),0)"),"0")</f>
        <v>0</v>
      </c>
      <c r="M54">
        <f>IFERROR(__xludf.DUMMYFUNCTION("IFERROR(IF(L54&gt;0, FILTER('VPLData(raw)'!E:E,'VPLData(raw)'!B:B=534,'VPLData(raw)'!A:A=A54), 0),0)"),"0")</f>
        <v>0</v>
      </c>
      <c r="N54">
        <f>IFERROR(__xludf.DUMMYFUNCTION("IFERROR(FILTER('VPLData(raw)'!F:F,'VPLData(raw)'!B:B=534,'VPLData(raw)'!A:A=A54),0)"),"0")</f>
        <v>0</v>
      </c>
      <c r="O54">
        <f>IFERROR(__xludf.DUMMYFUNCTION("IFERROR(FILTER('VPLData(raw)'!C:C,'VPLData(raw)'!B:B=498,'VPLData(raw)'!A:A=A54),0)"),"0")</f>
        <v>0</v>
      </c>
      <c r="P54">
        <f>IFERROR(__xludf.DUMMYFUNCTION("IFERROR(IF(O54&gt;0, FILTER('VPLData(raw)'!E:E,'VPLData(raw)'!B:B=498,'VPLData(raw)'!A:A=A54), 0),0)"),"0")</f>
        <v>0</v>
      </c>
      <c r="Q54">
        <f>IFERROR(__xludf.DUMMYFUNCTION("IFERROR(FILTER('VPLData(raw)'!F:F,'VPLData(raw)'!B:B=498,'VPLData(raw)'!A:A=A54),0)"),"0")</f>
        <v>0</v>
      </c>
      <c r="R54">
        <f>IFERROR(__xludf.DUMMYFUNCTION("IFERROR(FILTER('VPLData(raw)'!C:C,'VPLData(raw)'!B:B=515,'VPLData(raw)'!A:A=A54),0)"),"0")</f>
        <v>0</v>
      </c>
      <c r="S54">
        <f>IFERROR(__xludf.DUMMYFUNCTION("IFERROR(IF(R54&gt;0, FILTER('VPLData(raw)'!E:E,'VPLData(raw)'!B:B=515,'VPLData(raw)'!A:A=A54), 0),0)"),"0")</f>
        <v>0</v>
      </c>
      <c r="T54">
        <f>IFERROR(__xludf.DUMMYFUNCTION("IFERROR(FILTER('VPLData(raw)'!F:F,'VPLData(raw)'!B:B=515,'VPLData(raw)'!A:A=A54),0)"),"0")</f>
        <v>0</v>
      </c>
      <c r="U54">
        <f>IFERROR(__xludf.DUMMYFUNCTION("IFERROR(FILTER('VPLData(raw)'!C:C,'VPLData(raw)'!B:B=528,'VPLData(raw)'!A:A=A54),0)"),"0")</f>
        <v>0</v>
      </c>
      <c r="V54">
        <f>IFERROR(__xludf.DUMMYFUNCTION("IFERROR(IF(U54&gt;0, FILTER('VPLData(raw)'!E:E,'VPLData(raw)'!B:B=528,'VPLData(raw)'!A:A=A54), 0),0)"),"0")</f>
        <v>0</v>
      </c>
      <c r="W54">
        <f>IFERROR(__xludf.DUMMYFUNCTION("IFERROR(FILTER('VPLData(raw)'!F:F,'VPLData(raw)'!B:B=528,'VPLData(raw)'!A:A=A54),0)"),"0")</f>
        <v>0</v>
      </c>
      <c r="X54">
        <f>IFERROR(__xludf.DUMMYFUNCTION("IFERROR(FILTER('VPLData(raw)'!C:C,'VPLData(raw)'!B:B=524,'VPLData(raw)'!A:A=A54),0)"),"0")</f>
        <v>0</v>
      </c>
      <c r="Y54">
        <f>IFERROR(__xludf.DUMMYFUNCTION("IFERROR(IF(X54&gt;0, FILTER('VPLData(raw)'!E:E,'VPLData(raw)'!B:B=524,'VPLData(raw)'!A:A=A54), 0),0)"),"0")</f>
        <v>0</v>
      </c>
      <c r="Z54">
        <f>IFERROR(__xludf.DUMMYFUNCTION("IFERROR(FILTER('VPLData(raw)'!F:F,'VPLData(raw)'!B:B=524,'VPLData(raw)'!A:A=A54),0)"),"0")</f>
        <v>0</v>
      </c>
      <c r="AA54">
        <f>IFERROR(__xludf.DUMMYFUNCTION("IFERROR(FILTER('VPLData(raw)'!C:C,'VPLData(raw)'!B:B=478,'VPLData(raw)'!A:A=A54),0)"),"0")</f>
        <v>0</v>
      </c>
      <c r="AB54">
        <f>IFERROR(__xludf.DUMMYFUNCTION("IFERROR(IF(AA54&gt;0, FILTER('VPLData(raw)'!E:E,'VPLData(raw)'!B:B=478,'VPLData(raw)'!A:A=A54), 0),0)"),"0")</f>
        <v>0</v>
      </c>
      <c r="AC54">
        <f>IFERROR(__xludf.DUMMYFUNCTION("IFERROR(FILTER('VPLData(raw)'!F:F,'VPLData(raw)'!B:B=478,'VPLData(raw)'!A:A=A54),0)"),"0")</f>
        <v>0</v>
      </c>
      <c r="AD54">
        <f>IFERROR(__xludf.DUMMYFUNCTION("IFERROR(FILTER('VPLData(raw)'!C:C,'VPLData(raw)'!B:B=542,'VPLData(raw)'!A:A=A54),0)"),"1499305258")</f>
        <v>1499305258</v>
      </c>
      <c r="AE54">
        <f>IFERROR(__xludf.DUMMYFUNCTION("IFERROR(IF(AD54&gt;0, FILTER('VPLData(raw)'!E:E,'VPLData(raw)'!B:B=542,'VPLData(raw)'!A:A=A54), 0),0)"),"10")</f>
        <v>10</v>
      </c>
      <c r="AF54">
        <f>IFERROR(__xludf.DUMMYFUNCTION("IFERROR(FILTER('VPLData(raw)'!F:F,'VPLData(raw)'!B:B=542,'VPLData(raw)'!A:A=A54),0)"),"1433")</f>
        <v>1433</v>
      </c>
      <c r="AG54">
        <f>IFERROR(__xludf.DUMMYFUNCTION("IFERROR(FILTER('VPLData(raw)'!C:C,'VPLData(raw)'!B:B=544,'VPLData(raw)'!A:A=A54),0)"),"1499458895")</f>
        <v>1499458895</v>
      </c>
      <c r="AH54">
        <f>IFERROR(__xludf.DUMMYFUNCTION("IFERROR(IF(AG54&gt;0, FILTER('VPLData(raw)'!E:E,'VPLData(raw)'!B:B=544,'VPLData(raw)'!A:A=A54), 0),0)"),"10")</f>
        <v>10</v>
      </c>
      <c r="AI54">
        <f>IFERROR(__xludf.DUMMYFUNCTION("IFERROR(FILTER('VPLData(raw)'!F:F,'VPLData(raw)'!B:B=544,'VPLData(raw)'!A:A=A54),0)"),"2743")</f>
        <v>2743</v>
      </c>
      <c r="AJ54">
        <f>IFERROR(__xludf.DUMMYFUNCTION("IFERROR(FILTER('VPLData(raw)'!C:C,'VPLData(raw)'!B:B=545,'VPLData(raw)'!A:A=A54),0)"),"1499460110")</f>
        <v>1499460110</v>
      </c>
      <c r="AK54">
        <f>IFERROR(__xludf.DUMMYFUNCTION("IFERROR(IF(AJ54&gt;0, FILTER('VPLData(raw)'!E:E,'VPLData(raw)'!B:B=545,'VPLData(raw)'!A:A=A54), 0),0)"),"10")</f>
        <v>10</v>
      </c>
      <c r="AL54">
        <f>IFERROR(__xludf.DUMMYFUNCTION("IFERROR(FILTER('VPLData(raw)'!F:F,'VPLData(raw)'!B:B=545,'VPLData(raw)'!A:A=A54),0)"),"531")</f>
        <v>531</v>
      </c>
    </row>
    <row r="55">
      <c r="A55" s="1">
        <v>10175.0</v>
      </c>
      <c r="B55" s="1">
        <v>1.03107E7</v>
      </c>
      <c r="C55">
        <f>IFERROR(__xludf.DUMMYFUNCTION("IFERROR(FILTER('VPLData(raw)'!C:C,'VPLData(raw)'!B:B=504,'VPLData(raw)'!A:A=A55),0)"),"0")</f>
        <v>0</v>
      </c>
      <c r="D55" s="7">
        <f>IFERROR(__xludf.DUMMYFUNCTION("IFERROR(IF(C55&gt;0, FILTER('VPLData(raw)'!E:E,'VPLData(raw)'!B:B=504,'VPLData(raw)'!A:A=A55), 0),0)"),"0")</f>
        <v>0</v>
      </c>
      <c r="E55">
        <f>IFERROR(__xludf.DUMMYFUNCTION("IFERROR(FILTER('VPLData(raw)'!F:F,'VPLData(raw)'!B:B=504,'VPLData(raw)'!A:A=A55),0)"),"0")</f>
        <v>0</v>
      </c>
      <c r="F55">
        <f>IFERROR(__xludf.DUMMYFUNCTION("IFERROR(FILTER('VPLData(raw)'!C:C,'VPLData(raw)'!B:B=454,'VPLData(raw)'!A:A=A55),0)"),"1491429675")</f>
        <v>1491429675</v>
      </c>
      <c r="G55">
        <f>IFERROR(__xludf.DUMMYFUNCTION("IFERROR(IF(F55&gt;0, FILTER('VPLData(raw)'!E:E,'VPLData(raw)'!B:B=454,'VPLData(raw)'!A:A=A55), 0),0)"),"10")</f>
        <v>10</v>
      </c>
      <c r="H55">
        <f>IFERROR(__xludf.DUMMYFUNCTION("IFERROR(FILTER('VPLData(raw)'!F:F,'VPLData(raw)'!B:B=454,'VPLData(raw)'!A:A=A55),0)"),"1303")</f>
        <v>1303</v>
      </c>
      <c r="I55">
        <f>IFERROR(__xludf.DUMMYFUNCTION("IFERROR(FILTER('VPLData(raw)'!C:C,'VPLData(raw)'!B:B=457,'VPLData(raw)'!A:A=A55),0)"),"1491949515")</f>
        <v>1491949515</v>
      </c>
      <c r="J55">
        <f>IFERROR(__xludf.DUMMYFUNCTION("IFERROR(IF(I55&gt;0, FILTER('VPLData(raw)'!E:E,'VPLData(raw)'!B:B=457,'VPLData(raw)'!A:A=A55), 0),0)"),"10")</f>
        <v>10</v>
      </c>
      <c r="K55">
        <f>IFERROR(__xludf.DUMMYFUNCTION("IFERROR(FILTER('VPLData(raw)'!F:F,'VPLData(raw)'!B:B=457,'VPLData(raw)'!A:A=A55),0)"),"537")</f>
        <v>537</v>
      </c>
      <c r="L55">
        <f>IFERROR(__xludf.DUMMYFUNCTION("IFERROR(FILTER('VPLData(raw)'!C:C,'VPLData(raw)'!B:B=534,'VPLData(raw)'!A:A=A55),0)"),"0")</f>
        <v>0</v>
      </c>
      <c r="M55">
        <f>IFERROR(__xludf.DUMMYFUNCTION("IFERROR(IF(L55&gt;0, FILTER('VPLData(raw)'!E:E,'VPLData(raw)'!B:B=534,'VPLData(raw)'!A:A=A55), 0),0)"),"0")</f>
        <v>0</v>
      </c>
      <c r="N55">
        <f>IFERROR(__xludf.DUMMYFUNCTION("IFERROR(FILTER('VPLData(raw)'!F:F,'VPLData(raw)'!B:B=534,'VPLData(raw)'!A:A=A55),0)"),"0")</f>
        <v>0</v>
      </c>
      <c r="O55">
        <f>IFERROR(__xludf.DUMMYFUNCTION("IFERROR(FILTER('VPLData(raw)'!C:C,'VPLData(raw)'!B:B=498,'VPLData(raw)'!A:A=A55),0)"),"1492984716")</f>
        <v>1492984716</v>
      </c>
      <c r="P55">
        <f>IFERROR(__xludf.DUMMYFUNCTION("IFERROR(IF(O55&gt;0, FILTER('VPLData(raw)'!E:E,'VPLData(raw)'!B:B=498,'VPLData(raw)'!A:A=A55), 0),0)"),"10")</f>
        <v>10</v>
      </c>
      <c r="Q55">
        <f>IFERROR(__xludf.DUMMYFUNCTION("IFERROR(FILTER('VPLData(raw)'!F:F,'VPLData(raw)'!B:B=498,'VPLData(raw)'!A:A=A55),0)"),"496")</f>
        <v>496</v>
      </c>
      <c r="R55">
        <f>IFERROR(__xludf.DUMMYFUNCTION("IFERROR(FILTER('VPLData(raw)'!C:C,'VPLData(raw)'!B:B=515,'VPLData(raw)'!A:A=A55),0)"),"1492985291")</f>
        <v>1492985291</v>
      </c>
      <c r="S55">
        <f>IFERROR(__xludf.DUMMYFUNCTION("IFERROR(IF(R55&gt;0, FILTER('VPLData(raw)'!E:E,'VPLData(raw)'!B:B=515,'VPLData(raw)'!A:A=A55), 0),0)"),"10")</f>
        <v>10</v>
      </c>
      <c r="T55">
        <f>IFERROR(__xludf.DUMMYFUNCTION("IFERROR(FILTER('VPLData(raw)'!F:F,'VPLData(raw)'!B:B=515,'VPLData(raw)'!A:A=A55),0)"),"724")</f>
        <v>724</v>
      </c>
      <c r="U55">
        <f>IFERROR(__xludf.DUMMYFUNCTION("IFERROR(FILTER('VPLData(raw)'!C:C,'VPLData(raw)'!B:B=528,'VPLData(raw)'!A:A=A55),0)"),"1494442932")</f>
        <v>1494442932</v>
      </c>
      <c r="V55">
        <f>IFERROR(__xludf.DUMMYFUNCTION("IFERROR(IF(U55&gt;0, FILTER('VPLData(raw)'!E:E,'VPLData(raw)'!B:B=528,'VPLData(raw)'!A:A=A55), 0),0)"),"10")</f>
        <v>10</v>
      </c>
      <c r="W55">
        <f>IFERROR(__xludf.DUMMYFUNCTION("IFERROR(FILTER('VPLData(raw)'!F:F,'VPLData(raw)'!B:B=528,'VPLData(raw)'!A:A=A55),0)"),"642")</f>
        <v>642</v>
      </c>
      <c r="X55">
        <f>IFERROR(__xludf.DUMMYFUNCTION("IFERROR(FILTER('VPLData(raw)'!C:C,'VPLData(raw)'!B:B=524,'VPLData(raw)'!A:A=A55),0)"),"1494443473")</f>
        <v>1494443473</v>
      </c>
      <c r="Y55">
        <f>IFERROR(__xludf.DUMMYFUNCTION("IFERROR(IF(X55&gt;0, FILTER('VPLData(raw)'!E:E,'VPLData(raw)'!B:B=524,'VPLData(raw)'!A:A=A55), 0),0)"),"10")</f>
        <v>10</v>
      </c>
      <c r="Z55">
        <f>IFERROR(__xludf.DUMMYFUNCTION("IFERROR(FILTER('VPLData(raw)'!F:F,'VPLData(raw)'!B:B=524,'VPLData(raw)'!A:A=A55),0)"),"1070")</f>
        <v>1070</v>
      </c>
      <c r="AA55">
        <f>IFERROR(__xludf.DUMMYFUNCTION("IFERROR(FILTER('VPLData(raw)'!C:C,'VPLData(raw)'!B:B=478,'VPLData(raw)'!A:A=A55),0)"),"1494445164")</f>
        <v>1494445164</v>
      </c>
      <c r="AB55">
        <f>IFERROR(__xludf.DUMMYFUNCTION("IFERROR(IF(AA55&gt;0, FILTER('VPLData(raw)'!E:E,'VPLData(raw)'!B:B=478,'VPLData(raw)'!A:A=A55), 0),0)"),"10")</f>
        <v>10</v>
      </c>
      <c r="AC55">
        <f>IFERROR(__xludf.DUMMYFUNCTION("IFERROR(FILTER('VPLData(raw)'!F:F,'VPLData(raw)'!B:B=478,'VPLData(raw)'!A:A=A55),0)"),"28934")</f>
        <v>28934</v>
      </c>
      <c r="AD55">
        <f>IFERROR(__xludf.DUMMYFUNCTION("IFERROR(FILTER('VPLData(raw)'!C:C,'VPLData(raw)'!B:B=542,'VPLData(raw)'!A:A=A55),0)"),"1497729459")</f>
        <v>1497729459</v>
      </c>
      <c r="AE55">
        <f>IFERROR(__xludf.DUMMYFUNCTION("IFERROR(IF(AD55&gt;0, FILTER('VPLData(raw)'!E:E,'VPLData(raw)'!B:B=542,'VPLData(raw)'!A:A=A55), 0),0)"),"10")</f>
        <v>10</v>
      </c>
      <c r="AF55">
        <f>IFERROR(__xludf.DUMMYFUNCTION("IFERROR(FILTER('VPLData(raw)'!F:F,'VPLData(raw)'!B:B=542,'VPLData(raw)'!A:A=A55),0)"),"1872")</f>
        <v>1872</v>
      </c>
      <c r="AG55">
        <f>IFERROR(__xludf.DUMMYFUNCTION("IFERROR(FILTER('VPLData(raw)'!C:C,'VPLData(raw)'!B:B=544,'VPLData(raw)'!A:A=A55),0)"),"1497731423")</f>
        <v>1497731423</v>
      </c>
      <c r="AH55">
        <f>IFERROR(__xludf.DUMMYFUNCTION("IFERROR(IF(AG55&gt;0, FILTER('VPLData(raw)'!E:E,'VPLData(raw)'!B:B=544,'VPLData(raw)'!A:A=A55), 0),0)"),"10")</f>
        <v>10</v>
      </c>
      <c r="AI55">
        <f>IFERROR(__xludf.DUMMYFUNCTION("IFERROR(FILTER('VPLData(raw)'!F:F,'VPLData(raw)'!B:B=544,'VPLData(raw)'!A:A=A55),0)"),"2980")</f>
        <v>2980</v>
      </c>
      <c r="AJ55">
        <f>IFERROR(__xludf.DUMMYFUNCTION("IFERROR(FILTER('VPLData(raw)'!C:C,'VPLData(raw)'!B:B=545,'VPLData(raw)'!A:A=A55),0)"),"1498015440")</f>
        <v>1498015440</v>
      </c>
      <c r="AK55">
        <f>IFERROR(__xludf.DUMMYFUNCTION("IFERROR(IF(AJ55&gt;0, FILTER('VPLData(raw)'!E:E,'VPLData(raw)'!B:B=545,'VPLData(raw)'!A:A=A55), 0),0)"),"10")</f>
        <v>10</v>
      </c>
      <c r="AL55">
        <f>IFERROR(__xludf.DUMMYFUNCTION("IFERROR(FILTER('VPLData(raw)'!F:F,'VPLData(raw)'!B:B=545,'VPLData(raw)'!A:A=A55),0)"),"2226")</f>
        <v>2226</v>
      </c>
    </row>
    <row r="56">
      <c r="A56" s="1">
        <v>10206.0</v>
      </c>
      <c r="B56" s="1">
        <v>1.0310721E7</v>
      </c>
      <c r="C56">
        <f>IFERROR(__xludf.DUMMYFUNCTION("IFERROR(FILTER('VPLData(raw)'!C:C,'VPLData(raw)'!B:B=504,'VPLData(raw)'!A:A=A56),0)"),"1490752209")</f>
        <v>1490752209</v>
      </c>
      <c r="D56" s="7">
        <f>IFERROR(__xludf.DUMMYFUNCTION("IFERROR(IF(C56&gt;0, FILTER('VPLData(raw)'!E:E,'VPLData(raw)'!B:B=504,'VPLData(raw)'!A:A=A56), 0),0)"),"10")</f>
        <v>10</v>
      </c>
      <c r="E56">
        <f>IFERROR(__xludf.DUMMYFUNCTION("IFERROR(FILTER('VPLData(raw)'!F:F,'VPLData(raw)'!B:B=504,'VPLData(raw)'!A:A=A56),0)"),"988")</f>
        <v>988</v>
      </c>
      <c r="F56">
        <f>IFERROR(__xludf.DUMMYFUNCTION("IFERROR(FILTER('VPLData(raw)'!C:C,'VPLData(raw)'!B:B=454,'VPLData(raw)'!A:A=A56),0)"),"1491704884")</f>
        <v>1491704884</v>
      </c>
      <c r="G56">
        <f>IFERROR(__xludf.DUMMYFUNCTION("IFERROR(IF(F56&gt;0, FILTER('VPLData(raw)'!E:E,'VPLData(raw)'!B:B=454,'VPLData(raw)'!A:A=A56), 0),0)"),"10")</f>
        <v>10</v>
      </c>
      <c r="H56">
        <f>IFERROR(__xludf.DUMMYFUNCTION("IFERROR(FILTER('VPLData(raw)'!F:F,'VPLData(raw)'!B:B=454,'VPLData(raw)'!A:A=A56),0)"),"898")</f>
        <v>898</v>
      </c>
      <c r="I56">
        <f>IFERROR(__xludf.DUMMYFUNCTION("IFERROR(FILTER('VPLData(raw)'!C:C,'VPLData(raw)'!B:B=457,'VPLData(raw)'!A:A=A56),0)"),"1491955471")</f>
        <v>1491955471</v>
      </c>
      <c r="J56">
        <f>IFERROR(__xludf.DUMMYFUNCTION("IFERROR(IF(I56&gt;0, FILTER('VPLData(raw)'!E:E,'VPLData(raw)'!B:B=457,'VPLData(raw)'!A:A=A56), 0),0)"),"10")</f>
        <v>10</v>
      </c>
      <c r="K56">
        <f>IFERROR(__xludf.DUMMYFUNCTION("IFERROR(FILTER('VPLData(raw)'!F:F,'VPLData(raw)'!B:B=457,'VPLData(raw)'!A:A=A56),0)"),"470")</f>
        <v>470</v>
      </c>
      <c r="L56">
        <f>IFERROR(__xludf.DUMMYFUNCTION("IFERROR(FILTER('VPLData(raw)'!C:C,'VPLData(raw)'!B:B=534,'VPLData(raw)'!A:A=A56),0)"),"0")</f>
        <v>0</v>
      </c>
      <c r="M56">
        <f>IFERROR(__xludf.DUMMYFUNCTION("IFERROR(IF(L56&gt;0, FILTER('VPLData(raw)'!E:E,'VPLData(raw)'!B:B=534,'VPLData(raw)'!A:A=A56), 0),0)"),"0")</f>
        <v>0</v>
      </c>
      <c r="N56">
        <f>IFERROR(__xludf.DUMMYFUNCTION("IFERROR(FILTER('VPLData(raw)'!F:F,'VPLData(raw)'!B:B=534,'VPLData(raw)'!A:A=A56),0)"),"0")</f>
        <v>0</v>
      </c>
      <c r="O56">
        <f>IFERROR(__xludf.DUMMYFUNCTION("IFERROR(FILTER('VPLData(raw)'!C:C,'VPLData(raw)'!B:B=498,'VPLData(raw)'!A:A=A56),0)"),"1492474909")</f>
        <v>1492474909</v>
      </c>
      <c r="P56">
        <f>IFERROR(__xludf.DUMMYFUNCTION("IFERROR(IF(O56&gt;0, FILTER('VPLData(raw)'!E:E,'VPLData(raw)'!B:B=498,'VPLData(raw)'!A:A=A56), 0),0)"),"10")</f>
        <v>10</v>
      </c>
      <c r="Q56">
        <f>IFERROR(__xludf.DUMMYFUNCTION("IFERROR(FILTER('VPLData(raw)'!F:F,'VPLData(raw)'!B:B=498,'VPLData(raw)'!A:A=A56),0)"),"244")</f>
        <v>244</v>
      </c>
      <c r="R56">
        <f>IFERROR(__xludf.DUMMYFUNCTION("IFERROR(FILTER('VPLData(raw)'!C:C,'VPLData(raw)'!B:B=515,'VPLData(raw)'!A:A=A56),0)"),"1492476383")</f>
        <v>1492476383</v>
      </c>
      <c r="S56">
        <f>IFERROR(__xludf.DUMMYFUNCTION("IFERROR(IF(R56&gt;0, FILTER('VPLData(raw)'!E:E,'VPLData(raw)'!B:B=515,'VPLData(raw)'!A:A=A56), 0),0)"),"10")</f>
        <v>10</v>
      </c>
      <c r="T56">
        <f>IFERROR(__xludf.DUMMYFUNCTION("IFERROR(FILTER('VPLData(raw)'!F:F,'VPLData(raw)'!B:B=515,'VPLData(raw)'!A:A=A56),0)"),"555")</f>
        <v>555</v>
      </c>
      <c r="U56">
        <f>IFERROR(__xludf.DUMMYFUNCTION("IFERROR(FILTER('VPLData(raw)'!C:C,'VPLData(raw)'!B:B=528,'VPLData(raw)'!A:A=A56),0)"),"1494444735")</f>
        <v>1494444735</v>
      </c>
      <c r="V56">
        <f>IFERROR(__xludf.DUMMYFUNCTION("IFERROR(IF(U56&gt;0, FILTER('VPLData(raw)'!E:E,'VPLData(raw)'!B:B=528,'VPLData(raw)'!A:A=A56), 0),0)"),"10")</f>
        <v>10</v>
      </c>
      <c r="W56">
        <f>IFERROR(__xludf.DUMMYFUNCTION("IFERROR(FILTER('VPLData(raw)'!F:F,'VPLData(raw)'!B:B=528,'VPLData(raw)'!A:A=A56),0)"),"618")</f>
        <v>618</v>
      </c>
      <c r="X56">
        <f>IFERROR(__xludf.DUMMYFUNCTION("IFERROR(FILTER('VPLData(raw)'!C:C,'VPLData(raw)'!B:B=524,'VPLData(raw)'!A:A=A56),0)"),"1494897883")</f>
        <v>1494897883</v>
      </c>
      <c r="Y56">
        <f>IFERROR(__xludf.DUMMYFUNCTION("IFERROR(IF(X56&gt;0, FILTER('VPLData(raw)'!E:E,'VPLData(raw)'!B:B=524,'VPLData(raw)'!A:A=A56), 0),0)"),"10")</f>
        <v>10</v>
      </c>
      <c r="Z56">
        <f>IFERROR(__xludf.DUMMYFUNCTION("IFERROR(FILTER('VPLData(raw)'!F:F,'VPLData(raw)'!B:B=524,'VPLData(raw)'!A:A=A56),0)"),"274")</f>
        <v>274</v>
      </c>
      <c r="AA56">
        <f>IFERROR(__xludf.DUMMYFUNCTION("IFERROR(FILTER('VPLData(raw)'!C:C,'VPLData(raw)'!B:B=478,'VPLData(raw)'!A:A=A56),0)"),"1494897880")</f>
        <v>1494897880</v>
      </c>
      <c r="AB56" t="str">
        <f>IFERROR(__xludf.DUMMYFUNCTION("IFERROR(IF(AA56&gt;0, FILTER('VPLData(raw)'!E:E,'VPLData(raw)'!B:B=478,'VPLData(raw)'!A:A=A56), 0),0)"),"")</f>
        <v/>
      </c>
      <c r="AC56">
        <f>IFERROR(__xludf.DUMMYFUNCTION("IFERROR(FILTER('VPLData(raw)'!F:F,'VPLData(raw)'!B:B=478,'VPLData(raw)'!A:A=A56),0)"),"2952")</f>
        <v>2952</v>
      </c>
      <c r="AD56">
        <f>IFERROR(__xludf.DUMMYFUNCTION("IFERROR(FILTER('VPLData(raw)'!C:C,'VPLData(raw)'!B:B=542,'VPLData(raw)'!A:A=A56),0)"),"1498128966")</f>
        <v>1498128966</v>
      </c>
      <c r="AE56">
        <f>IFERROR(__xludf.DUMMYFUNCTION("IFERROR(IF(AD56&gt;0, FILTER('VPLData(raw)'!E:E,'VPLData(raw)'!B:B=542,'VPLData(raw)'!A:A=A56), 0),0)"),"10")</f>
        <v>10</v>
      </c>
      <c r="AF56">
        <f>IFERROR(__xludf.DUMMYFUNCTION("IFERROR(FILTER('VPLData(raw)'!F:F,'VPLData(raw)'!B:B=542,'VPLData(raw)'!A:A=A56),0)"),"1969")</f>
        <v>1969</v>
      </c>
      <c r="AG56">
        <f>IFERROR(__xludf.DUMMYFUNCTION("IFERROR(FILTER('VPLData(raw)'!C:C,'VPLData(raw)'!B:B=544,'VPLData(raw)'!A:A=A56),0)"),"1498092283")</f>
        <v>1498092283</v>
      </c>
      <c r="AH56">
        <f>IFERROR(__xludf.DUMMYFUNCTION("IFERROR(IF(AG56&gt;0, FILTER('VPLData(raw)'!E:E,'VPLData(raw)'!B:B=544,'VPLData(raw)'!A:A=A56), 0),0)"),"10")</f>
        <v>10</v>
      </c>
      <c r="AI56">
        <f>IFERROR(__xludf.DUMMYFUNCTION("IFERROR(FILTER('VPLData(raw)'!F:F,'VPLData(raw)'!B:B=544,'VPLData(raw)'!A:A=A56),0)"),"3314")</f>
        <v>3314</v>
      </c>
      <c r="AJ56">
        <f>IFERROR(__xludf.DUMMYFUNCTION("IFERROR(FILTER('VPLData(raw)'!C:C,'VPLData(raw)'!B:B=545,'VPLData(raw)'!A:A=A56),0)"),"1499300529")</f>
        <v>1499300529</v>
      </c>
      <c r="AK56">
        <f>IFERROR(__xludf.DUMMYFUNCTION("IFERROR(IF(AJ56&gt;0, FILTER('VPLData(raw)'!E:E,'VPLData(raw)'!B:B=545,'VPLData(raw)'!A:A=A56), 0),0)"),"10")</f>
        <v>10</v>
      </c>
      <c r="AL56">
        <f>IFERROR(__xludf.DUMMYFUNCTION("IFERROR(FILTER('VPLData(raw)'!F:F,'VPLData(raw)'!B:B=545,'VPLData(raw)'!A:A=A56),0)"),"2064")</f>
        <v>2064</v>
      </c>
    </row>
    <row r="57">
      <c r="A57" s="1">
        <v>10179.0</v>
      </c>
      <c r="B57" s="1">
        <v>1.0310759E7</v>
      </c>
      <c r="C57">
        <f>IFERROR(__xludf.DUMMYFUNCTION("IFERROR(FILTER('VPLData(raw)'!C:C,'VPLData(raw)'!B:B=504,'VPLData(raw)'!A:A=A57),0)"),"0")</f>
        <v>0</v>
      </c>
      <c r="D57" s="7">
        <f>IFERROR(__xludf.DUMMYFUNCTION("IFERROR(IF(C57&gt;0, FILTER('VPLData(raw)'!E:E,'VPLData(raw)'!B:B=504,'VPLData(raw)'!A:A=A57), 0),0)"),"0")</f>
        <v>0</v>
      </c>
      <c r="E57">
        <f>IFERROR(__xludf.DUMMYFUNCTION("IFERROR(FILTER('VPLData(raw)'!F:F,'VPLData(raw)'!B:B=504,'VPLData(raw)'!A:A=A57),0)"),"0")</f>
        <v>0</v>
      </c>
      <c r="F57">
        <f>IFERROR(__xludf.DUMMYFUNCTION("IFERROR(FILTER('VPLData(raw)'!C:C,'VPLData(raw)'!B:B=454,'VPLData(raw)'!A:A=A57),0)"),"0")</f>
        <v>0</v>
      </c>
      <c r="G57">
        <f>IFERROR(__xludf.DUMMYFUNCTION("IFERROR(IF(F57&gt;0, FILTER('VPLData(raw)'!E:E,'VPLData(raw)'!B:B=454,'VPLData(raw)'!A:A=A57), 0),0)"),"0")</f>
        <v>0</v>
      </c>
      <c r="H57">
        <f>IFERROR(__xludf.DUMMYFUNCTION("IFERROR(FILTER('VPLData(raw)'!F:F,'VPLData(raw)'!B:B=454,'VPLData(raw)'!A:A=A57),0)"),"0")</f>
        <v>0</v>
      </c>
      <c r="I57">
        <f>IFERROR(__xludf.DUMMYFUNCTION("IFERROR(FILTER('VPLData(raw)'!C:C,'VPLData(raw)'!B:B=457,'VPLData(raw)'!A:A=A57),0)"),"0")</f>
        <v>0</v>
      </c>
      <c r="J57">
        <f>IFERROR(__xludf.DUMMYFUNCTION("IFERROR(IF(I57&gt;0, FILTER('VPLData(raw)'!E:E,'VPLData(raw)'!B:B=457,'VPLData(raw)'!A:A=A57), 0),0)"),"0")</f>
        <v>0</v>
      </c>
      <c r="K57">
        <f>IFERROR(__xludf.DUMMYFUNCTION("IFERROR(FILTER('VPLData(raw)'!F:F,'VPLData(raw)'!B:B=457,'VPLData(raw)'!A:A=A57),0)"),"0")</f>
        <v>0</v>
      </c>
      <c r="L57">
        <f>IFERROR(__xludf.DUMMYFUNCTION("IFERROR(FILTER('VPLData(raw)'!C:C,'VPLData(raw)'!B:B=534,'VPLData(raw)'!A:A=A57),0)"),"0")</f>
        <v>0</v>
      </c>
      <c r="M57">
        <f>IFERROR(__xludf.DUMMYFUNCTION("IFERROR(IF(L57&gt;0, FILTER('VPLData(raw)'!E:E,'VPLData(raw)'!B:B=534,'VPLData(raw)'!A:A=A57), 0),0)"),"0")</f>
        <v>0</v>
      </c>
      <c r="N57">
        <f>IFERROR(__xludf.DUMMYFUNCTION("IFERROR(FILTER('VPLData(raw)'!F:F,'VPLData(raw)'!B:B=534,'VPLData(raw)'!A:A=A57),0)"),"0")</f>
        <v>0</v>
      </c>
      <c r="O57">
        <f>IFERROR(__xludf.DUMMYFUNCTION("IFERROR(FILTER('VPLData(raw)'!C:C,'VPLData(raw)'!B:B=498,'VPLData(raw)'!A:A=A57),0)"),"0")</f>
        <v>0</v>
      </c>
      <c r="P57">
        <f>IFERROR(__xludf.DUMMYFUNCTION("IFERROR(IF(O57&gt;0, FILTER('VPLData(raw)'!E:E,'VPLData(raw)'!B:B=498,'VPLData(raw)'!A:A=A57), 0),0)"),"0")</f>
        <v>0</v>
      </c>
      <c r="Q57">
        <f>IFERROR(__xludf.DUMMYFUNCTION("IFERROR(FILTER('VPLData(raw)'!F:F,'VPLData(raw)'!B:B=498,'VPLData(raw)'!A:A=A57),0)"),"0")</f>
        <v>0</v>
      </c>
      <c r="R57">
        <f>IFERROR(__xludf.DUMMYFUNCTION("IFERROR(FILTER('VPLData(raw)'!C:C,'VPLData(raw)'!B:B=515,'VPLData(raw)'!A:A=A57),0)"),"0")</f>
        <v>0</v>
      </c>
      <c r="S57">
        <f>IFERROR(__xludf.DUMMYFUNCTION("IFERROR(IF(R57&gt;0, FILTER('VPLData(raw)'!E:E,'VPLData(raw)'!B:B=515,'VPLData(raw)'!A:A=A57), 0),0)"),"0")</f>
        <v>0</v>
      </c>
      <c r="T57">
        <f>IFERROR(__xludf.DUMMYFUNCTION("IFERROR(FILTER('VPLData(raw)'!F:F,'VPLData(raw)'!B:B=515,'VPLData(raw)'!A:A=A57),0)"),"0")</f>
        <v>0</v>
      </c>
      <c r="U57">
        <f>IFERROR(__xludf.DUMMYFUNCTION("IFERROR(FILTER('VPLData(raw)'!C:C,'VPLData(raw)'!B:B=528,'VPLData(raw)'!A:A=A57),0)"),"0")</f>
        <v>0</v>
      </c>
      <c r="V57">
        <f>IFERROR(__xludf.DUMMYFUNCTION("IFERROR(IF(U57&gt;0, FILTER('VPLData(raw)'!E:E,'VPLData(raw)'!B:B=528,'VPLData(raw)'!A:A=A57), 0),0)"),"0")</f>
        <v>0</v>
      </c>
      <c r="W57">
        <f>IFERROR(__xludf.DUMMYFUNCTION("IFERROR(FILTER('VPLData(raw)'!F:F,'VPLData(raw)'!B:B=528,'VPLData(raw)'!A:A=A57),0)"),"0")</f>
        <v>0</v>
      </c>
      <c r="X57">
        <f>IFERROR(__xludf.DUMMYFUNCTION("IFERROR(FILTER('VPLData(raw)'!C:C,'VPLData(raw)'!B:B=524,'VPLData(raw)'!A:A=A57),0)"),"0")</f>
        <v>0</v>
      </c>
      <c r="Y57">
        <f>IFERROR(__xludf.DUMMYFUNCTION("IFERROR(IF(X57&gt;0, FILTER('VPLData(raw)'!E:E,'VPLData(raw)'!B:B=524,'VPLData(raw)'!A:A=A57), 0),0)"),"0")</f>
        <v>0</v>
      </c>
      <c r="Z57">
        <f>IFERROR(__xludf.DUMMYFUNCTION("IFERROR(FILTER('VPLData(raw)'!F:F,'VPLData(raw)'!B:B=524,'VPLData(raw)'!A:A=A57),0)"),"0")</f>
        <v>0</v>
      </c>
      <c r="AA57">
        <f>IFERROR(__xludf.DUMMYFUNCTION("IFERROR(FILTER('VPLData(raw)'!C:C,'VPLData(raw)'!B:B=478,'VPLData(raw)'!A:A=A57),0)"),"0")</f>
        <v>0</v>
      </c>
      <c r="AB57">
        <f>IFERROR(__xludf.DUMMYFUNCTION("IFERROR(IF(AA57&gt;0, FILTER('VPLData(raw)'!E:E,'VPLData(raw)'!B:B=478,'VPLData(raw)'!A:A=A57), 0),0)"),"0")</f>
        <v>0</v>
      </c>
      <c r="AC57">
        <f>IFERROR(__xludf.DUMMYFUNCTION("IFERROR(FILTER('VPLData(raw)'!F:F,'VPLData(raw)'!B:B=478,'VPLData(raw)'!A:A=A57),0)"),"0")</f>
        <v>0</v>
      </c>
      <c r="AD57">
        <f>IFERROR(__xludf.DUMMYFUNCTION("IFERROR(FILTER('VPLData(raw)'!C:C,'VPLData(raw)'!B:B=542,'VPLData(raw)'!A:A=A57),0)"),"1499402582")</f>
        <v>1499402582</v>
      </c>
      <c r="AE57">
        <f>IFERROR(__xludf.DUMMYFUNCTION("IFERROR(IF(AD57&gt;0, FILTER('VPLData(raw)'!E:E,'VPLData(raw)'!B:B=542,'VPLData(raw)'!A:A=A57), 0),0)"),"10")</f>
        <v>10</v>
      </c>
      <c r="AF57">
        <f>IFERROR(__xludf.DUMMYFUNCTION("IFERROR(FILTER('VPLData(raw)'!F:F,'VPLData(raw)'!B:B=542,'VPLData(raw)'!A:A=A57),0)"),"1572")</f>
        <v>1572</v>
      </c>
      <c r="AG57">
        <f>IFERROR(__xludf.DUMMYFUNCTION("IFERROR(FILTER('VPLData(raw)'!C:C,'VPLData(raw)'!B:B=544,'VPLData(raw)'!A:A=A57),0)"),"0")</f>
        <v>0</v>
      </c>
      <c r="AH57">
        <f>IFERROR(__xludf.DUMMYFUNCTION("IFERROR(IF(AG57&gt;0, FILTER('VPLData(raw)'!E:E,'VPLData(raw)'!B:B=544,'VPLData(raw)'!A:A=A57), 0),0)"),"0")</f>
        <v>0</v>
      </c>
      <c r="AI57">
        <f>IFERROR(__xludf.DUMMYFUNCTION("IFERROR(FILTER('VPLData(raw)'!F:F,'VPLData(raw)'!B:B=544,'VPLData(raw)'!A:A=A57),0)"),"0")</f>
        <v>0</v>
      </c>
      <c r="AJ57">
        <f>IFERROR(__xludf.DUMMYFUNCTION("IFERROR(FILTER('VPLData(raw)'!C:C,'VPLData(raw)'!B:B=545,'VPLData(raw)'!A:A=A57),0)"),"0")</f>
        <v>0</v>
      </c>
      <c r="AK57">
        <f>IFERROR(__xludf.DUMMYFUNCTION("IFERROR(IF(AJ57&gt;0, FILTER('VPLData(raw)'!E:E,'VPLData(raw)'!B:B=545,'VPLData(raw)'!A:A=A57), 0),0)"),"0")</f>
        <v>0</v>
      </c>
      <c r="AL57">
        <f>IFERROR(__xludf.DUMMYFUNCTION("IFERROR(FILTER('VPLData(raw)'!F:F,'VPLData(raw)'!B:B=545,'VPLData(raw)'!A:A=A57),0)"),"0")</f>
        <v>0</v>
      </c>
    </row>
    <row r="58">
      <c r="A58" s="1">
        <v>10198.0</v>
      </c>
      <c r="B58" s="1">
        <v>1.0310888E7</v>
      </c>
      <c r="C58">
        <f>IFERROR(__xludf.DUMMYFUNCTION("IFERROR(FILTER('VPLData(raw)'!C:C,'VPLData(raw)'!B:B=504,'VPLData(raw)'!A:A=A58),0)"),"1490866590")</f>
        <v>1490866590</v>
      </c>
      <c r="D58" s="7">
        <f>IFERROR(__xludf.DUMMYFUNCTION("IFERROR(IF(C58&gt;0, FILTER('VPLData(raw)'!E:E,'VPLData(raw)'!B:B=504,'VPLData(raw)'!A:A=A58), 0),0)"),"10")</f>
        <v>10</v>
      </c>
      <c r="E58">
        <f>IFERROR(__xludf.DUMMYFUNCTION("IFERROR(FILTER('VPLData(raw)'!F:F,'VPLData(raw)'!B:B=504,'VPLData(raw)'!A:A=A58),0)"),"11162")</f>
        <v>11162</v>
      </c>
      <c r="F58">
        <f>IFERROR(__xludf.DUMMYFUNCTION("IFERROR(FILTER('VPLData(raw)'!C:C,'VPLData(raw)'!B:B=454,'VPLData(raw)'!A:A=A58),0)"),"1491776964")</f>
        <v>1491776964</v>
      </c>
      <c r="G58">
        <f>IFERROR(__xludf.DUMMYFUNCTION("IFERROR(IF(F58&gt;0, FILTER('VPLData(raw)'!E:E,'VPLData(raw)'!B:B=454,'VPLData(raw)'!A:A=A58), 0),0)"),"10")</f>
        <v>10</v>
      </c>
      <c r="H58">
        <f>IFERROR(__xludf.DUMMYFUNCTION("IFERROR(FILTER('VPLData(raw)'!F:F,'VPLData(raw)'!B:B=454,'VPLData(raw)'!A:A=A58),0)"),"4116")</f>
        <v>4116</v>
      </c>
      <c r="I58">
        <f>IFERROR(__xludf.DUMMYFUNCTION("IFERROR(FILTER('VPLData(raw)'!C:C,'VPLData(raw)'!B:B=457,'VPLData(raw)'!A:A=A58),0)"),"1492193254")</f>
        <v>1492193254</v>
      </c>
      <c r="J58">
        <f>IFERROR(__xludf.DUMMYFUNCTION("IFERROR(IF(I58&gt;0, FILTER('VPLData(raw)'!E:E,'VPLData(raw)'!B:B=457,'VPLData(raw)'!A:A=A58), 0),0)"),"10")</f>
        <v>10</v>
      </c>
      <c r="K58">
        <f>IFERROR(__xludf.DUMMYFUNCTION("IFERROR(FILTER('VPLData(raw)'!F:F,'VPLData(raw)'!B:B=457,'VPLData(raw)'!A:A=A58),0)"),"8488")</f>
        <v>8488</v>
      </c>
      <c r="L58">
        <f>IFERROR(__xludf.DUMMYFUNCTION("IFERROR(FILTER('VPLData(raw)'!C:C,'VPLData(raw)'!B:B=534,'VPLData(raw)'!A:A=A58),0)"),"0")</f>
        <v>0</v>
      </c>
      <c r="M58">
        <f>IFERROR(__xludf.DUMMYFUNCTION("IFERROR(IF(L58&gt;0, FILTER('VPLData(raw)'!E:E,'VPLData(raw)'!B:B=534,'VPLData(raw)'!A:A=A58), 0),0)"),"0")</f>
        <v>0</v>
      </c>
      <c r="N58">
        <f>IFERROR(__xludf.DUMMYFUNCTION("IFERROR(FILTER('VPLData(raw)'!F:F,'VPLData(raw)'!B:B=534,'VPLData(raw)'!A:A=A58),0)"),"0")</f>
        <v>0</v>
      </c>
      <c r="O58">
        <f>IFERROR(__xludf.DUMMYFUNCTION("IFERROR(FILTER('VPLData(raw)'!C:C,'VPLData(raw)'!B:B=498,'VPLData(raw)'!A:A=A58),0)"),"1493071247")</f>
        <v>1493071247</v>
      </c>
      <c r="P58">
        <f>IFERROR(__xludf.DUMMYFUNCTION("IFERROR(IF(O58&gt;0, FILTER('VPLData(raw)'!E:E,'VPLData(raw)'!B:B=498,'VPLData(raw)'!A:A=A58), 0),0)"),"10")</f>
        <v>10</v>
      </c>
      <c r="Q58">
        <f>IFERROR(__xludf.DUMMYFUNCTION("IFERROR(FILTER('VPLData(raw)'!F:F,'VPLData(raw)'!B:B=498,'VPLData(raw)'!A:A=A58),0)"),"1344")</f>
        <v>1344</v>
      </c>
      <c r="R58">
        <f>IFERROR(__xludf.DUMMYFUNCTION("IFERROR(FILTER('VPLData(raw)'!C:C,'VPLData(raw)'!B:B=515,'VPLData(raw)'!A:A=A58),0)"),"0")</f>
        <v>0</v>
      </c>
      <c r="S58">
        <f>IFERROR(__xludf.DUMMYFUNCTION("IFERROR(IF(R58&gt;0, FILTER('VPLData(raw)'!E:E,'VPLData(raw)'!B:B=515,'VPLData(raw)'!A:A=A58), 0),0)"),"0")</f>
        <v>0</v>
      </c>
      <c r="T58">
        <f>IFERROR(__xludf.DUMMYFUNCTION("IFERROR(FILTER('VPLData(raw)'!F:F,'VPLData(raw)'!B:B=515,'VPLData(raw)'!A:A=A58),0)"),"0")</f>
        <v>0</v>
      </c>
      <c r="U58">
        <f>IFERROR(__xludf.DUMMYFUNCTION("IFERROR(FILTER('VPLData(raw)'!C:C,'VPLData(raw)'!B:B=528,'VPLData(raw)'!A:A=A58),0)"),"1494708227")</f>
        <v>1494708227</v>
      </c>
      <c r="V58">
        <f>IFERROR(__xludf.DUMMYFUNCTION("IFERROR(IF(U58&gt;0, FILTER('VPLData(raw)'!E:E,'VPLData(raw)'!B:B=528,'VPLData(raw)'!A:A=A58), 0),0)"),"10")</f>
        <v>10</v>
      </c>
      <c r="W58">
        <f>IFERROR(__xludf.DUMMYFUNCTION("IFERROR(FILTER('VPLData(raw)'!F:F,'VPLData(raw)'!B:B=528,'VPLData(raw)'!A:A=A58),0)"),"1405")</f>
        <v>1405</v>
      </c>
      <c r="X58">
        <f>IFERROR(__xludf.DUMMYFUNCTION("IFERROR(FILTER('VPLData(raw)'!C:C,'VPLData(raw)'!B:B=524,'VPLData(raw)'!A:A=A58),0)"),"1494709639")</f>
        <v>1494709639</v>
      </c>
      <c r="Y58">
        <f>IFERROR(__xludf.DUMMYFUNCTION("IFERROR(IF(X58&gt;0, FILTER('VPLData(raw)'!E:E,'VPLData(raw)'!B:B=524,'VPLData(raw)'!A:A=A58), 0),0)"),"10")</f>
        <v>10</v>
      </c>
      <c r="Z58">
        <f>IFERROR(__xludf.DUMMYFUNCTION("IFERROR(FILTER('VPLData(raw)'!F:F,'VPLData(raw)'!B:B=524,'VPLData(raw)'!A:A=A58),0)"),"5387")</f>
        <v>5387</v>
      </c>
      <c r="AA58">
        <f>IFERROR(__xludf.DUMMYFUNCTION("IFERROR(FILTER('VPLData(raw)'!C:C,'VPLData(raw)'!B:B=478,'VPLData(raw)'!A:A=A58),0)"),"0")</f>
        <v>0</v>
      </c>
      <c r="AB58">
        <f>IFERROR(__xludf.DUMMYFUNCTION("IFERROR(IF(AA58&gt;0, FILTER('VPLData(raw)'!E:E,'VPLData(raw)'!B:B=478,'VPLData(raw)'!A:A=A58), 0),0)"),"0")</f>
        <v>0</v>
      </c>
      <c r="AC58">
        <f>IFERROR(__xludf.DUMMYFUNCTION("IFERROR(FILTER('VPLData(raw)'!F:F,'VPLData(raw)'!B:B=478,'VPLData(raw)'!A:A=A58),0)"),"0")</f>
        <v>0</v>
      </c>
      <c r="AD58">
        <f>IFERROR(__xludf.DUMMYFUNCTION("IFERROR(FILTER('VPLData(raw)'!C:C,'VPLData(raw)'!B:B=542,'VPLData(raw)'!A:A=A58),0)"),"1498358079")</f>
        <v>1498358079</v>
      </c>
      <c r="AE58">
        <f>IFERROR(__xludf.DUMMYFUNCTION("IFERROR(IF(AD58&gt;0, FILTER('VPLData(raw)'!E:E,'VPLData(raw)'!B:B=542,'VPLData(raw)'!A:A=A58), 0),0)"),"10")</f>
        <v>10</v>
      </c>
      <c r="AF58">
        <f>IFERROR(__xludf.DUMMYFUNCTION("IFERROR(FILTER('VPLData(raw)'!F:F,'VPLData(raw)'!B:B=542,'VPLData(raw)'!A:A=A58),0)"),"2420")</f>
        <v>2420</v>
      </c>
      <c r="AG58">
        <f>IFERROR(__xludf.DUMMYFUNCTION("IFERROR(FILTER('VPLData(raw)'!C:C,'VPLData(raw)'!B:B=544,'VPLData(raw)'!A:A=A58),0)"),"1498074935")</f>
        <v>1498074935</v>
      </c>
      <c r="AH58">
        <f>IFERROR(__xludf.DUMMYFUNCTION("IFERROR(IF(AG58&gt;0, FILTER('VPLData(raw)'!E:E,'VPLData(raw)'!B:B=544,'VPLData(raw)'!A:A=A58), 0),0)"),"10")</f>
        <v>10</v>
      </c>
      <c r="AI58">
        <f>IFERROR(__xludf.DUMMYFUNCTION("IFERROR(FILTER('VPLData(raw)'!F:F,'VPLData(raw)'!B:B=544,'VPLData(raw)'!A:A=A58),0)"),"2795")</f>
        <v>2795</v>
      </c>
      <c r="AJ58">
        <f>IFERROR(__xludf.DUMMYFUNCTION("IFERROR(FILTER('VPLData(raw)'!C:C,'VPLData(raw)'!B:B=545,'VPLData(raw)'!A:A=A58),0)"),"1499481813")</f>
        <v>1499481813</v>
      </c>
      <c r="AK58">
        <f>IFERROR(__xludf.DUMMYFUNCTION("IFERROR(IF(AJ58&gt;0, FILTER('VPLData(raw)'!E:E,'VPLData(raw)'!B:B=545,'VPLData(raw)'!A:A=A58), 0),0)"),"10")</f>
        <v>10</v>
      </c>
      <c r="AL58">
        <f>IFERROR(__xludf.DUMMYFUNCTION("IFERROR(FILTER('VPLData(raw)'!F:F,'VPLData(raw)'!B:B=545,'VPLData(raw)'!A:A=A58),0)"),"2427")</f>
        <v>2427</v>
      </c>
    </row>
    <row r="59">
      <c r="A59" s="1">
        <v>10195.0</v>
      </c>
      <c r="B59" s="1">
        <v>1.0351971E7</v>
      </c>
      <c r="C59">
        <f>IFERROR(__xludf.DUMMYFUNCTION("IFERROR(FILTER('VPLData(raw)'!C:C,'VPLData(raw)'!B:B=504,'VPLData(raw)'!A:A=A59),0)"),"0")</f>
        <v>0</v>
      </c>
      <c r="D59" s="7">
        <f>IFERROR(__xludf.DUMMYFUNCTION("IFERROR(IF(C59&gt;0, FILTER('VPLData(raw)'!E:E,'VPLData(raw)'!B:B=504,'VPLData(raw)'!A:A=A59), 0),0)"),"0")</f>
        <v>0</v>
      </c>
      <c r="E59">
        <f>IFERROR(__xludf.DUMMYFUNCTION("IFERROR(FILTER('VPLData(raw)'!F:F,'VPLData(raw)'!B:B=504,'VPLData(raw)'!A:A=A59),0)"),"0")</f>
        <v>0</v>
      </c>
      <c r="F59">
        <f>IFERROR(__xludf.DUMMYFUNCTION("IFERROR(FILTER('VPLData(raw)'!C:C,'VPLData(raw)'!B:B=454,'VPLData(raw)'!A:A=A59),0)"),"0")</f>
        <v>0</v>
      </c>
      <c r="G59">
        <f>IFERROR(__xludf.DUMMYFUNCTION("IFERROR(IF(F59&gt;0, FILTER('VPLData(raw)'!E:E,'VPLData(raw)'!B:B=454,'VPLData(raw)'!A:A=A59), 0),0)"),"0")</f>
        <v>0</v>
      </c>
      <c r="H59">
        <f>IFERROR(__xludf.DUMMYFUNCTION("IFERROR(FILTER('VPLData(raw)'!F:F,'VPLData(raw)'!B:B=454,'VPLData(raw)'!A:A=A59),0)"),"0")</f>
        <v>0</v>
      </c>
      <c r="I59">
        <f>IFERROR(__xludf.DUMMYFUNCTION("IFERROR(FILTER('VPLData(raw)'!C:C,'VPLData(raw)'!B:B=457,'VPLData(raw)'!A:A=A59),0)"),"0")</f>
        <v>0</v>
      </c>
      <c r="J59">
        <f>IFERROR(__xludf.DUMMYFUNCTION("IFERROR(IF(I59&gt;0, FILTER('VPLData(raw)'!E:E,'VPLData(raw)'!B:B=457,'VPLData(raw)'!A:A=A59), 0),0)"),"0")</f>
        <v>0</v>
      </c>
      <c r="K59">
        <f>IFERROR(__xludf.DUMMYFUNCTION("IFERROR(FILTER('VPLData(raw)'!F:F,'VPLData(raw)'!B:B=457,'VPLData(raw)'!A:A=A59),0)"),"0")</f>
        <v>0</v>
      </c>
      <c r="L59">
        <f>IFERROR(__xludf.DUMMYFUNCTION("IFERROR(FILTER('VPLData(raw)'!C:C,'VPLData(raw)'!B:B=534,'VPLData(raw)'!A:A=A59),0)"),"0")</f>
        <v>0</v>
      </c>
      <c r="M59">
        <f>IFERROR(__xludf.DUMMYFUNCTION("IFERROR(IF(L59&gt;0, FILTER('VPLData(raw)'!E:E,'VPLData(raw)'!B:B=534,'VPLData(raw)'!A:A=A59), 0),0)"),"0")</f>
        <v>0</v>
      </c>
      <c r="N59">
        <f>IFERROR(__xludf.DUMMYFUNCTION("IFERROR(FILTER('VPLData(raw)'!F:F,'VPLData(raw)'!B:B=534,'VPLData(raw)'!A:A=A59),0)"),"0")</f>
        <v>0</v>
      </c>
      <c r="O59">
        <f>IFERROR(__xludf.DUMMYFUNCTION("IFERROR(FILTER('VPLData(raw)'!C:C,'VPLData(raw)'!B:B=498,'VPLData(raw)'!A:A=A59),0)"),"1492469565")</f>
        <v>1492469565</v>
      </c>
      <c r="P59">
        <f>IFERROR(__xludf.DUMMYFUNCTION("IFERROR(IF(O59&gt;0, FILTER('VPLData(raw)'!E:E,'VPLData(raw)'!B:B=498,'VPLData(raw)'!A:A=A59), 0),0)"),"10")</f>
        <v>10</v>
      </c>
      <c r="Q59">
        <f>IFERROR(__xludf.DUMMYFUNCTION("IFERROR(FILTER('VPLData(raw)'!F:F,'VPLData(raw)'!B:B=498,'VPLData(raw)'!A:A=A59),0)"),"1626")</f>
        <v>1626</v>
      </c>
      <c r="R59">
        <f>IFERROR(__xludf.DUMMYFUNCTION("IFERROR(FILTER('VPLData(raw)'!C:C,'VPLData(raw)'!B:B=515,'VPLData(raw)'!A:A=A59),0)"),"1492473514")</f>
        <v>1492473514</v>
      </c>
      <c r="S59" t="str">
        <f>IFERROR(__xludf.DUMMYFUNCTION("IFERROR(IF(R59&gt;0, FILTER('VPLData(raw)'!E:E,'VPLData(raw)'!B:B=515,'VPLData(raw)'!A:A=A59), 0),0)"),"")</f>
        <v/>
      </c>
      <c r="T59">
        <f>IFERROR(__xludf.DUMMYFUNCTION("IFERROR(FILTER('VPLData(raw)'!F:F,'VPLData(raw)'!B:B=515,'VPLData(raw)'!A:A=A59),0)"),"1855")</f>
        <v>1855</v>
      </c>
      <c r="U59">
        <f>IFERROR(__xludf.DUMMYFUNCTION("IFERROR(FILTER('VPLData(raw)'!C:C,'VPLData(raw)'!B:B=528,'VPLData(raw)'!A:A=A59),0)"),"0")</f>
        <v>0</v>
      </c>
      <c r="V59">
        <f>IFERROR(__xludf.DUMMYFUNCTION("IFERROR(IF(U59&gt;0, FILTER('VPLData(raw)'!E:E,'VPLData(raw)'!B:B=528,'VPLData(raw)'!A:A=A59), 0),0)"),"0")</f>
        <v>0</v>
      </c>
      <c r="W59">
        <f>IFERROR(__xludf.DUMMYFUNCTION("IFERROR(FILTER('VPLData(raw)'!F:F,'VPLData(raw)'!B:B=528,'VPLData(raw)'!A:A=A59),0)"),"0")</f>
        <v>0</v>
      </c>
      <c r="X59">
        <f>IFERROR(__xludf.DUMMYFUNCTION("IFERROR(FILTER('VPLData(raw)'!C:C,'VPLData(raw)'!B:B=524,'VPLData(raw)'!A:A=A59),0)"),"0")</f>
        <v>0</v>
      </c>
      <c r="Y59">
        <f>IFERROR(__xludf.DUMMYFUNCTION("IFERROR(IF(X59&gt;0, FILTER('VPLData(raw)'!E:E,'VPLData(raw)'!B:B=524,'VPLData(raw)'!A:A=A59), 0),0)"),"0")</f>
        <v>0</v>
      </c>
      <c r="Z59">
        <f>IFERROR(__xludf.DUMMYFUNCTION("IFERROR(FILTER('VPLData(raw)'!F:F,'VPLData(raw)'!B:B=524,'VPLData(raw)'!A:A=A59),0)"),"0")</f>
        <v>0</v>
      </c>
      <c r="AA59">
        <f>IFERROR(__xludf.DUMMYFUNCTION("IFERROR(FILTER('VPLData(raw)'!C:C,'VPLData(raw)'!B:B=478,'VPLData(raw)'!A:A=A59),0)"),"0")</f>
        <v>0</v>
      </c>
      <c r="AB59">
        <f>IFERROR(__xludf.DUMMYFUNCTION("IFERROR(IF(AA59&gt;0, FILTER('VPLData(raw)'!E:E,'VPLData(raw)'!B:B=478,'VPLData(raw)'!A:A=A59), 0),0)"),"0")</f>
        <v>0</v>
      </c>
      <c r="AC59">
        <f>IFERROR(__xludf.DUMMYFUNCTION("IFERROR(FILTER('VPLData(raw)'!F:F,'VPLData(raw)'!B:B=478,'VPLData(raw)'!A:A=A59),0)"),"0")</f>
        <v>0</v>
      </c>
      <c r="AD59">
        <f>IFERROR(__xludf.DUMMYFUNCTION("IFERROR(FILTER('VPLData(raw)'!C:C,'VPLData(raw)'!B:B=542,'VPLData(raw)'!A:A=A59),0)"),"0")</f>
        <v>0</v>
      </c>
      <c r="AE59">
        <f>IFERROR(__xludf.DUMMYFUNCTION("IFERROR(IF(AD59&gt;0, FILTER('VPLData(raw)'!E:E,'VPLData(raw)'!B:B=542,'VPLData(raw)'!A:A=A59), 0),0)"),"0")</f>
        <v>0</v>
      </c>
      <c r="AF59">
        <f>IFERROR(__xludf.DUMMYFUNCTION("IFERROR(FILTER('VPLData(raw)'!F:F,'VPLData(raw)'!B:B=542,'VPLData(raw)'!A:A=A59),0)"),"0")</f>
        <v>0</v>
      </c>
      <c r="AG59">
        <f>IFERROR(__xludf.DUMMYFUNCTION("IFERROR(FILTER('VPLData(raw)'!C:C,'VPLData(raw)'!B:B=544,'VPLData(raw)'!A:A=A59),0)"),"0")</f>
        <v>0</v>
      </c>
      <c r="AH59">
        <f>IFERROR(__xludf.DUMMYFUNCTION("IFERROR(IF(AG59&gt;0, FILTER('VPLData(raw)'!E:E,'VPLData(raw)'!B:B=544,'VPLData(raw)'!A:A=A59), 0),0)"),"0")</f>
        <v>0</v>
      </c>
      <c r="AI59">
        <f>IFERROR(__xludf.DUMMYFUNCTION("IFERROR(FILTER('VPLData(raw)'!F:F,'VPLData(raw)'!B:B=544,'VPLData(raw)'!A:A=A59),0)"),"0")</f>
        <v>0</v>
      </c>
      <c r="AJ59">
        <f>IFERROR(__xludf.DUMMYFUNCTION("IFERROR(FILTER('VPLData(raw)'!C:C,'VPLData(raw)'!B:B=545,'VPLData(raw)'!A:A=A59),0)"),"0")</f>
        <v>0</v>
      </c>
      <c r="AK59">
        <f>IFERROR(__xludf.DUMMYFUNCTION("IFERROR(IF(AJ59&gt;0, FILTER('VPLData(raw)'!E:E,'VPLData(raw)'!B:B=545,'VPLData(raw)'!A:A=A59), 0),0)"),"0")</f>
        <v>0</v>
      </c>
      <c r="AL59">
        <f>IFERROR(__xludf.DUMMYFUNCTION("IFERROR(FILTER('VPLData(raw)'!F:F,'VPLData(raw)'!B:B=545,'VPLData(raw)'!A:A=A59),0)"),"0")</f>
        <v>0</v>
      </c>
    </row>
    <row r="60">
      <c r="A60" s="1">
        <v>10230.0</v>
      </c>
      <c r="B60" s="1">
        <v>1.0351992E7</v>
      </c>
      <c r="C60">
        <f>IFERROR(__xludf.DUMMYFUNCTION("IFERROR(FILTER('VPLData(raw)'!C:C,'VPLData(raw)'!B:B=504,'VPLData(raw)'!A:A=A60),0)"),"0")</f>
        <v>0</v>
      </c>
      <c r="D60" s="7">
        <f>IFERROR(__xludf.DUMMYFUNCTION("IFERROR(IF(C60&gt;0, FILTER('VPLData(raw)'!E:E,'VPLData(raw)'!B:B=504,'VPLData(raw)'!A:A=A60), 0),0)"),"0")</f>
        <v>0</v>
      </c>
      <c r="E60">
        <f>IFERROR(__xludf.DUMMYFUNCTION("IFERROR(FILTER('VPLData(raw)'!F:F,'VPLData(raw)'!B:B=504,'VPLData(raw)'!A:A=A60),0)"),"0")</f>
        <v>0</v>
      </c>
      <c r="F60">
        <f>IFERROR(__xludf.DUMMYFUNCTION("IFERROR(FILTER('VPLData(raw)'!C:C,'VPLData(raw)'!B:B=454,'VPLData(raw)'!A:A=A60),0)"),"0")</f>
        <v>0</v>
      </c>
      <c r="G60">
        <f>IFERROR(__xludf.DUMMYFUNCTION("IFERROR(IF(F60&gt;0, FILTER('VPLData(raw)'!E:E,'VPLData(raw)'!B:B=454,'VPLData(raw)'!A:A=A60), 0),0)"),"0")</f>
        <v>0</v>
      </c>
      <c r="H60">
        <f>IFERROR(__xludf.DUMMYFUNCTION("IFERROR(FILTER('VPLData(raw)'!F:F,'VPLData(raw)'!B:B=454,'VPLData(raw)'!A:A=A60),0)"),"0")</f>
        <v>0</v>
      </c>
      <c r="I60">
        <f>IFERROR(__xludf.DUMMYFUNCTION("IFERROR(FILTER('VPLData(raw)'!C:C,'VPLData(raw)'!B:B=457,'VPLData(raw)'!A:A=A60),0)"),"0")</f>
        <v>0</v>
      </c>
      <c r="J60">
        <f>IFERROR(__xludf.DUMMYFUNCTION("IFERROR(IF(I60&gt;0, FILTER('VPLData(raw)'!E:E,'VPLData(raw)'!B:B=457,'VPLData(raw)'!A:A=A60), 0),0)"),"0")</f>
        <v>0</v>
      </c>
      <c r="K60">
        <f>IFERROR(__xludf.DUMMYFUNCTION("IFERROR(FILTER('VPLData(raw)'!F:F,'VPLData(raw)'!B:B=457,'VPLData(raw)'!A:A=A60),0)"),"0")</f>
        <v>0</v>
      </c>
      <c r="L60">
        <f>IFERROR(__xludf.DUMMYFUNCTION("IFERROR(FILTER('VPLData(raw)'!C:C,'VPLData(raw)'!B:B=534,'VPLData(raw)'!A:A=A60),0)"),"0")</f>
        <v>0</v>
      </c>
      <c r="M60">
        <f>IFERROR(__xludf.DUMMYFUNCTION("IFERROR(IF(L60&gt;0, FILTER('VPLData(raw)'!E:E,'VPLData(raw)'!B:B=534,'VPLData(raw)'!A:A=A60), 0),0)"),"0")</f>
        <v>0</v>
      </c>
      <c r="N60">
        <f>IFERROR(__xludf.DUMMYFUNCTION("IFERROR(FILTER('VPLData(raw)'!F:F,'VPLData(raw)'!B:B=534,'VPLData(raw)'!A:A=A60),0)"),"0")</f>
        <v>0</v>
      </c>
      <c r="O60">
        <f>IFERROR(__xludf.DUMMYFUNCTION("IFERROR(FILTER('VPLData(raw)'!C:C,'VPLData(raw)'!B:B=498,'VPLData(raw)'!A:A=A60),0)"),"0")</f>
        <v>0</v>
      </c>
      <c r="P60">
        <f>IFERROR(__xludf.DUMMYFUNCTION("IFERROR(IF(O60&gt;0, FILTER('VPLData(raw)'!E:E,'VPLData(raw)'!B:B=498,'VPLData(raw)'!A:A=A60), 0),0)"),"0")</f>
        <v>0</v>
      </c>
      <c r="Q60">
        <f>IFERROR(__xludf.DUMMYFUNCTION("IFERROR(FILTER('VPLData(raw)'!F:F,'VPLData(raw)'!B:B=498,'VPLData(raw)'!A:A=A60),0)"),"0")</f>
        <v>0</v>
      </c>
      <c r="R60">
        <f>IFERROR(__xludf.DUMMYFUNCTION("IFERROR(FILTER('VPLData(raw)'!C:C,'VPLData(raw)'!B:B=515,'VPLData(raw)'!A:A=A60),0)"),"0")</f>
        <v>0</v>
      </c>
      <c r="S60">
        <f>IFERROR(__xludf.DUMMYFUNCTION("IFERROR(IF(R60&gt;0, FILTER('VPLData(raw)'!E:E,'VPLData(raw)'!B:B=515,'VPLData(raw)'!A:A=A60), 0),0)"),"0")</f>
        <v>0</v>
      </c>
      <c r="T60">
        <f>IFERROR(__xludf.DUMMYFUNCTION("IFERROR(FILTER('VPLData(raw)'!F:F,'VPLData(raw)'!B:B=515,'VPLData(raw)'!A:A=A60),0)"),"0")</f>
        <v>0</v>
      </c>
      <c r="U60">
        <f>IFERROR(__xludf.DUMMYFUNCTION("IFERROR(FILTER('VPLData(raw)'!C:C,'VPLData(raw)'!B:B=528,'VPLData(raw)'!A:A=A60),0)"),"1494882547")</f>
        <v>1494882547</v>
      </c>
      <c r="V60">
        <f>IFERROR(__xludf.DUMMYFUNCTION("IFERROR(IF(U60&gt;0, FILTER('VPLData(raw)'!E:E,'VPLData(raw)'!B:B=528,'VPLData(raw)'!A:A=A60), 0),0)"),"10")</f>
        <v>10</v>
      </c>
      <c r="W60">
        <f>IFERROR(__xludf.DUMMYFUNCTION("IFERROR(FILTER('VPLData(raw)'!F:F,'VPLData(raw)'!B:B=528,'VPLData(raw)'!A:A=A60),0)"),"351")</f>
        <v>351</v>
      </c>
      <c r="X60">
        <f>IFERROR(__xludf.DUMMYFUNCTION("IFERROR(FILTER('VPLData(raw)'!C:C,'VPLData(raw)'!B:B=524,'VPLData(raw)'!A:A=A60),0)"),"1494883329")</f>
        <v>1494883329</v>
      </c>
      <c r="Y60">
        <f>IFERROR(__xludf.DUMMYFUNCTION("IFERROR(IF(X60&gt;0, FILTER('VPLData(raw)'!E:E,'VPLData(raw)'!B:B=524,'VPLData(raw)'!A:A=A60), 0),0)"),"10")</f>
        <v>10</v>
      </c>
      <c r="Z60">
        <f>IFERROR(__xludf.DUMMYFUNCTION("IFERROR(FILTER('VPLData(raw)'!F:F,'VPLData(raw)'!B:B=524,'VPLData(raw)'!A:A=A60),0)"),"1506")</f>
        <v>1506</v>
      </c>
      <c r="AA60">
        <f>IFERROR(__xludf.DUMMYFUNCTION("IFERROR(FILTER('VPLData(raw)'!C:C,'VPLData(raw)'!B:B=478,'VPLData(raw)'!A:A=A60),0)"),"1494887688")</f>
        <v>1494887688</v>
      </c>
      <c r="AB60" t="str">
        <f>IFERROR(__xludf.DUMMYFUNCTION("IFERROR(IF(AA60&gt;0, FILTER('VPLData(raw)'!E:E,'VPLData(raw)'!B:B=478,'VPLData(raw)'!A:A=A60), 0),0)"),"")</f>
        <v/>
      </c>
      <c r="AC60">
        <f>IFERROR(__xludf.DUMMYFUNCTION("IFERROR(FILTER('VPLData(raw)'!F:F,'VPLData(raw)'!B:B=478,'VPLData(raw)'!A:A=A60),0)"),"11344")</f>
        <v>11344</v>
      </c>
      <c r="AD60">
        <f>IFERROR(__xludf.DUMMYFUNCTION("IFERROR(FILTER('VPLData(raw)'!C:C,'VPLData(raw)'!B:B=542,'VPLData(raw)'!A:A=A60),0)"),"1498447348")</f>
        <v>1498447348</v>
      </c>
      <c r="AE60" t="str">
        <f>IFERROR(__xludf.DUMMYFUNCTION("IFERROR(IF(AD60&gt;0, FILTER('VPLData(raw)'!E:E,'VPLData(raw)'!B:B=542,'VPLData(raw)'!A:A=A60), 0),0)"),"")</f>
        <v/>
      </c>
      <c r="AF60">
        <f>IFERROR(__xludf.DUMMYFUNCTION("IFERROR(FILTER('VPLData(raw)'!F:F,'VPLData(raw)'!B:B=542,'VPLData(raw)'!A:A=A60),0)"),"9368")</f>
        <v>9368</v>
      </c>
      <c r="AG60">
        <f>IFERROR(__xludf.DUMMYFUNCTION("IFERROR(FILTER('VPLData(raw)'!C:C,'VPLData(raw)'!B:B=544,'VPLData(raw)'!A:A=A60),0)"),"0")</f>
        <v>0</v>
      </c>
      <c r="AH60">
        <f>IFERROR(__xludf.DUMMYFUNCTION("IFERROR(IF(AG60&gt;0, FILTER('VPLData(raw)'!E:E,'VPLData(raw)'!B:B=544,'VPLData(raw)'!A:A=A60), 0),0)"),"0")</f>
        <v>0</v>
      </c>
      <c r="AI60">
        <f>IFERROR(__xludf.DUMMYFUNCTION("IFERROR(FILTER('VPLData(raw)'!F:F,'VPLData(raw)'!B:B=544,'VPLData(raw)'!A:A=A60),0)"),"0")</f>
        <v>0</v>
      </c>
      <c r="AJ60">
        <f>IFERROR(__xludf.DUMMYFUNCTION("IFERROR(FILTER('VPLData(raw)'!C:C,'VPLData(raw)'!B:B=545,'VPLData(raw)'!A:A=A60),0)"),"0")</f>
        <v>0</v>
      </c>
      <c r="AK60">
        <f>IFERROR(__xludf.DUMMYFUNCTION("IFERROR(IF(AJ60&gt;0, FILTER('VPLData(raw)'!E:E,'VPLData(raw)'!B:B=545,'VPLData(raw)'!A:A=A60), 0),0)"),"0")</f>
        <v>0</v>
      </c>
      <c r="AL60">
        <f>IFERROR(__xludf.DUMMYFUNCTION("IFERROR(FILTER('VPLData(raw)'!F:F,'VPLData(raw)'!B:B=545,'VPLData(raw)'!A:A=A60),0)"),"0")</f>
        <v>0</v>
      </c>
    </row>
    <row r="61">
      <c r="A61" s="1">
        <v>10183.0</v>
      </c>
      <c r="B61" s="1">
        <v>1.035203E7</v>
      </c>
      <c r="C61">
        <f>IFERROR(__xludf.DUMMYFUNCTION("IFERROR(FILTER('VPLData(raw)'!C:C,'VPLData(raw)'!B:B=504,'VPLData(raw)'!A:A=A61),0)"),"1490831070")</f>
        <v>1490831070</v>
      </c>
      <c r="D61" s="7">
        <f>IFERROR(__xludf.DUMMYFUNCTION("IFERROR(IF(C61&gt;0, FILTER('VPLData(raw)'!E:E,'VPLData(raw)'!B:B=504,'VPLData(raw)'!A:A=A61), 0),0)"),"10")</f>
        <v>10</v>
      </c>
      <c r="E61">
        <f>IFERROR(__xludf.DUMMYFUNCTION("IFERROR(FILTER('VPLData(raw)'!F:F,'VPLData(raw)'!B:B=504,'VPLData(raw)'!A:A=A61),0)"),"4343")</f>
        <v>4343</v>
      </c>
      <c r="F61">
        <f>IFERROR(__xludf.DUMMYFUNCTION("IFERROR(FILTER('VPLData(raw)'!C:C,'VPLData(raw)'!B:B=454,'VPLData(raw)'!A:A=A61),0)"),"0")</f>
        <v>0</v>
      </c>
      <c r="G61">
        <f>IFERROR(__xludf.DUMMYFUNCTION("IFERROR(IF(F61&gt;0, FILTER('VPLData(raw)'!E:E,'VPLData(raw)'!B:B=454,'VPLData(raw)'!A:A=A61), 0),0)"),"0")</f>
        <v>0</v>
      </c>
      <c r="H61">
        <f>IFERROR(__xludf.DUMMYFUNCTION("IFERROR(FILTER('VPLData(raw)'!F:F,'VPLData(raw)'!B:B=454,'VPLData(raw)'!A:A=A61),0)"),"0")</f>
        <v>0</v>
      </c>
      <c r="I61">
        <f>IFERROR(__xludf.DUMMYFUNCTION("IFERROR(FILTER('VPLData(raw)'!C:C,'VPLData(raw)'!B:B=457,'VPLData(raw)'!A:A=A61),0)"),"0")</f>
        <v>0</v>
      </c>
      <c r="J61">
        <f>IFERROR(__xludf.DUMMYFUNCTION("IFERROR(IF(I61&gt;0, FILTER('VPLData(raw)'!E:E,'VPLData(raw)'!B:B=457,'VPLData(raw)'!A:A=A61), 0),0)"),"0")</f>
        <v>0</v>
      </c>
      <c r="K61">
        <f>IFERROR(__xludf.DUMMYFUNCTION("IFERROR(FILTER('VPLData(raw)'!F:F,'VPLData(raw)'!B:B=457,'VPLData(raw)'!A:A=A61),0)"),"0")</f>
        <v>0</v>
      </c>
      <c r="L61">
        <f>IFERROR(__xludf.DUMMYFUNCTION("IFERROR(FILTER('VPLData(raw)'!C:C,'VPLData(raw)'!B:B=534,'VPLData(raw)'!A:A=A61),0)"),"0")</f>
        <v>0</v>
      </c>
      <c r="M61">
        <f>IFERROR(__xludf.DUMMYFUNCTION("IFERROR(IF(L61&gt;0, FILTER('VPLData(raw)'!E:E,'VPLData(raw)'!B:B=534,'VPLData(raw)'!A:A=A61), 0),0)"),"0")</f>
        <v>0</v>
      </c>
      <c r="N61">
        <f>IFERROR(__xludf.DUMMYFUNCTION("IFERROR(FILTER('VPLData(raw)'!F:F,'VPLData(raw)'!B:B=534,'VPLData(raw)'!A:A=A61),0)"),"0")</f>
        <v>0</v>
      </c>
      <c r="O61">
        <f>IFERROR(__xludf.DUMMYFUNCTION("IFERROR(FILTER('VPLData(raw)'!C:C,'VPLData(raw)'!B:B=498,'VPLData(raw)'!A:A=A61),0)"),"1492557006")</f>
        <v>1492557006</v>
      </c>
      <c r="P61">
        <f>IFERROR(__xludf.DUMMYFUNCTION("IFERROR(IF(O61&gt;0, FILTER('VPLData(raw)'!E:E,'VPLData(raw)'!B:B=498,'VPLData(raw)'!A:A=A61), 0),0)"),"10")</f>
        <v>10</v>
      </c>
      <c r="Q61">
        <f>IFERROR(__xludf.DUMMYFUNCTION("IFERROR(FILTER('VPLData(raw)'!F:F,'VPLData(raw)'!B:B=498,'VPLData(raw)'!A:A=A61),0)"),"555")</f>
        <v>555</v>
      </c>
      <c r="R61">
        <f>IFERROR(__xludf.DUMMYFUNCTION("IFERROR(FILTER('VPLData(raw)'!C:C,'VPLData(raw)'!B:B=515,'VPLData(raw)'!A:A=A61),0)"),"1492558298")</f>
        <v>1492558298</v>
      </c>
      <c r="S61">
        <f>IFERROR(__xludf.DUMMYFUNCTION("IFERROR(IF(R61&gt;0, FILTER('VPLData(raw)'!E:E,'VPLData(raw)'!B:B=515,'VPLData(raw)'!A:A=A61), 0),0)"),"10")</f>
        <v>10</v>
      </c>
      <c r="T61">
        <f>IFERROR(__xludf.DUMMYFUNCTION("IFERROR(FILTER('VPLData(raw)'!F:F,'VPLData(raw)'!B:B=515,'VPLData(raw)'!A:A=A61),0)"),"1231")</f>
        <v>1231</v>
      </c>
      <c r="U61">
        <f>IFERROR(__xludf.DUMMYFUNCTION("IFERROR(FILTER('VPLData(raw)'!C:C,'VPLData(raw)'!B:B=528,'VPLData(raw)'!A:A=A61),0)"),"1494374899")</f>
        <v>1494374899</v>
      </c>
      <c r="V61" t="str">
        <f>IFERROR(__xludf.DUMMYFUNCTION("IFERROR(IF(U61&gt;0, FILTER('VPLData(raw)'!E:E,'VPLData(raw)'!B:B=528,'VPLData(raw)'!A:A=A61), 0),0)"),"")</f>
        <v/>
      </c>
      <c r="W61">
        <f>IFERROR(__xludf.DUMMYFUNCTION("IFERROR(FILTER('VPLData(raw)'!F:F,'VPLData(raw)'!B:B=528,'VPLData(raw)'!A:A=A61),0)"),"1337")</f>
        <v>1337</v>
      </c>
      <c r="X61">
        <f>IFERROR(__xludf.DUMMYFUNCTION("IFERROR(FILTER('VPLData(raw)'!C:C,'VPLData(raw)'!B:B=524,'VPLData(raw)'!A:A=A61),0)"),"1494960349")</f>
        <v>1494960349</v>
      </c>
      <c r="Y61" t="str">
        <f>IFERROR(__xludf.DUMMYFUNCTION("IFERROR(IF(X61&gt;0, FILTER('VPLData(raw)'!E:E,'VPLData(raw)'!B:B=524,'VPLData(raw)'!A:A=A61), 0),0)"),"")</f>
        <v/>
      </c>
      <c r="Z61">
        <f>IFERROR(__xludf.DUMMYFUNCTION("IFERROR(FILTER('VPLData(raw)'!F:F,'VPLData(raw)'!B:B=524,'VPLData(raw)'!A:A=A61),0)"),"45")</f>
        <v>45</v>
      </c>
      <c r="AA61">
        <f>IFERROR(__xludf.DUMMYFUNCTION("IFERROR(FILTER('VPLData(raw)'!C:C,'VPLData(raw)'!B:B=478,'VPLData(raw)'!A:A=A61),0)"),"1494958592")</f>
        <v>1494958592</v>
      </c>
      <c r="AB61">
        <f>IFERROR(__xludf.DUMMYFUNCTION("IFERROR(IF(AA61&gt;0, FILTER('VPLData(raw)'!E:E,'VPLData(raw)'!B:B=478,'VPLData(raw)'!A:A=A61), 0),0)"),"10")</f>
        <v>10</v>
      </c>
      <c r="AC61">
        <f>IFERROR(__xludf.DUMMYFUNCTION("IFERROR(FILTER('VPLData(raw)'!F:F,'VPLData(raw)'!B:B=478,'VPLData(raw)'!A:A=A61),0)"),"202")</f>
        <v>202</v>
      </c>
      <c r="AD61">
        <f>IFERROR(__xludf.DUMMYFUNCTION("IFERROR(FILTER('VPLData(raw)'!C:C,'VPLData(raw)'!B:B=542,'VPLData(raw)'!A:A=A61),0)"),"0")</f>
        <v>0</v>
      </c>
      <c r="AE61">
        <f>IFERROR(__xludf.DUMMYFUNCTION("IFERROR(IF(AD61&gt;0, FILTER('VPLData(raw)'!E:E,'VPLData(raw)'!B:B=542,'VPLData(raw)'!A:A=A61), 0),0)"),"0")</f>
        <v>0</v>
      </c>
      <c r="AF61">
        <f>IFERROR(__xludf.DUMMYFUNCTION("IFERROR(FILTER('VPLData(raw)'!F:F,'VPLData(raw)'!B:B=542,'VPLData(raw)'!A:A=A61),0)"),"0")</f>
        <v>0</v>
      </c>
      <c r="AG61">
        <f>IFERROR(__xludf.DUMMYFUNCTION("IFERROR(FILTER('VPLData(raw)'!C:C,'VPLData(raw)'!B:B=544,'VPLData(raw)'!A:A=A61),0)"),"0")</f>
        <v>0</v>
      </c>
      <c r="AH61">
        <f>IFERROR(__xludf.DUMMYFUNCTION("IFERROR(IF(AG61&gt;0, FILTER('VPLData(raw)'!E:E,'VPLData(raw)'!B:B=544,'VPLData(raw)'!A:A=A61), 0),0)"),"0")</f>
        <v>0</v>
      </c>
      <c r="AI61">
        <f>IFERROR(__xludf.DUMMYFUNCTION("IFERROR(FILTER('VPLData(raw)'!F:F,'VPLData(raw)'!B:B=544,'VPLData(raw)'!A:A=A61),0)"),"0")</f>
        <v>0</v>
      </c>
      <c r="AJ61">
        <f>IFERROR(__xludf.DUMMYFUNCTION("IFERROR(FILTER('VPLData(raw)'!C:C,'VPLData(raw)'!B:B=545,'VPLData(raw)'!A:A=A61),0)"),"0")</f>
        <v>0</v>
      </c>
      <c r="AK61">
        <f>IFERROR(__xludf.DUMMYFUNCTION("IFERROR(IF(AJ61&gt;0, FILTER('VPLData(raw)'!E:E,'VPLData(raw)'!B:B=545,'VPLData(raw)'!A:A=A61), 0),0)"),"0")</f>
        <v>0</v>
      </c>
      <c r="AL61">
        <f>IFERROR(__xludf.DUMMYFUNCTION("IFERROR(FILTER('VPLData(raw)'!F:F,'VPLData(raw)'!B:B=545,'VPLData(raw)'!A:A=A61),0)"),"0")</f>
        <v>0</v>
      </c>
    </row>
    <row r="62">
      <c r="A62" s="1">
        <v>10169.0</v>
      </c>
      <c r="B62" s="1">
        <v>1.0377538E7</v>
      </c>
      <c r="C62">
        <f>IFERROR(__xludf.DUMMYFUNCTION("IFERROR(FILTER('VPLData(raw)'!C:C,'VPLData(raw)'!B:B=504,'VPLData(raw)'!A:A=A62),0)"),"0")</f>
        <v>0</v>
      </c>
      <c r="D62" s="7">
        <f>IFERROR(__xludf.DUMMYFUNCTION("IFERROR(IF(C62&gt;0, FILTER('VPLData(raw)'!E:E,'VPLData(raw)'!B:B=504,'VPLData(raw)'!A:A=A62), 0),0)"),"0")</f>
        <v>0</v>
      </c>
      <c r="E62">
        <f>IFERROR(__xludf.DUMMYFUNCTION("IFERROR(FILTER('VPLData(raw)'!F:F,'VPLData(raw)'!B:B=504,'VPLData(raw)'!A:A=A62),0)"),"0")</f>
        <v>0</v>
      </c>
      <c r="F62">
        <f>IFERROR(__xludf.DUMMYFUNCTION("IFERROR(FILTER('VPLData(raw)'!C:C,'VPLData(raw)'!B:B=454,'VPLData(raw)'!A:A=A62),0)"),"1492709550")</f>
        <v>1492709550</v>
      </c>
      <c r="G62">
        <f>IFERROR(__xludf.DUMMYFUNCTION("IFERROR(IF(F62&gt;0, FILTER('VPLData(raw)'!E:E,'VPLData(raw)'!B:B=454,'VPLData(raw)'!A:A=A62), 0),0)"),"10")</f>
        <v>10</v>
      </c>
      <c r="H62">
        <f>IFERROR(__xludf.DUMMYFUNCTION("IFERROR(FILTER('VPLData(raw)'!F:F,'VPLData(raw)'!B:B=454,'VPLData(raw)'!A:A=A62),0)"),"1367")</f>
        <v>1367</v>
      </c>
      <c r="I62">
        <f>IFERROR(__xludf.DUMMYFUNCTION("IFERROR(FILTER('VPLData(raw)'!C:C,'VPLData(raw)'!B:B=457,'VPLData(raw)'!A:A=A62),0)"),"1492711780")</f>
        <v>1492711780</v>
      </c>
      <c r="J62" t="str">
        <f>IFERROR(__xludf.DUMMYFUNCTION("IFERROR(IF(I62&gt;0, FILTER('VPLData(raw)'!E:E,'VPLData(raw)'!B:B=457,'VPLData(raw)'!A:A=A62), 0),0)"),"")</f>
        <v/>
      </c>
      <c r="K62">
        <f>IFERROR(__xludf.DUMMYFUNCTION("IFERROR(FILTER('VPLData(raw)'!F:F,'VPLData(raw)'!B:B=457,'VPLData(raw)'!A:A=A62),0)"),"3530")</f>
        <v>3530</v>
      </c>
      <c r="L62">
        <f>IFERROR(__xludf.DUMMYFUNCTION("IFERROR(FILTER('VPLData(raw)'!C:C,'VPLData(raw)'!B:B=534,'VPLData(raw)'!A:A=A62),0)"),"0")</f>
        <v>0</v>
      </c>
      <c r="M62">
        <f>IFERROR(__xludf.DUMMYFUNCTION("IFERROR(IF(L62&gt;0, FILTER('VPLData(raw)'!E:E,'VPLData(raw)'!B:B=534,'VPLData(raw)'!A:A=A62), 0),0)"),"0")</f>
        <v>0</v>
      </c>
      <c r="N62">
        <f>IFERROR(__xludf.DUMMYFUNCTION("IFERROR(FILTER('VPLData(raw)'!F:F,'VPLData(raw)'!B:B=534,'VPLData(raw)'!A:A=A62),0)"),"0")</f>
        <v>0</v>
      </c>
      <c r="O62">
        <f>IFERROR(__xludf.DUMMYFUNCTION("IFERROR(FILTER('VPLData(raw)'!C:C,'VPLData(raw)'!B:B=498,'VPLData(raw)'!A:A=A62),0)"),"1492461549")</f>
        <v>1492461549</v>
      </c>
      <c r="P62">
        <f>IFERROR(__xludf.DUMMYFUNCTION("IFERROR(IF(O62&gt;0, FILTER('VPLData(raw)'!E:E,'VPLData(raw)'!B:B=498,'VPLData(raw)'!A:A=A62), 0),0)"),"10")</f>
        <v>10</v>
      </c>
      <c r="Q62">
        <f>IFERROR(__xludf.DUMMYFUNCTION("IFERROR(FILTER('VPLData(raw)'!F:F,'VPLData(raw)'!B:B=498,'VPLData(raw)'!A:A=A62),0)"),"347")</f>
        <v>347</v>
      </c>
      <c r="R62">
        <f>IFERROR(__xludf.DUMMYFUNCTION("IFERROR(FILTER('VPLData(raw)'!C:C,'VPLData(raw)'!B:B=515,'VPLData(raw)'!A:A=A62),0)"),"1492462225")</f>
        <v>1492462225</v>
      </c>
      <c r="S62">
        <f>IFERROR(__xludf.DUMMYFUNCTION("IFERROR(IF(R62&gt;0, FILTER('VPLData(raw)'!E:E,'VPLData(raw)'!B:B=515,'VPLData(raw)'!A:A=A62), 0),0)"),"10")</f>
        <v>10</v>
      </c>
      <c r="T62">
        <f>IFERROR(__xludf.DUMMYFUNCTION("IFERROR(FILTER('VPLData(raw)'!F:F,'VPLData(raw)'!B:B=515,'VPLData(raw)'!A:A=A62),0)"),"7402")</f>
        <v>7402</v>
      </c>
      <c r="U62">
        <f>IFERROR(__xludf.DUMMYFUNCTION("IFERROR(FILTER('VPLData(raw)'!C:C,'VPLData(raw)'!B:B=528,'VPLData(raw)'!A:A=A62),0)"),"0")</f>
        <v>0</v>
      </c>
      <c r="V62">
        <f>IFERROR(__xludf.DUMMYFUNCTION("IFERROR(IF(U62&gt;0, FILTER('VPLData(raw)'!E:E,'VPLData(raw)'!B:B=528,'VPLData(raw)'!A:A=A62), 0),0)"),"0")</f>
        <v>0</v>
      </c>
      <c r="W62">
        <f>IFERROR(__xludf.DUMMYFUNCTION("IFERROR(FILTER('VPLData(raw)'!F:F,'VPLData(raw)'!B:B=528,'VPLData(raw)'!A:A=A62),0)"),"0")</f>
        <v>0</v>
      </c>
      <c r="X62">
        <f>IFERROR(__xludf.DUMMYFUNCTION("IFERROR(FILTER('VPLData(raw)'!C:C,'VPLData(raw)'!B:B=524,'VPLData(raw)'!A:A=A62),0)"),"0")</f>
        <v>0</v>
      </c>
      <c r="Y62">
        <f>IFERROR(__xludf.DUMMYFUNCTION("IFERROR(IF(X62&gt;0, FILTER('VPLData(raw)'!E:E,'VPLData(raw)'!B:B=524,'VPLData(raw)'!A:A=A62), 0),0)"),"0")</f>
        <v>0</v>
      </c>
      <c r="Z62">
        <f>IFERROR(__xludf.DUMMYFUNCTION("IFERROR(FILTER('VPLData(raw)'!F:F,'VPLData(raw)'!B:B=524,'VPLData(raw)'!A:A=A62),0)"),"0")</f>
        <v>0</v>
      </c>
      <c r="AA62">
        <f>IFERROR(__xludf.DUMMYFUNCTION("IFERROR(FILTER('VPLData(raw)'!C:C,'VPLData(raw)'!B:B=478,'VPLData(raw)'!A:A=A62),0)"),"0")</f>
        <v>0</v>
      </c>
      <c r="AB62">
        <f>IFERROR(__xludf.DUMMYFUNCTION("IFERROR(IF(AA62&gt;0, FILTER('VPLData(raw)'!E:E,'VPLData(raw)'!B:B=478,'VPLData(raw)'!A:A=A62), 0),0)"),"0")</f>
        <v>0</v>
      </c>
      <c r="AC62">
        <f>IFERROR(__xludf.DUMMYFUNCTION("IFERROR(FILTER('VPLData(raw)'!F:F,'VPLData(raw)'!B:B=478,'VPLData(raw)'!A:A=A62),0)"),"0")</f>
        <v>0</v>
      </c>
      <c r="AD62">
        <f>IFERROR(__xludf.DUMMYFUNCTION("IFERROR(FILTER('VPLData(raw)'!C:C,'VPLData(raw)'!B:B=542,'VPLData(raw)'!A:A=A62),0)"),"1499401160")</f>
        <v>1499401160</v>
      </c>
      <c r="AE62">
        <f>IFERROR(__xludf.DUMMYFUNCTION("IFERROR(IF(AD62&gt;0, FILTER('VPLData(raw)'!E:E,'VPLData(raw)'!B:B=542,'VPLData(raw)'!A:A=A62), 0),0)"),"10")</f>
        <v>10</v>
      </c>
      <c r="AF62">
        <f>IFERROR(__xludf.DUMMYFUNCTION("IFERROR(FILTER('VPLData(raw)'!F:F,'VPLData(raw)'!B:B=542,'VPLData(raw)'!A:A=A62),0)"),"714")</f>
        <v>714</v>
      </c>
      <c r="AG62">
        <f>IFERROR(__xludf.DUMMYFUNCTION("IFERROR(FILTER('VPLData(raw)'!C:C,'VPLData(raw)'!B:B=544,'VPLData(raw)'!A:A=A62),0)"),"1499401931")</f>
        <v>1499401931</v>
      </c>
      <c r="AH62">
        <f>IFERROR(__xludf.DUMMYFUNCTION("IFERROR(IF(AG62&gt;0, FILTER('VPLData(raw)'!E:E,'VPLData(raw)'!B:B=544,'VPLData(raw)'!A:A=A62), 0),0)"),"10")</f>
        <v>10</v>
      </c>
      <c r="AI62">
        <f>IFERROR(__xludf.DUMMYFUNCTION("IFERROR(FILTER('VPLData(raw)'!F:F,'VPLData(raw)'!B:B=544,'VPLData(raw)'!A:A=A62),0)"),"1492")</f>
        <v>1492</v>
      </c>
      <c r="AJ62">
        <f>IFERROR(__xludf.DUMMYFUNCTION("IFERROR(FILTER('VPLData(raw)'!C:C,'VPLData(raw)'!B:B=545,'VPLData(raw)'!A:A=A62),0)"),"1499403242")</f>
        <v>1499403242</v>
      </c>
      <c r="AK62">
        <f>IFERROR(__xludf.DUMMYFUNCTION("IFERROR(IF(AJ62&gt;0, FILTER('VPLData(raw)'!E:E,'VPLData(raw)'!B:B=545,'VPLData(raw)'!A:A=A62), 0),0)"),"10")</f>
        <v>10</v>
      </c>
      <c r="AL62">
        <f>IFERROR(__xludf.DUMMYFUNCTION("IFERROR(FILTER('VPLData(raw)'!F:F,'VPLData(raw)'!B:B=545,'VPLData(raw)'!A:A=A62),0)"),"465")</f>
        <v>465</v>
      </c>
    </row>
    <row r="63">
      <c r="A63" s="1">
        <v>10237.0</v>
      </c>
      <c r="B63" s="1">
        <v>1.0377688E7</v>
      </c>
      <c r="C63">
        <f>IFERROR(__xludf.DUMMYFUNCTION("IFERROR(FILTER('VPLData(raw)'!C:C,'VPLData(raw)'!B:B=504,'VPLData(raw)'!A:A=A63),0)"),"1490835460")</f>
        <v>1490835460</v>
      </c>
      <c r="D63" s="7">
        <f>IFERROR(__xludf.DUMMYFUNCTION("IFERROR(IF(C63&gt;0, FILTER('VPLData(raw)'!E:E,'VPLData(raw)'!B:B=504,'VPLData(raw)'!A:A=A63), 0),0)"),"10")</f>
        <v>10</v>
      </c>
      <c r="E63">
        <f>IFERROR(__xludf.DUMMYFUNCTION("IFERROR(FILTER('VPLData(raw)'!F:F,'VPLData(raw)'!B:B=504,'VPLData(raw)'!A:A=A63),0)"),"1018")</f>
        <v>1018</v>
      </c>
      <c r="F63">
        <f>IFERROR(__xludf.DUMMYFUNCTION("IFERROR(FILTER('VPLData(raw)'!C:C,'VPLData(raw)'!B:B=454,'VPLData(raw)'!A:A=A63),0)"),"0")</f>
        <v>0</v>
      </c>
      <c r="G63">
        <f>IFERROR(__xludf.DUMMYFUNCTION("IFERROR(IF(F63&gt;0, FILTER('VPLData(raw)'!E:E,'VPLData(raw)'!B:B=454,'VPLData(raw)'!A:A=A63), 0),0)"),"0")</f>
        <v>0</v>
      </c>
      <c r="H63">
        <f>IFERROR(__xludf.DUMMYFUNCTION("IFERROR(FILTER('VPLData(raw)'!F:F,'VPLData(raw)'!B:B=454,'VPLData(raw)'!A:A=A63),0)"),"0")</f>
        <v>0</v>
      </c>
      <c r="I63">
        <f>IFERROR(__xludf.DUMMYFUNCTION("IFERROR(FILTER('VPLData(raw)'!C:C,'VPLData(raw)'!B:B=457,'VPLData(raw)'!A:A=A63),0)"),"0")</f>
        <v>0</v>
      </c>
      <c r="J63">
        <f>IFERROR(__xludf.DUMMYFUNCTION("IFERROR(IF(I63&gt;0, FILTER('VPLData(raw)'!E:E,'VPLData(raw)'!B:B=457,'VPLData(raw)'!A:A=A63), 0),0)"),"0")</f>
        <v>0</v>
      </c>
      <c r="K63">
        <f>IFERROR(__xludf.DUMMYFUNCTION("IFERROR(FILTER('VPLData(raw)'!F:F,'VPLData(raw)'!B:B=457,'VPLData(raw)'!A:A=A63),0)"),"0")</f>
        <v>0</v>
      </c>
      <c r="L63">
        <f>IFERROR(__xludf.DUMMYFUNCTION("IFERROR(FILTER('VPLData(raw)'!C:C,'VPLData(raw)'!B:B=534,'VPLData(raw)'!A:A=A63),0)"),"0")</f>
        <v>0</v>
      </c>
      <c r="M63">
        <f>IFERROR(__xludf.DUMMYFUNCTION("IFERROR(IF(L63&gt;0, FILTER('VPLData(raw)'!E:E,'VPLData(raw)'!B:B=534,'VPLData(raw)'!A:A=A63), 0),0)"),"0")</f>
        <v>0</v>
      </c>
      <c r="N63">
        <f>IFERROR(__xludf.DUMMYFUNCTION("IFERROR(FILTER('VPLData(raw)'!F:F,'VPLData(raw)'!B:B=534,'VPLData(raw)'!A:A=A63),0)"),"0")</f>
        <v>0</v>
      </c>
      <c r="O63">
        <f>IFERROR(__xludf.DUMMYFUNCTION("IFERROR(FILTER('VPLData(raw)'!C:C,'VPLData(raw)'!B:B=498,'VPLData(raw)'!A:A=A63),0)"),"0")</f>
        <v>0</v>
      </c>
      <c r="P63">
        <f>IFERROR(__xludf.DUMMYFUNCTION("IFERROR(IF(O63&gt;0, FILTER('VPLData(raw)'!E:E,'VPLData(raw)'!B:B=498,'VPLData(raw)'!A:A=A63), 0),0)"),"0")</f>
        <v>0</v>
      </c>
      <c r="Q63">
        <f>IFERROR(__xludf.DUMMYFUNCTION("IFERROR(FILTER('VPLData(raw)'!F:F,'VPLData(raw)'!B:B=498,'VPLData(raw)'!A:A=A63),0)"),"0")</f>
        <v>0</v>
      </c>
      <c r="R63">
        <f>IFERROR(__xludf.DUMMYFUNCTION("IFERROR(FILTER('VPLData(raw)'!C:C,'VPLData(raw)'!B:B=515,'VPLData(raw)'!A:A=A63),0)"),"0")</f>
        <v>0</v>
      </c>
      <c r="S63">
        <f>IFERROR(__xludf.DUMMYFUNCTION("IFERROR(IF(R63&gt;0, FILTER('VPLData(raw)'!E:E,'VPLData(raw)'!B:B=515,'VPLData(raw)'!A:A=A63), 0),0)"),"0")</f>
        <v>0</v>
      </c>
      <c r="T63">
        <f>IFERROR(__xludf.DUMMYFUNCTION("IFERROR(FILTER('VPLData(raw)'!F:F,'VPLData(raw)'!B:B=515,'VPLData(raw)'!A:A=A63),0)"),"0")</f>
        <v>0</v>
      </c>
      <c r="U63">
        <f>IFERROR(__xludf.DUMMYFUNCTION("IFERROR(FILTER('VPLData(raw)'!C:C,'VPLData(raw)'!B:B=528,'VPLData(raw)'!A:A=A63),0)"),"0")</f>
        <v>0</v>
      </c>
      <c r="V63">
        <f>IFERROR(__xludf.DUMMYFUNCTION("IFERROR(IF(U63&gt;0, FILTER('VPLData(raw)'!E:E,'VPLData(raw)'!B:B=528,'VPLData(raw)'!A:A=A63), 0),0)"),"0")</f>
        <v>0</v>
      </c>
      <c r="W63">
        <f>IFERROR(__xludf.DUMMYFUNCTION("IFERROR(FILTER('VPLData(raw)'!F:F,'VPLData(raw)'!B:B=528,'VPLData(raw)'!A:A=A63),0)"),"0")</f>
        <v>0</v>
      </c>
      <c r="X63">
        <f>IFERROR(__xludf.DUMMYFUNCTION("IFERROR(FILTER('VPLData(raw)'!C:C,'VPLData(raw)'!B:B=524,'VPLData(raw)'!A:A=A63),0)"),"0")</f>
        <v>0</v>
      </c>
      <c r="Y63">
        <f>IFERROR(__xludf.DUMMYFUNCTION("IFERROR(IF(X63&gt;0, FILTER('VPLData(raw)'!E:E,'VPLData(raw)'!B:B=524,'VPLData(raw)'!A:A=A63), 0),0)"),"0")</f>
        <v>0</v>
      </c>
      <c r="Z63">
        <f>IFERROR(__xludf.DUMMYFUNCTION("IFERROR(FILTER('VPLData(raw)'!F:F,'VPLData(raw)'!B:B=524,'VPLData(raw)'!A:A=A63),0)"),"0")</f>
        <v>0</v>
      </c>
      <c r="AA63">
        <f>IFERROR(__xludf.DUMMYFUNCTION("IFERROR(FILTER('VPLData(raw)'!C:C,'VPLData(raw)'!B:B=478,'VPLData(raw)'!A:A=A63),0)"),"0")</f>
        <v>0</v>
      </c>
      <c r="AB63">
        <f>IFERROR(__xludf.DUMMYFUNCTION("IFERROR(IF(AA63&gt;0, FILTER('VPLData(raw)'!E:E,'VPLData(raw)'!B:B=478,'VPLData(raw)'!A:A=A63), 0),0)"),"0")</f>
        <v>0</v>
      </c>
      <c r="AC63">
        <f>IFERROR(__xludf.DUMMYFUNCTION("IFERROR(FILTER('VPLData(raw)'!F:F,'VPLData(raw)'!B:B=478,'VPLData(raw)'!A:A=A63),0)"),"0")</f>
        <v>0</v>
      </c>
      <c r="AD63">
        <f>IFERROR(__xludf.DUMMYFUNCTION("IFERROR(FILTER('VPLData(raw)'!C:C,'VPLData(raw)'!B:B=542,'VPLData(raw)'!A:A=A63),0)"),"1499413324")</f>
        <v>1499413324</v>
      </c>
      <c r="AE63">
        <f>IFERROR(__xludf.DUMMYFUNCTION("IFERROR(IF(AD63&gt;0, FILTER('VPLData(raw)'!E:E,'VPLData(raw)'!B:B=542,'VPLData(raw)'!A:A=A63), 0),0)"),"10")</f>
        <v>10</v>
      </c>
      <c r="AF63">
        <f>IFERROR(__xludf.DUMMYFUNCTION("IFERROR(FILTER('VPLData(raw)'!F:F,'VPLData(raw)'!B:B=542,'VPLData(raw)'!A:A=A63),0)"),"871")</f>
        <v>871</v>
      </c>
      <c r="AG63">
        <f>IFERROR(__xludf.DUMMYFUNCTION("IFERROR(FILTER('VPLData(raw)'!C:C,'VPLData(raw)'!B:B=544,'VPLData(raw)'!A:A=A63),0)"),"0")</f>
        <v>0</v>
      </c>
      <c r="AH63">
        <f>IFERROR(__xludf.DUMMYFUNCTION("IFERROR(IF(AG63&gt;0, FILTER('VPLData(raw)'!E:E,'VPLData(raw)'!B:B=544,'VPLData(raw)'!A:A=A63), 0),0)"),"0")</f>
        <v>0</v>
      </c>
      <c r="AI63">
        <f>IFERROR(__xludf.DUMMYFUNCTION("IFERROR(FILTER('VPLData(raw)'!F:F,'VPLData(raw)'!B:B=544,'VPLData(raw)'!A:A=A63),0)"),"0")</f>
        <v>0</v>
      </c>
      <c r="AJ63">
        <f>IFERROR(__xludf.DUMMYFUNCTION("IFERROR(FILTER('VPLData(raw)'!C:C,'VPLData(raw)'!B:B=545,'VPLData(raw)'!A:A=A63),0)"),"0")</f>
        <v>0</v>
      </c>
      <c r="AK63">
        <f>IFERROR(__xludf.DUMMYFUNCTION("IFERROR(IF(AJ63&gt;0, FILTER('VPLData(raw)'!E:E,'VPLData(raw)'!B:B=545,'VPLData(raw)'!A:A=A63), 0),0)"),"0")</f>
        <v>0</v>
      </c>
      <c r="AL63">
        <f>IFERROR(__xludf.DUMMYFUNCTION("IFERROR(FILTER('VPLData(raw)'!F:F,'VPLData(raw)'!B:B=545,'VPLData(raw)'!A:A=A63),0)"),"0")</f>
        <v>0</v>
      </c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5.14"/>
    <col customWidth="1" min="3" max="5" width="10.86"/>
    <col customWidth="1" min="6" max="12" width="4.86"/>
    <col customWidth="1" min="13" max="13" width="10.86"/>
    <col customWidth="1" min="14" max="19" width="8.71"/>
  </cols>
  <sheetData>
    <row r="1" ht="12.75" customHeight="1">
      <c r="A1" s="8" t="s">
        <v>93</v>
      </c>
      <c r="B1" s="9" t="s">
        <v>94</v>
      </c>
      <c r="C1" s="8" t="s">
        <v>95</v>
      </c>
      <c r="D1" s="8" t="s">
        <v>96</v>
      </c>
      <c r="E1" s="8" t="s">
        <v>97</v>
      </c>
      <c r="F1" s="10" t="s">
        <v>276</v>
      </c>
      <c r="G1" s="10" t="s">
        <v>277</v>
      </c>
      <c r="H1" s="10" t="s">
        <v>99</v>
      </c>
      <c r="I1" s="10" t="s">
        <v>100</v>
      </c>
      <c r="J1" s="10" t="s">
        <v>101</v>
      </c>
      <c r="K1" s="10" t="s">
        <v>103</v>
      </c>
      <c r="L1" s="10" t="s">
        <v>105</v>
      </c>
      <c r="M1" s="11" t="s">
        <v>107</v>
      </c>
      <c r="N1" s="12"/>
      <c r="O1" s="12"/>
      <c r="P1" s="12"/>
      <c r="Q1" s="12"/>
      <c r="R1" s="12"/>
      <c r="S1" s="12"/>
    </row>
    <row r="2" ht="12.75" customHeight="1">
      <c r="A2" s="12"/>
      <c r="B2" s="12"/>
      <c r="C2" s="13">
        <v>20.0</v>
      </c>
      <c r="D2" s="14" t="s">
        <v>97</v>
      </c>
      <c r="E2" s="15"/>
      <c r="F2" s="16">
        <v>14.0</v>
      </c>
      <c r="G2" s="16">
        <v>14.0</v>
      </c>
      <c r="H2" s="16">
        <v>22.0</v>
      </c>
      <c r="I2" s="16">
        <v>22.0</v>
      </c>
      <c r="J2" s="16">
        <v>18.0</v>
      </c>
      <c r="K2" s="16">
        <v>56.0</v>
      </c>
      <c r="L2" s="16">
        <v>42.0</v>
      </c>
      <c r="M2" s="12"/>
      <c r="N2" s="12"/>
      <c r="O2" s="12"/>
      <c r="P2" s="12"/>
      <c r="Q2" s="12"/>
      <c r="R2" s="12"/>
      <c r="S2" s="12"/>
    </row>
    <row r="3" ht="12.75" customHeight="1">
      <c r="A3" s="12"/>
      <c r="B3" s="12"/>
      <c r="C3" s="13">
        <f>AVERAGE(C12:C69)</f>
        <v>9.681034483</v>
      </c>
      <c r="D3" s="14" t="s">
        <v>108</v>
      </c>
      <c r="E3" s="15"/>
      <c r="F3" s="17">
        <f t="shared" ref="F3:L3" si="1">AVERAGE(F12:F69)/F2</f>
        <v>0.4642857143</v>
      </c>
      <c r="G3" s="17">
        <f t="shared" si="1"/>
        <v>0.3756157635</v>
      </c>
      <c r="H3" s="17">
        <f t="shared" si="1"/>
        <v>0.4553291536</v>
      </c>
      <c r="I3" s="17">
        <f t="shared" si="1"/>
        <v>0.631661442</v>
      </c>
      <c r="J3" s="17">
        <f t="shared" si="1"/>
        <v>0.2413793103</v>
      </c>
      <c r="K3" s="17">
        <f t="shared" si="1"/>
        <v>0.54341133</v>
      </c>
      <c r="L3" s="17">
        <f t="shared" si="1"/>
        <v>0.539408867</v>
      </c>
      <c r="M3" s="12"/>
      <c r="N3" s="12"/>
      <c r="O3" s="12"/>
      <c r="P3" s="12"/>
      <c r="Q3" s="12"/>
      <c r="R3" s="12"/>
      <c r="S3" s="12"/>
    </row>
    <row r="4" ht="12.75" customHeight="1">
      <c r="A4" s="18"/>
      <c r="B4" s="19" t="s">
        <v>203</v>
      </c>
      <c r="C4" s="20" t="s">
        <v>110</v>
      </c>
      <c r="D4" s="21">
        <f t="shared" ref="D4:D11" si="2">SUM(A4)</f>
        <v>0</v>
      </c>
      <c r="E4" s="21"/>
      <c r="F4" s="21"/>
      <c r="G4" s="21"/>
      <c r="H4" s="21"/>
      <c r="I4" s="21"/>
      <c r="J4" s="21"/>
      <c r="K4" s="21"/>
      <c r="L4" s="21"/>
      <c r="M4" s="22"/>
      <c r="N4" s="12"/>
      <c r="O4" s="12"/>
      <c r="P4" s="12"/>
      <c r="Q4" s="12"/>
      <c r="R4" s="12"/>
      <c r="S4" s="12"/>
    </row>
    <row r="5" ht="12.75" customHeight="1">
      <c r="A5" s="18"/>
      <c r="B5" s="19" t="s">
        <v>109</v>
      </c>
      <c r="C5" s="20" t="s">
        <v>110</v>
      </c>
      <c r="D5" s="21">
        <f t="shared" si="2"/>
        <v>0</v>
      </c>
      <c r="E5" s="21"/>
      <c r="F5" s="21"/>
      <c r="G5" s="21"/>
      <c r="H5" s="21"/>
      <c r="I5" s="21"/>
      <c r="J5" s="21"/>
      <c r="K5" s="21"/>
      <c r="L5" s="21"/>
      <c r="M5" s="22"/>
      <c r="N5" s="12"/>
      <c r="O5" s="12"/>
      <c r="P5" s="12"/>
      <c r="Q5" s="12"/>
      <c r="R5" s="12"/>
      <c r="S5" s="12"/>
    </row>
    <row r="6" ht="12.75" customHeight="1">
      <c r="A6" s="18"/>
      <c r="B6" s="19" t="s">
        <v>111</v>
      </c>
      <c r="C6" s="20" t="s">
        <v>110</v>
      </c>
      <c r="D6" s="21">
        <f t="shared" si="2"/>
        <v>0</v>
      </c>
      <c r="E6" s="21"/>
      <c r="F6" s="21"/>
      <c r="G6" s="21"/>
      <c r="H6" s="21"/>
      <c r="I6" s="21"/>
      <c r="J6" s="21"/>
      <c r="K6" s="21"/>
      <c r="L6" s="21"/>
      <c r="M6" s="22"/>
      <c r="N6" s="12"/>
      <c r="O6" s="12"/>
      <c r="P6" s="12"/>
      <c r="Q6" s="12"/>
      <c r="R6" s="12"/>
      <c r="S6" s="12"/>
    </row>
    <row r="7" ht="12.75" customHeight="1">
      <c r="A7" s="18"/>
      <c r="B7" s="19" t="s">
        <v>234</v>
      </c>
      <c r="C7" s="20" t="s">
        <v>110</v>
      </c>
      <c r="D7" s="21">
        <f t="shared" si="2"/>
        <v>0</v>
      </c>
      <c r="E7" s="21"/>
      <c r="F7" s="21"/>
      <c r="G7" s="21"/>
      <c r="H7" s="21"/>
      <c r="I7" s="21"/>
      <c r="J7" s="21"/>
      <c r="K7" s="21"/>
      <c r="L7" s="21"/>
      <c r="M7" s="22"/>
      <c r="N7" s="12"/>
      <c r="O7" s="12"/>
      <c r="P7" s="12"/>
      <c r="Q7" s="12"/>
      <c r="R7" s="12"/>
      <c r="S7" s="12"/>
    </row>
    <row r="8" ht="12.75" customHeight="1">
      <c r="A8" s="18"/>
      <c r="B8" s="19" t="s">
        <v>178</v>
      </c>
      <c r="C8" s="20" t="s">
        <v>110</v>
      </c>
      <c r="D8" s="21">
        <f t="shared" si="2"/>
        <v>0</v>
      </c>
      <c r="E8" s="21"/>
      <c r="F8" s="21"/>
      <c r="G8" s="21"/>
      <c r="H8" s="21"/>
      <c r="I8" s="21"/>
      <c r="J8" s="21"/>
      <c r="K8" s="21"/>
      <c r="L8" s="21"/>
      <c r="M8" s="22"/>
      <c r="N8" s="12"/>
      <c r="O8" s="12"/>
      <c r="P8" s="12"/>
      <c r="Q8" s="12"/>
      <c r="R8" s="12"/>
      <c r="S8" s="12"/>
    </row>
    <row r="9" ht="12.75" customHeight="1">
      <c r="A9" s="18"/>
      <c r="B9" s="19" t="s">
        <v>167</v>
      </c>
      <c r="C9" s="20" t="s">
        <v>110</v>
      </c>
      <c r="D9" s="21">
        <f t="shared" si="2"/>
        <v>0</v>
      </c>
      <c r="E9" s="21"/>
      <c r="F9" s="21"/>
      <c r="G9" s="21"/>
      <c r="H9" s="21"/>
      <c r="I9" s="21"/>
      <c r="J9" s="21"/>
      <c r="K9" s="21"/>
      <c r="L9" s="21"/>
      <c r="M9" s="22"/>
      <c r="N9" s="12"/>
      <c r="O9" s="12"/>
      <c r="P9" s="12"/>
      <c r="Q9" s="12"/>
      <c r="R9" s="12"/>
      <c r="S9" s="12"/>
    </row>
    <row r="10" ht="12.75" customHeight="1">
      <c r="A10" s="18"/>
      <c r="B10" s="19" t="s">
        <v>150</v>
      </c>
      <c r="C10" s="20" t="s">
        <v>110</v>
      </c>
      <c r="D10" s="21">
        <f t="shared" si="2"/>
        <v>0</v>
      </c>
      <c r="E10" s="21"/>
      <c r="F10" s="21"/>
      <c r="G10" s="21"/>
      <c r="H10" s="21"/>
      <c r="I10" s="21"/>
      <c r="J10" s="21"/>
      <c r="K10" s="21"/>
      <c r="L10" s="21"/>
      <c r="M10" s="22"/>
      <c r="N10" s="12"/>
      <c r="O10" s="12"/>
      <c r="P10" s="12"/>
      <c r="Q10" s="12"/>
      <c r="R10" s="12"/>
      <c r="S10" s="12"/>
    </row>
    <row r="11" ht="12.75" customHeight="1">
      <c r="A11" s="18"/>
      <c r="B11" s="19" t="s">
        <v>112</v>
      </c>
      <c r="C11" s="20" t="s">
        <v>110</v>
      </c>
      <c r="D11" s="21">
        <f t="shared" si="2"/>
        <v>0</v>
      </c>
      <c r="E11" s="21"/>
      <c r="F11" s="21"/>
      <c r="G11" s="21"/>
      <c r="H11" s="21"/>
      <c r="I11" s="21"/>
      <c r="J11" s="21"/>
      <c r="K11" s="21"/>
      <c r="L11" s="21"/>
      <c r="M11" s="22"/>
      <c r="N11" s="12"/>
      <c r="O11" s="12"/>
      <c r="P11" s="12"/>
      <c r="Q11" s="12"/>
      <c r="R11" s="12"/>
      <c r="S11" s="12"/>
    </row>
    <row r="12" ht="12.75" customHeight="1">
      <c r="A12" s="18" t="s">
        <v>198</v>
      </c>
      <c r="B12" s="19" t="s">
        <v>191</v>
      </c>
      <c r="C12" s="13">
        <f t="shared" ref="C12:C69" si="3">IF($C$2&gt;0,MIN($C$2,ROUNDDOWN(D12/E12*$C$2/0.5,0)*0.5),ROUNDDOWN(D12/0.5,0)*0.5)</f>
        <v>3.5</v>
      </c>
      <c r="D12" s="16">
        <f t="shared" ref="D12:D69" si="4">SUM(F12:L12)</f>
        <v>36</v>
      </c>
      <c r="E12" s="16">
        <v>188.0</v>
      </c>
      <c r="F12" s="16">
        <v>0.0</v>
      </c>
      <c r="G12" s="16">
        <v>6.0</v>
      </c>
      <c r="H12" s="16">
        <v>10.0</v>
      </c>
      <c r="I12" s="16">
        <v>0.0</v>
      </c>
      <c r="J12" s="16">
        <v>0.0</v>
      </c>
      <c r="K12" s="16">
        <v>20.0</v>
      </c>
      <c r="L12" s="16">
        <v>0.0</v>
      </c>
      <c r="M12" s="22" t="s">
        <v>191</v>
      </c>
      <c r="N12" s="12"/>
      <c r="O12" s="12"/>
      <c r="P12" s="12"/>
      <c r="Q12" s="12"/>
      <c r="R12" s="12"/>
      <c r="S12" s="12"/>
    </row>
    <row r="13" ht="12.75" customHeight="1">
      <c r="A13" s="18" t="s">
        <v>153</v>
      </c>
      <c r="B13" s="19" t="s">
        <v>123</v>
      </c>
      <c r="C13" s="13">
        <f t="shared" si="3"/>
        <v>3.5</v>
      </c>
      <c r="D13" s="16">
        <f t="shared" si="4"/>
        <v>37</v>
      </c>
      <c r="E13" s="16">
        <v>188.0</v>
      </c>
      <c r="F13" s="16">
        <v>0.0</v>
      </c>
      <c r="G13" s="16">
        <v>0.0</v>
      </c>
      <c r="H13" s="16">
        <v>0.0</v>
      </c>
      <c r="I13" s="16">
        <v>0.0</v>
      </c>
      <c r="J13" s="16">
        <v>8.0</v>
      </c>
      <c r="K13" s="16">
        <v>29.0</v>
      </c>
      <c r="L13" s="16">
        <v>0.0</v>
      </c>
      <c r="M13" s="22" t="s">
        <v>123</v>
      </c>
      <c r="N13" s="12"/>
      <c r="O13" s="12"/>
      <c r="P13" s="12"/>
      <c r="Q13" s="12"/>
      <c r="R13" s="12"/>
      <c r="S13" s="12"/>
    </row>
    <row r="14" ht="12.75" customHeight="1">
      <c r="A14" s="18" t="s">
        <v>179</v>
      </c>
      <c r="B14" s="19" t="s">
        <v>133</v>
      </c>
      <c r="C14" s="13">
        <f t="shared" si="3"/>
        <v>4.5</v>
      </c>
      <c r="D14" s="16">
        <f t="shared" si="4"/>
        <v>43</v>
      </c>
      <c r="E14" s="16">
        <v>188.0</v>
      </c>
      <c r="F14" s="23">
        <v>0.0</v>
      </c>
      <c r="G14" s="23">
        <v>0.0</v>
      </c>
      <c r="H14" s="23">
        <v>0.0</v>
      </c>
      <c r="I14" s="16">
        <v>0.0</v>
      </c>
      <c r="J14" s="23">
        <v>0.0</v>
      </c>
      <c r="K14" s="16">
        <v>16.0</v>
      </c>
      <c r="L14" s="16">
        <v>27.0</v>
      </c>
      <c r="M14" s="22" t="s">
        <v>133</v>
      </c>
      <c r="N14" s="12"/>
      <c r="O14" s="12"/>
      <c r="P14" s="12"/>
      <c r="Q14" s="12"/>
      <c r="R14" s="12"/>
      <c r="S14" s="12"/>
    </row>
    <row r="15" ht="12.75" customHeight="1">
      <c r="A15" s="18" t="s">
        <v>196</v>
      </c>
      <c r="B15" s="19" t="s">
        <v>173</v>
      </c>
      <c r="C15" s="13">
        <f t="shared" si="3"/>
        <v>4.5</v>
      </c>
      <c r="D15" s="16">
        <f t="shared" si="4"/>
        <v>43</v>
      </c>
      <c r="E15" s="16">
        <v>188.0</v>
      </c>
      <c r="F15" s="16">
        <v>0.0</v>
      </c>
      <c r="G15" s="16">
        <v>0.0</v>
      </c>
      <c r="H15" s="16">
        <v>0.0</v>
      </c>
      <c r="I15" s="16">
        <v>0.0</v>
      </c>
      <c r="J15" s="16">
        <v>8.0</v>
      </c>
      <c r="K15" s="16">
        <v>22.0</v>
      </c>
      <c r="L15" s="16">
        <v>13.0</v>
      </c>
      <c r="M15" s="22" t="s">
        <v>173</v>
      </c>
      <c r="N15" s="12"/>
      <c r="O15" s="12"/>
      <c r="P15" s="12"/>
      <c r="Q15" s="12"/>
      <c r="R15" s="12"/>
      <c r="S15" s="12"/>
    </row>
    <row r="16" ht="12.75" customHeight="1">
      <c r="A16" s="18" t="s">
        <v>127</v>
      </c>
      <c r="B16" s="19" t="s">
        <v>245</v>
      </c>
      <c r="C16" s="13">
        <f t="shared" si="3"/>
        <v>5.5</v>
      </c>
      <c r="D16" s="16">
        <f t="shared" si="4"/>
        <v>53</v>
      </c>
      <c r="E16" s="16">
        <v>188.0</v>
      </c>
      <c r="F16" s="23">
        <v>0.0</v>
      </c>
      <c r="G16" s="23">
        <v>0.0</v>
      </c>
      <c r="H16" s="16">
        <v>10.0</v>
      </c>
      <c r="I16" s="16">
        <v>0.0</v>
      </c>
      <c r="J16" s="23">
        <v>0.0</v>
      </c>
      <c r="K16" s="16">
        <v>29.0</v>
      </c>
      <c r="L16" s="16">
        <v>14.0</v>
      </c>
      <c r="M16" s="22" t="s">
        <v>245</v>
      </c>
      <c r="N16" s="12"/>
      <c r="O16" s="12"/>
      <c r="P16" s="12"/>
      <c r="Q16" s="12"/>
      <c r="R16" s="12"/>
      <c r="S16" s="12"/>
    </row>
    <row r="17" ht="12.75" customHeight="1">
      <c r="A17" s="18" t="s">
        <v>233</v>
      </c>
      <c r="B17" s="19" t="s">
        <v>180</v>
      </c>
      <c r="C17" s="13">
        <f t="shared" si="3"/>
        <v>5.5</v>
      </c>
      <c r="D17" s="16">
        <f t="shared" si="4"/>
        <v>55</v>
      </c>
      <c r="E17" s="16">
        <v>188.0</v>
      </c>
      <c r="F17" s="16">
        <v>0.0</v>
      </c>
      <c r="G17" s="23">
        <v>0.0</v>
      </c>
      <c r="H17" s="23">
        <v>0.0</v>
      </c>
      <c r="I17" s="16">
        <v>0.0</v>
      </c>
      <c r="J17" s="23">
        <v>0.0</v>
      </c>
      <c r="K17" s="16">
        <v>29.0</v>
      </c>
      <c r="L17" s="16">
        <v>26.0</v>
      </c>
      <c r="M17" s="22" t="s">
        <v>180</v>
      </c>
      <c r="N17" s="12"/>
      <c r="O17" s="12"/>
      <c r="P17" s="12"/>
      <c r="Q17" s="12"/>
      <c r="R17" s="12"/>
      <c r="S17" s="12"/>
    </row>
    <row r="18" ht="12.75" customHeight="1">
      <c r="A18" s="18" t="s">
        <v>212</v>
      </c>
      <c r="B18" s="19" t="s">
        <v>136</v>
      </c>
      <c r="C18" s="13">
        <f t="shared" si="3"/>
        <v>6.5</v>
      </c>
      <c r="D18" s="16">
        <f t="shared" si="4"/>
        <v>63</v>
      </c>
      <c r="E18" s="16">
        <v>188.0</v>
      </c>
      <c r="F18" s="16">
        <v>7.0</v>
      </c>
      <c r="G18" s="16">
        <v>0.0</v>
      </c>
      <c r="H18" s="16">
        <v>0.0</v>
      </c>
      <c r="I18" s="16">
        <v>0.0</v>
      </c>
      <c r="J18" s="16">
        <v>0.0</v>
      </c>
      <c r="K18" s="16">
        <v>29.0</v>
      </c>
      <c r="L18" s="16">
        <v>27.0</v>
      </c>
      <c r="M18" s="22" t="s">
        <v>136</v>
      </c>
      <c r="N18" s="12"/>
      <c r="O18" s="12"/>
      <c r="P18" s="12"/>
      <c r="Q18" s="12"/>
      <c r="R18" s="12"/>
      <c r="S18" s="12"/>
    </row>
    <row r="19" ht="12.75" customHeight="1">
      <c r="A19" s="18" t="s">
        <v>166</v>
      </c>
      <c r="B19" s="19" t="s">
        <v>254</v>
      </c>
      <c r="C19" s="13">
        <f t="shared" si="3"/>
        <v>6.5</v>
      </c>
      <c r="D19" s="16">
        <f t="shared" si="4"/>
        <v>65</v>
      </c>
      <c r="E19" s="16">
        <v>188.0</v>
      </c>
      <c r="F19" s="16">
        <v>7.0</v>
      </c>
      <c r="G19" s="16">
        <v>6.0</v>
      </c>
      <c r="H19" s="16">
        <v>10.0</v>
      </c>
      <c r="I19" s="16">
        <v>0.0</v>
      </c>
      <c r="J19" s="23">
        <v>0.0</v>
      </c>
      <c r="K19" s="16">
        <v>29.0</v>
      </c>
      <c r="L19" s="16">
        <v>13.0</v>
      </c>
      <c r="M19" s="22" t="s">
        <v>254</v>
      </c>
      <c r="N19" s="12"/>
      <c r="O19" s="12"/>
      <c r="P19" s="12"/>
      <c r="Q19" s="12"/>
      <c r="R19" s="12"/>
      <c r="S19" s="12"/>
    </row>
    <row r="20" ht="12.75" customHeight="1">
      <c r="A20" s="18" t="s">
        <v>255</v>
      </c>
      <c r="B20" s="19" t="s">
        <v>215</v>
      </c>
      <c r="C20" s="13">
        <f t="shared" si="3"/>
        <v>6.5</v>
      </c>
      <c r="D20" s="16">
        <f t="shared" si="4"/>
        <v>63</v>
      </c>
      <c r="E20" s="16">
        <v>188.0</v>
      </c>
      <c r="F20" s="16">
        <v>5.0</v>
      </c>
      <c r="G20" s="16">
        <v>0.0</v>
      </c>
      <c r="H20" s="16">
        <v>0.0</v>
      </c>
      <c r="I20" s="16">
        <v>0.0</v>
      </c>
      <c r="J20" s="16">
        <v>0.0</v>
      </c>
      <c r="K20" s="16">
        <v>47.0</v>
      </c>
      <c r="L20" s="16">
        <v>11.0</v>
      </c>
      <c r="M20" s="22" t="s">
        <v>260</v>
      </c>
      <c r="N20" s="12"/>
      <c r="O20" s="12"/>
      <c r="P20" s="12"/>
      <c r="Q20" s="12"/>
      <c r="R20" s="12"/>
      <c r="S20" s="12"/>
    </row>
    <row r="21" ht="12.75" customHeight="1">
      <c r="A21" s="18" t="s">
        <v>248</v>
      </c>
      <c r="B21" s="19" t="s">
        <v>237</v>
      </c>
      <c r="C21" s="13">
        <f t="shared" si="3"/>
        <v>6.5</v>
      </c>
      <c r="D21" s="16">
        <f t="shared" si="4"/>
        <v>62</v>
      </c>
      <c r="E21" s="16">
        <v>188.0</v>
      </c>
      <c r="F21" s="16">
        <v>7.0</v>
      </c>
      <c r="G21" s="16">
        <v>0.0</v>
      </c>
      <c r="H21" s="16">
        <v>0.0</v>
      </c>
      <c r="I21" s="16">
        <v>0.0</v>
      </c>
      <c r="J21" s="16">
        <v>0.0</v>
      </c>
      <c r="K21" s="16">
        <v>29.0</v>
      </c>
      <c r="L21" s="16">
        <v>26.0</v>
      </c>
      <c r="M21" s="22" t="s">
        <v>237</v>
      </c>
      <c r="N21" s="12"/>
      <c r="O21" s="12"/>
      <c r="P21" s="12"/>
      <c r="Q21" s="12"/>
      <c r="R21" s="12"/>
      <c r="S21" s="12"/>
    </row>
    <row r="22" ht="12.75" customHeight="1">
      <c r="A22" s="18" t="s">
        <v>220</v>
      </c>
      <c r="B22" s="19" t="s">
        <v>184</v>
      </c>
      <c r="C22" s="13">
        <f t="shared" si="3"/>
        <v>7</v>
      </c>
      <c r="D22" s="16">
        <f t="shared" si="4"/>
        <v>66</v>
      </c>
      <c r="E22" s="16">
        <v>188.0</v>
      </c>
      <c r="F22" s="16">
        <v>6.0</v>
      </c>
      <c r="G22" s="23">
        <v>0.0</v>
      </c>
      <c r="H22" s="16">
        <v>10.0</v>
      </c>
      <c r="I22" s="16">
        <v>0.0</v>
      </c>
      <c r="J22" s="16">
        <v>9.0</v>
      </c>
      <c r="K22" s="16">
        <v>29.0</v>
      </c>
      <c r="L22" s="16">
        <v>12.0</v>
      </c>
      <c r="M22" s="22" t="s">
        <v>184</v>
      </c>
      <c r="N22" s="12"/>
      <c r="O22" s="12"/>
      <c r="P22" s="12"/>
      <c r="Q22" s="12"/>
      <c r="R22" s="12"/>
      <c r="S22" s="12"/>
    </row>
    <row r="23" ht="12.75" customHeight="1">
      <c r="A23" s="18" t="s">
        <v>181</v>
      </c>
      <c r="B23" s="19" t="s">
        <v>117</v>
      </c>
      <c r="C23" s="13">
        <f t="shared" si="3"/>
        <v>7.5</v>
      </c>
      <c r="D23" s="16">
        <f t="shared" si="4"/>
        <v>74</v>
      </c>
      <c r="E23" s="16">
        <v>188.0</v>
      </c>
      <c r="F23" s="16">
        <v>0.0</v>
      </c>
      <c r="G23" s="16">
        <v>0.0</v>
      </c>
      <c r="H23" s="16">
        <v>22.0</v>
      </c>
      <c r="I23" s="16">
        <v>22.0</v>
      </c>
      <c r="J23" s="16">
        <v>0.0</v>
      </c>
      <c r="K23" s="16">
        <v>30.0</v>
      </c>
      <c r="L23" s="16">
        <v>0.0</v>
      </c>
      <c r="M23" s="22" t="s">
        <v>118</v>
      </c>
      <c r="N23" s="12"/>
      <c r="O23" s="12"/>
      <c r="P23" s="12"/>
      <c r="Q23" s="12"/>
      <c r="R23" s="12"/>
      <c r="S23" s="12"/>
    </row>
    <row r="24" ht="12.75" customHeight="1">
      <c r="A24" s="18" t="s">
        <v>236</v>
      </c>
      <c r="B24" s="19" t="s">
        <v>210</v>
      </c>
      <c r="C24" s="13">
        <f t="shared" si="3"/>
        <v>7.5</v>
      </c>
      <c r="D24" s="16">
        <f t="shared" si="4"/>
        <v>72</v>
      </c>
      <c r="E24" s="16">
        <v>188.0</v>
      </c>
      <c r="F24" s="23">
        <v>0.0</v>
      </c>
      <c r="G24" s="23">
        <v>0.0</v>
      </c>
      <c r="H24" s="23">
        <v>0.0</v>
      </c>
      <c r="I24" s="16">
        <v>22.0</v>
      </c>
      <c r="J24" s="16">
        <v>8.0</v>
      </c>
      <c r="K24" s="16">
        <v>29.0</v>
      </c>
      <c r="L24" s="16">
        <v>13.0</v>
      </c>
      <c r="M24" s="22" t="s">
        <v>210</v>
      </c>
      <c r="N24" s="12"/>
      <c r="O24" s="12"/>
      <c r="P24" s="12"/>
      <c r="Q24" s="12"/>
      <c r="R24" s="12"/>
      <c r="S24" s="12"/>
    </row>
    <row r="25" ht="12.75" customHeight="1">
      <c r="A25" s="18" t="s">
        <v>158</v>
      </c>
      <c r="B25" s="19" t="s">
        <v>140</v>
      </c>
      <c r="C25" s="13">
        <f t="shared" si="3"/>
        <v>7.5</v>
      </c>
      <c r="D25" s="16">
        <f t="shared" si="4"/>
        <v>72</v>
      </c>
      <c r="E25" s="16">
        <v>188.0</v>
      </c>
      <c r="F25" s="16">
        <v>6.0</v>
      </c>
      <c r="G25" s="16">
        <v>0.0</v>
      </c>
      <c r="H25" s="16">
        <v>10.0</v>
      </c>
      <c r="I25" s="16">
        <v>0.0</v>
      </c>
      <c r="J25" s="16">
        <v>0.0</v>
      </c>
      <c r="K25" s="16">
        <v>29.0</v>
      </c>
      <c r="L25" s="16">
        <v>27.0</v>
      </c>
      <c r="M25" s="22" t="s">
        <v>140</v>
      </c>
      <c r="N25" s="12"/>
      <c r="O25" s="12"/>
      <c r="P25" s="12"/>
      <c r="Q25" s="12"/>
      <c r="R25" s="12"/>
      <c r="S25" s="12"/>
    </row>
    <row r="26" ht="12.75" customHeight="1">
      <c r="A26" s="18" t="s">
        <v>139</v>
      </c>
      <c r="B26" s="19" t="s">
        <v>154</v>
      </c>
      <c r="C26" s="13">
        <f t="shared" si="3"/>
        <v>7.5</v>
      </c>
      <c r="D26" s="16">
        <f t="shared" si="4"/>
        <v>73</v>
      </c>
      <c r="E26" s="16">
        <v>188.0</v>
      </c>
      <c r="F26" s="16">
        <v>0.0</v>
      </c>
      <c r="G26" s="16">
        <v>0.0</v>
      </c>
      <c r="H26" s="16">
        <v>22.0</v>
      </c>
      <c r="I26" s="16">
        <v>22.0</v>
      </c>
      <c r="J26" s="16">
        <v>0.0</v>
      </c>
      <c r="K26" s="16">
        <v>29.0</v>
      </c>
      <c r="L26" s="16">
        <v>0.0</v>
      </c>
      <c r="M26" s="22" t="s">
        <v>154</v>
      </c>
      <c r="N26" s="12"/>
      <c r="O26" s="12"/>
      <c r="P26" s="12"/>
      <c r="Q26" s="12"/>
      <c r="R26" s="12"/>
      <c r="S26" s="12"/>
    </row>
    <row r="27" ht="12.75" customHeight="1">
      <c r="A27" s="18" t="s">
        <v>223</v>
      </c>
      <c r="B27" s="19" t="s">
        <v>147</v>
      </c>
      <c r="C27" s="13">
        <f t="shared" si="3"/>
        <v>7.5</v>
      </c>
      <c r="D27" s="16">
        <f t="shared" si="4"/>
        <v>72</v>
      </c>
      <c r="E27" s="16">
        <v>188.0</v>
      </c>
      <c r="F27" s="16">
        <v>7.0</v>
      </c>
      <c r="G27" s="16">
        <v>6.0</v>
      </c>
      <c r="H27" s="16">
        <v>0.0</v>
      </c>
      <c r="I27" s="16">
        <v>10.0</v>
      </c>
      <c r="J27" s="16">
        <v>8.0</v>
      </c>
      <c r="K27" s="16">
        <v>29.0</v>
      </c>
      <c r="L27" s="16">
        <v>12.0</v>
      </c>
      <c r="M27" s="22" t="s">
        <v>147</v>
      </c>
      <c r="N27" s="12"/>
      <c r="O27" s="12"/>
      <c r="P27" s="12"/>
      <c r="Q27" s="12"/>
      <c r="R27" s="12"/>
      <c r="S27" s="12"/>
    </row>
    <row r="28" ht="12.75" customHeight="1">
      <c r="A28" s="18" t="s">
        <v>119</v>
      </c>
      <c r="B28" s="19" t="s">
        <v>152</v>
      </c>
      <c r="C28" s="13">
        <f t="shared" si="3"/>
        <v>8</v>
      </c>
      <c r="D28" s="16">
        <f t="shared" si="4"/>
        <v>77</v>
      </c>
      <c r="E28" s="16">
        <v>188.0</v>
      </c>
      <c r="F28" s="16">
        <v>0.0</v>
      </c>
      <c r="G28" s="16">
        <v>0.0</v>
      </c>
      <c r="H28" s="16">
        <v>22.0</v>
      </c>
      <c r="I28" s="16">
        <v>0.0</v>
      </c>
      <c r="J28" s="16">
        <v>0.0</v>
      </c>
      <c r="K28" s="16">
        <v>29.0</v>
      </c>
      <c r="L28" s="16">
        <v>26.0</v>
      </c>
      <c r="M28" s="22" t="s">
        <v>152</v>
      </c>
      <c r="N28" s="12"/>
      <c r="O28" s="12"/>
      <c r="P28" s="12"/>
      <c r="Q28" s="12"/>
      <c r="R28" s="12"/>
      <c r="S28" s="12"/>
    </row>
    <row r="29" ht="12.75" customHeight="1">
      <c r="A29" s="18" t="s">
        <v>253</v>
      </c>
      <c r="B29" s="19" t="s">
        <v>142</v>
      </c>
      <c r="C29" s="13">
        <f t="shared" si="3"/>
        <v>8.5</v>
      </c>
      <c r="D29" s="16">
        <f t="shared" si="4"/>
        <v>80</v>
      </c>
      <c r="E29" s="16">
        <v>188.0</v>
      </c>
      <c r="F29" s="16">
        <v>0.0</v>
      </c>
      <c r="G29" s="16">
        <v>7.0</v>
      </c>
      <c r="H29" s="16">
        <v>0.0</v>
      </c>
      <c r="I29" s="16">
        <v>22.0</v>
      </c>
      <c r="J29" s="16">
        <v>18.0</v>
      </c>
      <c r="K29" s="16">
        <v>21.0</v>
      </c>
      <c r="L29" s="16">
        <v>12.0</v>
      </c>
      <c r="M29" s="22" t="s">
        <v>142</v>
      </c>
      <c r="N29" s="12"/>
      <c r="O29" s="12"/>
      <c r="P29" s="12"/>
      <c r="Q29" s="12"/>
      <c r="R29" s="12"/>
      <c r="S29" s="12"/>
    </row>
    <row r="30" ht="12.75" customHeight="1">
      <c r="A30" s="18" t="s">
        <v>116</v>
      </c>
      <c r="B30" s="19" t="s">
        <v>114</v>
      </c>
      <c r="C30" s="13">
        <f t="shared" si="3"/>
        <v>8.5</v>
      </c>
      <c r="D30" s="16">
        <f t="shared" si="4"/>
        <v>84</v>
      </c>
      <c r="E30" s="16">
        <v>188.0</v>
      </c>
      <c r="F30" s="16">
        <v>0.0</v>
      </c>
      <c r="G30" s="16">
        <v>6.0</v>
      </c>
      <c r="H30" s="16">
        <v>0.0</v>
      </c>
      <c r="I30" s="16">
        <v>22.0</v>
      </c>
      <c r="J30" s="16">
        <v>0.0</v>
      </c>
      <c r="K30" s="16">
        <v>29.0</v>
      </c>
      <c r="L30" s="16">
        <v>27.0</v>
      </c>
      <c r="M30" s="22" t="s">
        <v>288</v>
      </c>
      <c r="N30" s="12"/>
      <c r="O30" s="12"/>
      <c r="P30" s="12"/>
      <c r="Q30" s="12"/>
      <c r="R30" s="12"/>
      <c r="S30" s="12"/>
    </row>
    <row r="31" ht="12.75" customHeight="1">
      <c r="A31" s="18" t="s">
        <v>172</v>
      </c>
      <c r="B31" s="19" t="s">
        <v>201</v>
      </c>
      <c r="C31" s="13">
        <f t="shared" si="3"/>
        <v>9</v>
      </c>
      <c r="D31" s="16">
        <f t="shared" si="4"/>
        <v>88</v>
      </c>
      <c r="E31" s="16">
        <v>188.0</v>
      </c>
      <c r="F31" s="16">
        <v>8.0</v>
      </c>
      <c r="G31" s="16">
        <v>8.0</v>
      </c>
      <c r="H31" s="16">
        <v>12.0</v>
      </c>
      <c r="I31" s="16">
        <v>10.0</v>
      </c>
      <c r="J31" s="23">
        <v>0.0</v>
      </c>
      <c r="K31" s="16">
        <v>21.0</v>
      </c>
      <c r="L31" s="16">
        <v>29.0</v>
      </c>
      <c r="M31" s="22" t="s">
        <v>201</v>
      </c>
      <c r="N31" s="12"/>
      <c r="O31" s="12"/>
      <c r="P31" s="12"/>
      <c r="Q31" s="12"/>
      <c r="R31" s="12"/>
      <c r="S31" s="12"/>
    </row>
    <row r="32" ht="12.75" customHeight="1">
      <c r="A32" s="18" t="s">
        <v>257</v>
      </c>
      <c r="B32" s="19" t="s">
        <v>228</v>
      </c>
      <c r="C32" s="13">
        <f t="shared" si="3"/>
        <v>9</v>
      </c>
      <c r="D32" s="16">
        <f t="shared" si="4"/>
        <v>86</v>
      </c>
      <c r="E32" s="16">
        <v>188.0</v>
      </c>
      <c r="F32" s="16">
        <v>7.0</v>
      </c>
      <c r="G32" s="16">
        <v>0.0</v>
      </c>
      <c r="H32" s="16">
        <v>0.0</v>
      </c>
      <c r="I32" s="16">
        <v>0.0</v>
      </c>
      <c r="J32" s="16">
        <v>0.0</v>
      </c>
      <c r="K32" s="16">
        <v>38.0</v>
      </c>
      <c r="L32" s="16">
        <v>41.0</v>
      </c>
      <c r="M32" s="22" t="s">
        <v>228</v>
      </c>
      <c r="N32" s="12"/>
      <c r="O32" s="12"/>
      <c r="P32" s="12"/>
      <c r="Q32" s="12"/>
      <c r="R32" s="12"/>
      <c r="S32" s="12"/>
    </row>
    <row r="33" ht="12.75" customHeight="1">
      <c r="A33" s="18" t="s">
        <v>240</v>
      </c>
      <c r="B33" s="19" t="s">
        <v>241</v>
      </c>
      <c r="C33" s="13">
        <f t="shared" si="3"/>
        <v>9.5</v>
      </c>
      <c r="D33" s="16">
        <f t="shared" si="4"/>
        <v>92</v>
      </c>
      <c r="E33" s="16">
        <v>188.0</v>
      </c>
      <c r="F33" s="16">
        <v>14.0</v>
      </c>
      <c r="G33" s="23">
        <v>0.0</v>
      </c>
      <c r="H33" s="16">
        <v>0.0</v>
      </c>
      <c r="I33" s="16">
        <v>22.0</v>
      </c>
      <c r="J33" s="16">
        <v>0.0</v>
      </c>
      <c r="K33" s="16">
        <v>29.0</v>
      </c>
      <c r="L33" s="16">
        <v>27.0</v>
      </c>
      <c r="M33" s="22" t="s">
        <v>241</v>
      </c>
      <c r="N33" s="12"/>
      <c r="O33" s="12"/>
      <c r="P33" s="12"/>
      <c r="Q33" s="12"/>
      <c r="R33" s="12"/>
      <c r="S33" s="12"/>
    </row>
    <row r="34" ht="12.75" customHeight="1">
      <c r="A34" s="18" t="s">
        <v>149</v>
      </c>
      <c r="B34" s="19" t="s">
        <v>193</v>
      </c>
      <c r="C34" s="13">
        <f t="shared" si="3"/>
        <v>9.5</v>
      </c>
      <c r="D34" s="16">
        <f t="shared" si="4"/>
        <v>90</v>
      </c>
      <c r="E34" s="16">
        <v>188.0</v>
      </c>
      <c r="F34" s="16">
        <v>0.0</v>
      </c>
      <c r="G34" s="16">
        <v>7.0</v>
      </c>
      <c r="H34" s="16">
        <v>10.0</v>
      </c>
      <c r="I34" s="16">
        <v>22.0</v>
      </c>
      <c r="J34" s="16">
        <v>18.0</v>
      </c>
      <c r="K34" s="16">
        <v>21.0</v>
      </c>
      <c r="L34" s="16">
        <v>12.0</v>
      </c>
      <c r="M34" s="22" t="s">
        <v>193</v>
      </c>
      <c r="N34" s="12"/>
      <c r="O34" s="12"/>
      <c r="P34" s="12"/>
      <c r="Q34" s="12"/>
      <c r="R34" s="12"/>
      <c r="S34" s="12"/>
    </row>
    <row r="35" ht="12.75" customHeight="1">
      <c r="A35" s="18" t="s">
        <v>194</v>
      </c>
      <c r="B35" s="19" t="s">
        <v>186</v>
      </c>
      <c r="C35" s="13">
        <f t="shared" si="3"/>
        <v>9.5</v>
      </c>
      <c r="D35" s="16">
        <f t="shared" si="4"/>
        <v>93</v>
      </c>
      <c r="E35" s="16">
        <v>188.0</v>
      </c>
      <c r="F35" s="16">
        <v>14.0</v>
      </c>
      <c r="G35" s="16">
        <v>14.0</v>
      </c>
      <c r="H35" s="16">
        <v>0.0</v>
      </c>
      <c r="I35" s="16">
        <v>22.0</v>
      </c>
      <c r="J35" s="16">
        <v>0.0</v>
      </c>
      <c r="K35" s="16">
        <v>29.0</v>
      </c>
      <c r="L35" s="16">
        <v>14.0</v>
      </c>
      <c r="M35" s="22" t="s">
        <v>187</v>
      </c>
      <c r="N35" s="12"/>
      <c r="O35" s="12"/>
      <c r="P35" s="12"/>
      <c r="Q35" s="12"/>
      <c r="R35" s="12"/>
      <c r="S35" s="12"/>
    </row>
    <row r="36" ht="12.75" customHeight="1">
      <c r="A36" s="18" t="s">
        <v>183</v>
      </c>
      <c r="B36" s="19" t="s">
        <v>224</v>
      </c>
      <c r="C36" s="13">
        <f t="shared" si="3"/>
        <v>10</v>
      </c>
      <c r="D36" s="16">
        <f t="shared" si="4"/>
        <v>94</v>
      </c>
      <c r="E36" s="16">
        <v>188.0</v>
      </c>
      <c r="F36" s="16">
        <v>14.0</v>
      </c>
      <c r="G36" s="16">
        <v>14.0</v>
      </c>
      <c r="H36" s="16">
        <v>0.0</v>
      </c>
      <c r="I36" s="16">
        <v>22.0</v>
      </c>
      <c r="J36" s="16">
        <v>0.0</v>
      </c>
      <c r="K36" s="16">
        <v>30.0</v>
      </c>
      <c r="L36" s="16">
        <v>14.0</v>
      </c>
      <c r="M36" s="22" t="s">
        <v>224</v>
      </c>
      <c r="N36" s="12"/>
      <c r="O36" s="12"/>
      <c r="P36" s="12"/>
      <c r="Q36" s="12"/>
      <c r="R36" s="12"/>
      <c r="S36" s="12"/>
    </row>
    <row r="37" ht="12.75" customHeight="1">
      <c r="A37" s="18" t="s">
        <v>204</v>
      </c>
      <c r="B37" s="19" t="s">
        <v>205</v>
      </c>
      <c r="C37" s="13">
        <f t="shared" si="3"/>
        <v>10</v>
      </c>
      <c r="D37" s="16">
        <f t="shared" si="4"/>
        <v>95</v>
      </c>
      <c r="E37" s="16">
        <v>188.0</v>
      </c>
      <c r="F37" s="16">
        <v>6.0</v>
      </c>
      <c r="G37" s="23">
        <v>0.0</v>
      </c>
      <c r="H37" s="16">
        <v>11.0</v>
      </c>
      <c r="I37" s="16">
        <v>22.0</v>
      </c>
      <c r="J37" s="23">
        <v>0.0</v>
      </c>
      <c r="K37" s="16">
        <v>29.0</v>
      </c>
      <c r="L37" s="16">
        <v>27.0</v>
      </c>
      <c r="M37" s="22" t="s">
        <v>205</v>
      </c>
      <c r="N37" s="12"/>
      <c r="O37" s="12"/>
      <c r="P37" s="12"/>
      <c r="Q37" s="12"/>
      <c r="R37" s="12"/>
      <c r="S37" s="12"/>
    </row>
    <row r="38" ht="12.75" customHeight="1">
      <c r="A38" s="18" t="s">
        <v>122</v>
      </c>
      <c r="B38" s="19" t="s">
        <v>207</v>
      </c>
      <c r="C38" s="13">
        <f t="shared" si="3"/>
        <v>10</v>
      </c>
      <c r="D38" s="16">
        <f t="shared" si="4"/>
        <v>94</v>
      </c>
      <c r="E38" s="16">
        <v>188.0</v>
      </c>
      <c r="F38" s="16">
        <v>14.0</v>
      </c>
      <c r="G38" s="16">
        <v>0.0</v>
      </c>
      <c r="H38" s="16">
        <v>10.0</v>
      </c>
      <c r="I38" s="16">
        <v>22.0</v>
      </c>
      <c r="J38" s="16">
        <v>0.0</v>
      </c>
      <c r="K38" s="16">
        <v>21.0</v>
      </c>
      <c r="L38" s="16">
        <v>27.0</v>
      </c>
      <c r="M38" s="22" t="s">
        <v>207</v>
      </c>
      <c r="N38" s="12"/>
      <c r="O38" s="12"/>
      <c r="P38" s="12"/>
      <c r="Q38" s="12"/>
      <c r="R38" s="12"/>
      <c r="S38" s="12"/>
    </row>
    <row r="39" ht="12.75" customHeight="1">
      <c r="A39" s="18" t="s">
        <v>242</v>
      </c>
      <c r="B39" s="19" t="s">
        <v>189</v>
      </c>
      <c r="C39" s="13">
        <f t="shared" si="3"/>
        <v>10</v>
      </c>
      <c r="D39" s="16">
        <f t="shared" si="4"/>
        <v>98</v>
      </c>
      <c r="E39" s="16">
        <v>188.0</v>
      </c>
      <c r="F39" s="16">
        <v>0.0</v>
      </c>
      <c r="G39" s="16">
        <v>0.0</v>
      </c>
      <c r="H39" s="16">
        <v>22.0</v>
      </c>
      <c r="I39" s="16">
        <v>22.0</v>
      </c>
      <c r="J39" s="16">
        <v>0.0</v>
      </c>
      <c r="K39" s="16">
        <v>29.0</v>
      </c>
      <c r="L39" s="16">
        <v>25.0</v>
      </c>
      <c r="M39" s="22" t="s">
        <v>189</v>
      </c>
      <c r="N39" s="12"/>
      <c r="O39" s="12"/>
      <c r="P39" s="12"/>
      <c r="Q39" s="12"/>
      <c r="R39" s="12"/>
      <c r="S39" s="12"/>
    </row>
    <row r="40" ht="12.75" customHeight="1">
      <c r="A40" s="18" t="s">
        <v>164</v>
      </c>
      <c r="B40" s="19" t="s">
        <v>221</v>
      </c>
      <c r="C40" s="13">
        <f t="shared" si="3"/>
        <v>10</v>
      </c>
      <c r="D40" s="16">
        <f t="shared" si="4"/>
        <v>94</v>
      </c>
      <c r="E40" s="16">
        <v>188.0</v>
      </c>
      <c r="F40" s="16">
        <v>0.0</v>
      </c>
      <c r="G40" s="16">
        <v>0.0</v>
      </c>
      <c r="H40" s="16">
        <v>22.0</v>
      </c>
      <c r="I40" s="16">
        <v>22.0</v>
      </c>
      <c r="J40" s="16">
        <v>8.0</v>
      </c>
      <c r="K40" s="16">
        <v>29.0</v>
      </c>
      <c r="L40" s="16">
        <v>13.0</v>
      </c>
      <c r="M40" s="22" t="s">
        <v>222</v>
      </c>
      <c r="N40" s="12"/>
      <c r="O40" s="12"/>
      <c r="P40" s="12"/>
      <c r="Q40" s="12"/>
      <c r="R40" s="12"/>
      <c r="S40" s="12"/>
    </row>
    <row r="41" ht="12.75" customHeight="1">
      <c r="A41" s="18" t="s">
        <v>175</v>
      </c>
      <c r="B41" s="19" t="s">
        <v>128</v>
      </c>
      <c r="C41" s="13">
        <f t="shared" si="3"/>
        <v>10.5</v>
      </c>
      <c r="D41" s="16">
        <f t="shared" si="4"/>
        <v>102</v>
      </c>
      <c r="E41" s="16">
        <v>188.0</v>
      </c>
      <c r="F41" s="16">
        <v>0.0</v>
      </c>
      <c r="G41" s="23">
        <v>0.0</v>
      </c>
      <c r="H41" s="16">
        <v>22.0</v>
      </c>
      <c r="I41" s="16">
        <v>0.0</v>
      </c>
      <c r="J41" s="16">
        <v>8.0</v>
      </c>
      <c r="K41" s="16">
        <v>30.0</v>
      </c>
      <c r="L41" s="16">
        <v>42.0</v>
      </c>
      <c r="M41" s="22" t="s">
        <v>235</v>
      </c>
      <c r="N41" s="12"/>
      <c r="O41" s="12"/>
      <c r="P41" s="12"/>
      <c r="Q41" s="12"/>
      <c r="R41" s="12"/>
      <c r="S41" s="12"/>
    </row>
    <row r="42" ht="12.75" customHeight="1">
      <c r="A42" s="18" t="s">
        <v>231</v>
      </c>
      <c r="B42" s="19" t="s">
        <v>159</v>
      </c>
      <c r="C42" s="13">
        <f t="shared" si="3"/>
        <v>10.5</v>
      </c>
      <c r="D42" s="16">
        <f t="shared" si="4"/>
        <v>99</v>
      </c>
      <c r="E42" s="16">
        <v>188.0</v>
      </c>
      <c r="F42" s="16">
        <v>6.0</v>
      </c>
      <c r="G42" s="16">
        <v>12.0</v>
      </c>
      <c r="H42" s="16">
        <v>11.0</v>
      </c>
      <c r="I42" s="16">
        <v>0.0</v>
      </c>
      <c r="J42" s="16">
        <v>0.0</v>
      </c>
      <c r="K42" s="16">
        <v>30.0</v>
      </c>
      <c r="L42" s="16">
        <v>40.0</v>
      </c>
      <c r="M42" s="22" t="s">
        <v>159</v>
      </c>
      <c r="N42" s="12"/>
      <c r="O42" s="12"/>
      <c r="P42" s="12"/>
      <c r="Q42" s="12"/>
      <c r="R42" s="12"/>
      <c r="S42" s="12"/>
    </row>
    <row r="43" ht="12.75" customHeight="1">
      <c r="A43" s="18" t="s">
        <v>160</v>
      </c>
      <c r="B43" s="19" t="s">
        <v>163</v>
      </c>
      <c r="C43" s="13">
        <f t="shared" si="3"/>
        <v>10.5</v>
      </c>
      <c r="D43" s="16">
        <f t="shared" si="4"/>
        <v>102</v>
      </c>
      <c r="E43" s="16">
        <v>188.0</v>
      </c>
      <c r="F43" s="16">
        <v>7.0</v>
      </c>
      <c r="G43" s="16">
        <v>6.0</v>
      </c>
      <c r="H43" s="16">
        <v>11.0</v>
      </c>
      <c r="I43" s="16">
        <v>22.0</v>
      </c>
      <c r="J43" s="16">
        <v>0.0</v>
      </c>
      <c r="K43" s="16">
        <v>29.0</v>
      </c>
      <c r="L43" s="16">
        <v>27.0</v>
      </c>
      <c r="M43" s="22" t="s">
        <v>163</v>
      </c>
      <c r="N43" s="12"/>
      <c r="O43" s="12"/>
      <c r="P43" s="12"/>
      <c r="Q43" s="12"/>
      <c r="R43" s="12"/>
      <c r="S43" s="12"/>
    </row>
    <row r="44" ht="12.75" customHeight="1">
      <c r="A44" s="18" t="s">
        <v>132</v>
      </c>
      <c r="B44" s="19" t="s">
        <v>195</v>
      </c>
      <c r="C44" s="13">
        <f t="shared" si="3"/>
        <v>10.5</v>
      </c>
      <c r="D44" s="16">
        <f t="shared" si="4"/>
        <v>103</v>
      </c>
      <c r="E44" s="16">
        <v>188.0</v>
      </c>
      <c r="F44" s="16">
        <v>7.0</v>
      </c>
      <c r="G44" s="16">
        <v>7.0</v>
      </c>
      <c r="H44" s="16">
        <v>10.0</v>
      </c>
      <c r="I44" s="16">
        <v>22.0</v>
      </c>
      <c r="J44" s="16">
        <v>0.0</v>
      </c>
      <c r="K44" s="16">
        <v>29.0</v>
      </c>
      <c r="L44" s="16">
        <v>28.0</v>
      </c>
      <c r="M44" s="22" t="s">
        <v>195</v>
      </c>
      <c r="N44" s="12"/>
      <c r="O44" s="12"/>
      <c r="P44" s="12"/>
      <c r="Q44" s="12"/>
      <c r="R44" s="12"/>
      <c r="S44" s="12"/>
    </row>
    <row r="45" ht="12.75" customHeight="1">
      <c r="A45" s="18" t="s">
        <v>156</v>
      </c>
      <c r="B45" s="19" t="s">
        <v>169</v>
      </c>
      <c r="C45" s="13">
        <f t="shared" si="3"/>
        <v>10.5</v>
      </c>
      <c r="D45" s="16">
        <f t="shared" si="4"/>
        <v>100</v>
      </c>
      <c r="E45" s="16">
        <v>188.0</v>
      </c>
      <c r="F45" s="16">
        <v>13.0</v>
      </c>
      <c r="G45" s="16">
        <v>0.0</v>
      </c>
      <c r="H45" s="16">
        <v>0.0</v>
      </c>
      <c r="I45" s="16">
        <v>22.0</v>
      </c>
      <c r="J45" s="16">
        <v>8.0</v>
      </c>
      <c r="K45" s="16">
        <v>29.0</v>
      </c>
      <c r="L45" s="16">
        <v>28.0</v>
      </c>
      <c r="M45" s="22" t="s">
        <v>169</v>
      </c>
      <c r="N45" s="12"/>
      <c r="O45" s="12"/>
      <c r="P45" s="12"/>
      <c r="Q45" s="12"/>
      <c r="R45" s="12"/>
      <c r="S45" s="12"/>
    </row>
    <row r="46" ht="12.75" customHeight="1">
      <c r="A46" s="18" t="s">
        <v>200</v>
      </c>
      <c r="B46" s="19" t="s">
        <v>125</v>
      </c>
      <c r="C46" s="13">
        <f t="shared" si="3"/>
        <v>10.5</v>
      </c>
      <c r="D46" s="16">
        <f t="shared" si="4"/>
        <v>101</v>
      </c>
      <c r="E46" s="16">
        <v>188.0</v>
      </c>
      <c r="F46" s="16">
        <v>0.0</v>
      </c>
      <c r="G46" s="16">
        <v>0.0</v>
      </c>
      <c r="H46" s="16">
        <v>22.0</v>
      </c>
      <c r="I46" s="16">
        <v>22.0</v>
      </c>
      <c r="J46" s="16">
        <v>0.0</v>
      </c>
      <c r="K46" s="16">
        <v>30.0</v>
      </c>
      <c r="L46" s="16">
        <v>27.0</v>
      </c>
      <c r="M46" s="22" t="s">
        <v>125</v>
      </c>
      <c r="N46" s="12"/>
      <c r="O46" s="12"/>
      <c r="P46" s="12"/>
      <c r="Q46" s="12"/>
      <c r="R46" s="12"/>
      <c r="S46" s="12"/>
    </row>
    <row r="47" ht="12.75" customHeight="1">
      <c r="A47" s="18" t="s">
        <v>229</v>
      </c>
      <c r="B47" s="19" t="s">
        <v>243</v>
      </c>
      <c r="C47" s="13">
        <f t="shared" si="3"/>
        <v>11</v>
      </c>
      <c r="D47" s="16">
        <f t="shared" si="4"/>
        <v>106</v>
      </c>
      <c r="E47" s="16">
        <v>188.0</v>
      </c>
      <c r="F47" s="16">
        <v>14.0</v>
      </c>
      <c r="G47" s="16">
        <v>14.0</v>
      </c>
      <c r="H47" s="16">
        <v>0.0</v>
      </c>
      <c r="I47" s="16">
        <v>22.0</v>
      </c>
      <c r="J47" s="16">
        <v>0.0</v>
      </c>
      <c r="K47" s="16">
        <v>29.0</v>
      </c>
      <c r="L47" s="16">
        <v>27.0</v>
      </c>
      <c r="M47" s="22" t="s">
        <v>243</v>
      </c>
      <c r="N47" s="12"/>
      <c r="O47" s="12"/>
      <c r="P47" s="12"/>
      <c r="Q47" s="12"/>
      <c r="R47" s="12"/>
      <c r="S47" s="12"/>
    </row>
    <row r="48" ht="12.75" customHeight="1">
      <c r="A48" s="18" t="s">
        <v>202</v>
      </c>
      <c r="B48" s="19" t="s">
        <v>251</v>
      </c>
      <c r="C48" s="13">
        <f t="shared" si="3"/>
        <v>11</v>
      </c>
      <c r="D48" s="16">
        <f t="shared" si="4"/>
        <v>106</v>
      </c>
      <c r="E48" s="16">
        <v>188.0</v>
      </c>
      <c r="F48" s="16">
        <v>7.0</v>
      </c>
      <c r="G48" s="16">
        <v>14.0</v>
      </c>
      <c r="H48" s="16">
        <v>0.0</v>
      </c>
      <c r="I48" s="16">
        <v>10.0</v>
      </c>
      <c r="J48" s="16">
        <v>18.0</v>
      </c>
      <c r="K48" s="16">
        <v>29.0</v>
      </c>
      <c r="L48" s="16">
        <v>28.0</v>
      </c>
      <c r="M48" s="22" t="s">
        <v>251</v>
      </c>
      <c r="N48" s="12"/>
      <c r="O48" s="12"/>
      <c r="P48" s="12"/>
      <c r="Q48" s="12"/>
      <c r="R48" s="12"/>
      <c r="S48" s="12"/>
    </row>
    <row r="49" ht="12.75" customHeight="1">
      <c r="A49" s="18" t="s">
        <v>246</v>
      </c>
      <c r="B49" s="19" t="s">
        <v>120</v>
      </c>
      <c r="C49" s="13">
        <f t="shared" si="3"/>
        <v>11</v>
      </c>
      <c r="D49" s="16">
        <f t="shared" si="4"/>
        <v>105</v>
      </c>
      <c r="E49" s="16">
        <v>188.0</v>
      </c>
      <c r="F49" s="16">
        <v>6.0</v>
      </c>
      <c r="G49" s="16">
        <v>14.0</v>
      </c>
      <c r="H49" s="16">
        <v>11.0</v>
      </c>
      <c r="I49" s="16">
        <v>22.0</v>
      </c>
      <c r="J49" s="23">
        <v>0.0</v>
      </c>
      <c r="K49" s="16">
        <v>38.0</v>
      </c>
      <c r="L49" s="16">
        <v>14.0</v>
      </c>
      <c r="M49" s="22" t="s">
        <v>121</v>
      </c>
      <c r="N49" s="12"/>
      <c r="O49" s="12"/>
      <c r="P49" s="12"/>
      <c r="Q49" s="12"/>
      <c r="R49" s="12"/>
      <c r="S49" s="12"/>
    </row>
    <row r="50" ht="12.75" customHeight="1">
      <c r="A50" s="18" t="s">
        <v>217</v>
      </c>
      <c r="B50" s="19" t="s">
        <v>138</v>
      </c>
      <c r="C50" s="13">
        <f t="shared" si="3"/>
        <v>11</v>
      </c>
      <c r="D50" s="16">
        <f t="shared" si="4"/>
        <v>108</v>
      </c>
      <c r="E50" s="16">
        <v>188.0</v>
      </c>
      <c r="F50" s="16">
        <v>14.0</v>
      </c>
      <c r="G50" s="16">
        <v>14.0</v>
      </c>
      <c r="H50" s="16">
        <v>10.0</v>
      </c>
      <c r="I50" s="16">
        <v>22.0</v>
      </c>
      <c r="J50" s="16">
        <v>0.0</v>
      </c>
      <c r="K50" s="16">
        <v>21.0</v>
      </c>
      <c r="L50" s="16">
        <v>27.0</v>
      </c>
      <c r="M50" s="22" t="s">
        <v>275</v>
      </c>
      <c r="N50" s="12"/>
      <c r="O50" s="12"/>
      <c r="P50" s="12"/>
      <c r="Q50" s="12"/>
      <c r="R50" s="12"/>
      <c r="S50" s="12"/>
    </row>
    <row r="51" ht="12.75" customHeight="1">
      <c r="A51" s="18" t="s">
        <v>250</v>
      </c>
      <c r="B51" s="19" t="s">
        <v>249</v>
      </c>
      <c r="C51" s="13">
        <f t="shared" si="3"/>
        <v>11</v>
      </c>
      <c r="D51" s="16">
        <f t="shared" si="4"/>
        <v>107</v>
      </c>
      <c r="E51" s="16">
        <v>188.0</v>
      </c>
      <c r="F51" s="16">
        <v>13.0</v>
      </c>
      <c r="G51" s="16">
        <v>0.0</v>
      </c>
      <c r="H51" s="16">
        <v>10.0</v>
      </c>
      <c r="I51" s="16">
        <v>0.0</v>
      </c>
      <c r="J51" s="16">
        <v>18.0</v>
      </c>
      <c r="K51" s="16">
        <v>39.0</v>
      </c>
      <c r="L51" s="16">
        <v>27.0</v>
      </c>
      <c r="M51" s="22" t="s">
        <v>249</v>
      </c>
      <c r="N51" s="12"/>
      <c r="O51" s="12"/>
      <c r="P51" s="12"/>
      <c r="Q51" s="12"/>
      <c r="R51" s="12"/>
      <c r="S51" s="12"/>
    </row>
    <row r="52" ht="12.75" customHeight="1">
      <c r="A52" s="18" t="s">
        <v>151</v>
      </c>
      <c r="B52" s="19" t="s">
        <v>218</v>
      </c>
      <c r="C52" s="13">
        <f t="shared" si="3"/>
        <v>11</v>
      </c>
      <c r="D52" s="16">
        <f t="shared" si="4"/>
        <v>104</v>
      </c>
      <c r="E52" s="16">
        <v>188.0</v>
      </c>
      <c r="F52" s="16">
        <v>7.0</v>
      </c>
      <c r="G52" s="16">
        <v>0.0</v>
      </c>
      <c r="H52" s="16">
        <v>22.0</v>
      </c>
      <c r="I52" s="16">
        <v>10.0</v>
      </c>
      <c r="J52" s="16">
        <v>8.0</v>
      </c>
      <c r="K52" s="16">
        <v>29.0</v>
      </c>
      <c r="L52" s="16">
        <v>28.0</v>
      </c>
      <c r="M52" s="22" t="s">
        <v>218</v>
      </c>
      <c r="N52" s="12"/>
      <c r="O52" s="12"/>
      <c r="P52" s="12"/>
      <c r="Q52" s="12"/>
      <c r="R52" s="12"/>
      <c r="S52" s="12"/>
    </row>
    <row r="53" ht="12.75" customHeight="1">
      <c r="A53" s="18" t="s">
        <v>226</v>
      </c>
      <c r="B53" s="19" t="s">
        <v>213</v>
      </c>
      <c r="C53" s="13">
        <f t="shared" si="3"/>
        <v>11.5</v>
      </c>
      <c r="D53" s="16">
        <f t="shared" si="4"/>
        <v>111</v>
      </c>
      <c r="E53" s="16">
        <v>188.0</v>
      </c>
      <c r="F53" s="16">
        <v>0.0</v>
      </c>
      <c r="G53" s="16">
        <v>14.0</v>
      </c>
      <c r="H53" s="16">
        <v>10.0</v>
      </c>
      <c r="I53" s="16">
        <v>22.0</v>
      </c>
      <c r="J53" s="16">
        <v>8.0</v>
      </c>
      <c r="K53" s="16">
        <v>29.0</v>
      </c>
      <c r="L53" s="16">
        <v>28.0</v>
      </c>
      <c r="M53" s="22" t="s">
        <v>213</v>
      </c>
      <c r="N53" s="12"/>
      <c r="O53" s="12"/>
      <c r="P53" s="12"/>
      <c r="Q53" s="12"/>
      <c r="R53" s="12"/>
      <c r="S53" s="12"/>
    </row>
    <row r="54" ht="12.75" customHeight="1">
      <c r="A54" s="18" t="s">
        <v>168</v>
      </c>
      <c r="B54" s="19" t="s">
        <v>225</v>
      </c>
      <c r="C54" s="13">
        <f t="shared" si="3"/>
        <v>11.5</v>
      </c>
      <c r="D54" s="16">
        <f t="shared" si="4"/>
        <v>110</v>
      </c>
      <c r="E54" s="16">
        <v>188.0</v>
      </c>
      <c r="F54" s="16">
        <v>12.0</v>
      </c>
      <c r="G54" s="16">
        <v>14.0</v>
      </c>
      <c r="H54" s="16">
        <v>22.0</v>
      </c>
      <c r="I54" s="16">
        <v>22.0</v>
      </c>
      <c r="J54" s="16">
        <v>0.0</v>
      </c>
      <c r="K54" s="16">
        <v>29.0</v>
      </c>
      <c r="L54" s="16">
        <v>11.0</v>
      </c>
      <c r="M54" s="22" t="s">
        <v>225</v>
      </c>
      <c r="N54" s="12"/>
      <c r="O54" s="12"/>
      <c r="P54" s="12"/>
      <c r="Q54" s="12"/>
      <c r="R54" s="12"/>
      <c r="S54" s="12"/>
    </row>
    <row r="55" ht="12.75" customHeight="1">
      <c r="A55" s="18" t="s">
        <v>113</v>
      </c>
      <c r="B55" s="19" t="s">
        <v>176</v>
      </c>
      <c r="C55" s="13">
        <f t="shared" si="3"/>
        <v>11.5</v>
      </c>
      <c r="D55" s="16">
        <f t="shared" si="4"/>
        <v>112</v>
      </c>
      <c r="E55" s="16">
        <v>188.0</v>
      </c>
      <c r="F55" s="16">
        <v>6.0</v>
      </c>
      <c r="G55" s="16">
        <v>14.0</v>
      </c>
      <c r="H55" s="16">
        <v>10.0</v>
      </c>
      <c r="I55" s="16">
        <v>22.0</v>
      </c>
      <c r="J55" s="16">
        <v>8.0</v>
      </c>
      <c r="K55" s="16">
        <v>38.0</v>
      </c>
      <c r="L55" s="16">
        <v>14.0</v>
      </c>
      <c r="M55" s="22" t="s">
        <v>176</v>
      </c>
      <c r="N55" s="12"/>
      <c r="O55" s="12"/>
      <c r="P55" s="12"/>
      <c r="Q55" s="12"/>
      <c r="R55" s="12"/>
      <c r="S55" s="12"/>
    </row>
    <row r="56" ht="12.75" customHeight="1">
      <c r="A56" s="18" t="s">
        <v>143</v>
      </c>
      <c r="B56" s="19" t="s">
        <v>144</v>
      </c>
      <c r="C56" s="13">
        <f t="shared" si="3"/>
        <v>11.5</v>
      </c>
      <c r="D56" s="16">
        <f t="shared" si="4"/>
        <v>109</v>
      </c>
      <c r="E56" s="16">
        <v>188.0</v>
      </c>
      <c r="F56" s="16">
        <v>14.0</v>
      </c>
      <c r="G56" s="16">
        <v>0.0</v>
      </c>
      <c r="H56" s="16">
        <v>0.0</v>
      </c>
      <c r="I56" s="16">
        <v>22.0</v>
      </c>
      <c r="J56" s="16">
        <v>18.0</v>
      </c>
      <c r="K56" s="16">
        <v>29.0</v>
      </c>
      <c r="L56" s="16">
        <v>26.0</v>
      </c>
      <c r="M56" s="22" t="s">
        <v>261</v>
      </c>
      <c r="N56" s="12"/>
      <c r="O56" s="12"/>
      <c r="P56" s="12"/>
      <c r="Q56" s="12"/>
      <c r="R56" s="12"/>
      <c r="S56" s="12"/>
    </row>
    <row r="57" ht="12.75" customHeight="1">
      <c r="A57" s="18" t="s">
        <v>137</v>
      </c>
      <c r="B57" s="19" t="s">
        <v>239</v>
      </c>
      <c r="C57" s="13">
        <f t="shared" si="3"/>
        <v>11.5</v>
      </c>
      <c r="D57" s="16">
        <f t="shared" si="4"/>
        <v>111</v>
      </c>
      <c r="E57" s="16">
        <v>188.0</v>
      </c>
      <c r="F57" s="16">
        <v>14.0</v>
      </c>
      <c r="G57" s="16">
        <v>0.0</v>
      </c>
      <c r="H57" s="16">
        <v>22.0</v>
      </c>
      <c r="I57" s="16">
        <v>0.0</v>
      </c>
      <c r="J57" s="16">
        <v>8.0</v>
      </c>
      <c r="K57" s="16">
        <v>56.0</v>
      </c>
      <c r="L57" s="16">
        <v>11.0</v>
      </c>
      <c r="M57" s="22" t="s">
        <v>239</v>
      </c>
      <c r="N57" s="12"/>
      <c r="O57" s="12"/>
      <c r="P57" s="12"/>
      <c r="Q57" s="12"/>
      <c r="R57" s="12"/>
      <c r="S57" s="12"/>
    </row>
    <row r="58" ht="12.75" customHeight="1">
      <c r="A58" s="18" t="s">
        <v>188</v>
      </c>
      <c r="B58" s="19" t="s">
        <v>197</v>
      </c>
      <c r="C58" s="13">
        <f t="shared" si="3"/>
        <v>12</v>
      </c>
      <c r="D58" s="16">
        <f t="shared" si="4"/>
        <v>113</v>
      </c>
      <c r="E58" s="16">
        <v>188.0</v>
      </c>
      <c r="F58" s="16">
        <v>0.0</v>
      </c>
      <c r="G58" s="16">
        <v>6.0</v>
      </c>
      <c r="H58" s="16">
        <v>22.0</v>
      </c>
      <c r="I58" s="16">
        <v>22.0</v>
      </c>
      <c r="J58" s="16">
        <v>7.0</v>
      </c>
      <c r="K58" s="16">
        <v>29.0</v>
      </c>
      <c r="L58" s="16">
        <v>27.0</v>
      </c>
      <c r="M58" s="22" t="s">
        <v>197</v>
      </c>
      <c r="N58" s="12"/>
      <c r="O58" s="12"/>
      <c r="P58" s="12"/>
      <c r="Q58" s="12"/>
      <c r="R58" s="12"/>
      <c r="S58" s="12"/>
    </row>
    <row r="59" ht="12.75" customHeight="1">
      <c r="A59" s="18" t="s">
        <v>244</v>
      </c>
      <c r="B59" s="19" t="s">
        <v>247</v>
      </c>
      <c r="C59" s="13">
        <f t="shared" si="3"/>
        <v>12</v>
      </c>
      <c r="D59" s="16">
        <f t="shared" si="4"/>
        <v>115</v>
      </c>
      <c r="E59" s="16">
        <v>188.0</v>
      </c>
      <c r="F59" s="16">
        <v>7.0</v>
      </c>
      <c r="G59" s="16">
        <v>0.0</v>
      </c>
      <c r="H59" s="16">
        <v>11.0</v>
      </c>
      <c r="I59" s="16">
        <v>22.0</v>
      </c>
      <c r="J59" s="16">
        <v>18.0</v>
      </c>
      <c r="K59" s="16">
        <v>29.0</v>
      </c>
      <c r="L59" s="16">
        <v>28.0</v>
      </c>
      <c r="M59" s="22" t="s">
        <v>247</v>
      </c>
      <c r="N59" s="12"/>
      <c r="O59" s="12"/>
      <c r="P59" s="12"/>
      <c r="Q59" s="12"/>
      <c r="R59" s="12"/>
      <c r="S59" s="12"/>
    </row>
    <row r="60" ht="12.75" customHeight="1">
      <c r="A60" s="18" t="s">
        <v>162</v>
      </c>
      <c r="B60" s="19" t="s">
        <v>157</v>
      </c>
      <c r="C60" s="13">
        <f t="shared" si="3"/>
        <v>12</v>
      </c>
      <c r="D60" s="16">
        <f t="shared" si="4"/>
        <v>117</v>
      </c>
      <c r="E60" s="16">
        <v>188.0</v>
      </c>
      <c r="F60" s="16">
        <v>12.0</v>
      </c>
      <c r="G60" s="16">
        <v>0.0</v>
      </c>
      <c r="H60" s="16">
        <v>22.0</v>
      </c>
      <c r="I60" s="16">
        <v>22.0</v>
      </c>
      <c r="J60" s="16">
        <v>8.0</v>
      </c>
      <c r="K60" s="16">
        <v>29.0</v>
      </c>
      <c r="L60" s="16">
        <v>24.0</v>
      </c>
      <c r="M60" s="22" t="s">
        <v>157</v>
      </c>
      <c r="N60" s="12"/>
      <c r="O60" s="12"/>
      <c r="P60" s="12"/>
      <c r="Q60" s="12"/>
      <c r="R60" s="12"/>
      <c r="S60" s="12"/>
    </row>
    <row r="61" ht="12.75" customHeight="1">
      <c r="A61" s="18" t="s">
        <v>170</v>
      </c>
      <c r="B61" s="19" t="s">
        <v>227</v>
      </c>
      <c r="C61" s="13">
        <f t="shared" si="3"/>
        <v>12.5</v>
      </c>
      <c r="D61" s="16">
        <f t="shared" si="4"/>
        <v>122</v>
      </c>
      <c r="E61" s="16">
        <v>188.0</v>
      </c>
      <c r="F61" s="16">
        <v>14.0</v>
      </c>
      <c r="G61" s="16">
        <v>14.0</v>
      </c>
      <c r="H61" s="16">
        <v>10.0</v>
      </c>
      <c r="I61" s="16">
        <v>22.0</v>
      </c>
      <c r="J61" s="16">
        <v>8.0</v>
      </c>
      <c r="K61" s="16">
        <v>29.0</v>
      </c>
      <c r="L61" s="16">
        <v>25.0</v>
      </c>
      <c r="M61" s="22" t="s">
        <v>227</v>
      </c>
      <c r="N61" s="12"/>
      <c r="O61" s="12"/>
      <c r="P61" s="12"/>
      <c r="Q61" s="12"/>
      <c r="R61" s="12"/>
      <c r="S61" s="12"/>
    </row>
    <row r="62" ht="12.75" customHeight="1">
      <c r="A62" s="18" t="s">
        <v>177</v>
      </c>
      <c r="B62" s="19" t="s">
        <v>131</v>
      </c>
      <c r="C62" s="13">
        <f t="shared" si="3"/>
        <v>12.5</v>
      </c>
      <c r="D62" s="16">
        <f t="shared" si="4"/>
        <v>118</v>
      </c>
      <c r="E62" s="16">
        <v>188.0</v>
      </c>
      <c r="F62" s="16">
        <v>7.0</v>
      </c>
      <c r="G62" s="16">
        <v>0.0</v>
      </c>
      <c r="H62" s="16">
        <v>22.0</v>
      </c>
      <c r="I62" s="16">
        <v>0.0</v>
      </c>
      <c r="J62" s="16">
        <v>0.0</v>
      </c>
      <c r="K62" s="16">
        <v>47.0</v>
      </c>
      <c r="L62" s="16">
        <v>42.0</v>
      </c>
      <c r="M62" s="22" t="s">
        <v>131</v>
      </c>
      <c r="N62" s="12"/>
      <c r="O62" s="12"/>
      <c r="P62" s="12"/>
      <c r="Q62" s="12"/>
      <c r="R62" s="12"/>
      <c r="S62" s="12"/>
    </row>
    <row r="63" ht="12.75" customHeight="1">
      <c r="A63" s="18" t="s">
        <v>238</v>
      </c>
      <c r="B63" s="19" t="s">
        <v>171</v>
      </c>
      <c r="C63" s="13">
        <f t="shared" si="3"/>
        <v>12.5</v>
      </c>
      <c r="D63" s="16">
        <f t="shared" si="4"/>
        <v>118</v>
      </c>
      <c r="E63" s="16">
        <v>188.0</v>
      </c>
      <c r="F63" s="16">
        <v>13.0</v>
      </c>
      <c r="G63" s="16">
        <v>13.0</v>
      </c>
      <c r="H63" s="16">
        <v>0.0</v>
      </c>
      <c r="I63" s="16">
        <v>22.0</v>
      </c>
      <c r="J63" s="16">
        <v>0.0</v>
      </c>
      <c r="K63" s="16">
        <v>29.0</v>
      </c>
      <c r="L63" s="16">
        <v>41.0</v>
      </c>
      <c r="M63" s="22" t="s">
        <v>171</v>
      </c>
      <c r="N63" s="12"/>
      <c r="O63" s="12"/>
      <c r="P63" s="12"/>
      <c r="Q63" s="12"/>
      <c r="R63" s="12"/>
      <c r="S63" s="12"/>
    </row>
    <row r="64" ht="12.75" customHeight="1">
      <c r="A64" s="18" t="s">
        <v>206</v>
      </c>
      <c r="B64" s="19" t="s">
        <v>199</v>
      </c>
      <c r="C64" s="13">
        <f t="shared" si="3"/>
        <v>13</v>
      </c>
      <c r="D64" s="16">
        <f t="shared" si="4"/>
        <v>124</v>
      </c>
      <c r="E64" s="16">
        <v>188.0</v>
      </c>
      <c r="F64" s="16">
        <v>14.0</v>
      </c>
      <c r="G64" s="16">
        <v>14.0</v>
      </c>
      <c r="H64" s="16">
        <v>22.0</v>
      </c>
      <c r="I64" s="16">
        <v>18.0</v>
      </c>
      <c r="J64" s="16">
        <v>0.0</v>
      </c>
      <c r="K64" s="16">
        <v>29.0</v>
      </c>
      <c r="L64" s="16">
        <v>27.0</v>
      </c>
      <c r="M64" s="22" t="s">
        <v>199</v>
      </c>
      <c r="N64" s="12"/>
      <c r="O64" s="12"/>
      <c r="P64" s="12"/>
      <c r="Q64" s="12"/>
      <c r="R64" s="12"/>
      <c r="S64" s="12"/>
    </row>
    <row r="65" ht="12.75" customHeight="1">
      <c r="A65" s="18" t="s">
        <v>146</v>
      </c>
      <c r="B65" s="19" t="s">
        <v>182</v>
      </c>
      <c r="C65" s="13">
        <f t="shared" si="3"/>
        <v>13.5</v>
      </c>
      <c r="D65" s="16">
        <f t="shared" si="4"/>
        <v>129</v>
      </c>
      <c r="E65" s="16">
        <v>188.0</v>
      </c>
      <c r="F65" s="16">
        <v>14.0</v>
      </c>
      <c r="G65" s="16">
        <v>14.0</v>
      </c>
      <c r="H65" s="16">
        <v>0.0</v>
      </c>
      <c r="I65" s="16">
        <v>22.0</v>
      </c>
      <c r="J65" s="16">
        <v>8.0</v>
      </c>
      <c r="K65" s="16">
        <v>29.0</v>
      </c>
      <c r="L65" s="16">
        <v>42.0</v>
      </c>
      <c r="M65" s="22" t="s">
        <v>182</v>
      </c>
      <c r="N65" s="12"/>
      <c r="O65" s="12"/>
      <c r="P65" s="12"/>
      <c r="Q65" s="12"/>
      <c r="R65" s="12"/>
      <c r="S65" s="12"/>
    </row>
    <row r="66" ht="12.75" customHeight="1">
      <c r="A66" s="18" t="s">
        <v>185</v>
      </c>
      <c r="B66" s="19" t="s">
        <v>161</v>
      </c>
      <c r="C66" s="13">
        <f t="shared" si="3"/>
        <v>13.5</v>
      </c>
      <c r="D66" s="16">
        <f t="shared" si="4"/>
        <v>128</v>
      </c>
      <c r="E66" s="16">
        <v>188.0</v>
      </c>
      <c r="F66" s="16">
        <v>14.0</v>
      </c>
      <c r="G66" s="16">
        <v>14.0</v>
      </c>
      <c r="H66" s="16">
        <v>22.0</v>
      </c>
      <c r="I66" s="16">
        <v>22.0</v>
      </c>
      <c r="J66" s="23">
        <v>0.0</v>
      </c>
      <c r="K66" s="16">
        <v>56.0</v>
      </c>
      <c r="L66" s="23">
        <v>0.0</v>
      </c>
      <c r="M66" s="22" t="s">
        <v>161</v>
      </c>
      <c r="N66" s="12"/>
      <c r="O66" s="12"/>
      <c r="P66" s="12"/>
      <c r="Q66" s="12"/>
      <c r="R66" s="12"/>
      <c r="S66" s="12"/>
    </row>
    <row r="67" ht="12.75" customHeight="1">
      <c r="A67" s="18" t="s">
        <v>135</v>
      </c>
      <c r="B67" s="19" t="s">
        <v>230</v>
      </c>
      <c r="C67" s="13">
        <f t="shared" si="3"/>
        <v>13.5</v>
      </c>
      <c r="D67" s="16">
        <f t="shared" si="4"/>
        <v>127</v>
      </c>
      <c r="E67" s="16">
        <v>188.0</v>
      </c>
      <c r="F67" s="16">
        <v>0.0</v>
      </c>
      <c r="G67" s="16">
        <v>13.0</v>
      </c>
      <c r="H67" s="16">
        <v>22.0</v>
      </c>
      <c r="I67" s="16">
        <v>22.0</v>
      </c>
      <c r="J67" s="23">
        <v>0.0</v>
      </c>
      <c r="K67" s="16">
        <v>29.0</v>
      </c>
      <c r="L67" s="16">
        <v>41.0</v>
      </c>
      <c r="M67" s="22" t="s">
        <v>230</v>
      </c>
      <c r="N67" s="12"/>
      <c r="O67" s="12"/>
      <c r="P67" s="12"/>
      <c r="Q67" s="12"/>
      <c r="R67" s="12"/>
      <c r="S67" s="12"/>
    </row>
    <row r="68" ht="12.75" customHeight="1">
      <c r="A68" s="18" t="s">
        <v>130</v>
      </c>
      <c r="B68" s="19" t="s">
        <v>232</v>
      </c>
      <c r="C68" s="13">
        <f t="shared" si="3"/>
        <v>14.5</v>
      </c>
      <c r="D68" s="16">
        <f t="shared" si="4"/>
        <v>139</v>
      </c>
      <c r="E68" s="16">
        <v>188.0</v>
      </c>
      <c r="F68" s="16">
        <v>6.0</v>
      </c>
      <c r="G68" s="16">
        <v>6.0</v>
      </c>
      <c r="H68" s="16">
        <v>22.0</v>
      </c>
      <c r="I68" s="16">
        <v>22.0</v>
      </c>
      <c r="J68" s="16">
        <v>8.0</v>
      </c>
      <c r="K68" s="16">
        <v>48.0</v>
      </c>
      <c r="L68" s="16">
        <v>27.0</v>
      </c>
      <c r="M68" s="22" t="s">
        <v>232</v>
      </c>
      <c r="N68" s="12"/>
      <c r="O68" s="12"/>
      <c r="P68" s="12"/>
      <c r="Q68" s="12"/>
      <c r="R68" s="12"/>
      <c r="S68" s="12"/>
    </row>
    <row r="69" ht="12.75" customHeight="1">
      <c r="A69" s="18" t="s">
        <v>192</v>
      </c>
      <c r="B69" s="19" t="s">
        <v>165</v>
      </c>
      <c r="C69" s="13">
        <f t="shared" si="3"/>
        <v>14.5</v>
      </c>
      <c r="D69" s="16">
        <f t="shared" si="4"/>
        <v>140</v>
      </c>
      <c r="E69" s="16">
        <v>188.0</v>
      </c>
      <c r="F69" s="16">
        <v>14.0</v>
      </c>
      <c r="G69" s="16">
        <v>14.0</v>
      </c>
      <c r="H69" s="16">
        <v>10.0</v>
      </c>
      <c r="I69" s="16">
        <v>22.0</v>
      </c>
      <c r="J69" s="16">
        <v>8.0</v>
      </c>
      <c r="K69" s="16">
        <v>30.0</v>
      </c>
      <c r="L69" s="16">
        <v>42.0</v>
      </c>
      <c r="M69" s="22" t="s">
        <v>165</v>
      </c>
      <c r="N69" s="12"/>
      <c r="O69" s="12"/>
      <c r="P69" s="12"/>
      <c r="Q69" s="12"/>
      <c r="R69" s="12"/>
      <c r="S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</sheetData>
  <mergeCells count="2">
    <mergeCell ref="D2:E2"/>
    <mergeCell ref="D3:E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5.14"/>
    <col customWidth="1" min="3" max="5" width="10.86"/>
    <col customWidth="1" min="6" max="12" width="4.86"/>
    <col customWidth="1" min="13" max="13" width="10.86"/>
    <col customWidth="1" min="14" max="19" width="8.71"/>
  </cols>
  <sheetData>
    <row r="1" ht="12.75" customHeight="1">
      <c r="A1" s="8" t="s">
        <v>93</v>
      </c>
      <c r="B1" s="9" t="s">
        <v>94</v>
      </c>
      <c r="C1" s="8" t="s">
        <v>95</v>
      </c>
      <c r="D1" s="8" t="s">
        <v>96</v>
      </c>
      <c r="E1" s="8" t="s">
        <v>97</v>
      </c>
      <c r="F1" s="10" t="s">
        <v>276</v>
      </c>
      <c r="G1" s="10" t="s">
        <v>277</v>
      </c>
      <c r="H1" s="10" t="s">
        <v>99</v>
      </c>
      <c r="I1" s="10" t="s">
        <v>100</v>
      </c>
      <c r="J1" s="10" t="s">
        <v>101</v>
      </c>
      <c r="K1" s="10" t="s">
        <v>103</v>
      </c>
      <c r="L1" s="10" t="s">
        <v>105</v>
      </c>
      <c r="M1" s="11" t="s">
        <v>107</v>
      </c>
      <c r="N1" s="12"/>
      <c r="O1" s="12"/>
      <c r="P1" s="12"/>
      <c r="Q1" s="12"/>
      <c r="R1" s="12"/>
      <c r="S1" s="12"/>
    </row>
    <row r="2" ht="12.75" customHeight="1">
      <c r="A2" s="12"/>
      <c r="B2" s="12"/>
      <c r="C2" s="13">
        <v>20.0</v>
      </c>
      <c r="D2" s="14" t="s">
        <v>97</v>
      </c>
      <c r="E2" s="15"/>
      <c r="F2" s="16">
        <v>14.0</v>
      </c>
      <c r="G2" s="16">
        <v>14.0</v>
      </c>
      <c r="H2" s="16">
        <v>18.0</v>
      </c>
      <c r="I2" s="16">
        <v>14.0</v>
      </c>
      <c r="J2" s="16">
        <v>18.0</v>
      </c>
      <c r="K2" s="16">
        <v>56.0</v>
      </c>
      <c r="L2" s="16">
        <v>78.0</v>
      </c>
      <c r="M2" s="12"/>
      <c r="N2" s="12"/>
      <c r="O2" s="12"/>
      <c r="P2" s="12"/>
      <c r="Q2" s="12"/>
      <c r="R2" s="12"/>
      <c r="S2" s="12"/>
    </row>
    <row r="3" ht="12.75" customHeight="1">
      <c r="A3" s="12"/>
      <c r="B3" s="12"/>
      <c r="C3" s="13">
        <f>AVERAGE(C19:C69)</f>
        <v>11.19607843</v>
      </c>
      <c r="D3" s="14" t="s">
        <v>108</v>
      </c>
      <c r="E3" s="15"/>
      <c r="F3" s="17">
        <f t="shared" ref="F3:L3" si="1">AVERAGE(F19:F69)/F2</f>
        <v>0.4243697479</v>
      </c>
      <c r="G3" s="17">
        <f t="shared" si="1"/>
        <v>0.3095238095</v>
      </c>
      <c r="H3" s="17">
        <f t="shared" si="1"/>
        <v>0.2723311547</v>
      </c>
      <c r="I3" s="17">
        <f t="shared" si="1"/>
        <v>0.380952381</v>
      </c>
      <c r="J3" s="17">
        <f t="shared" si="1"/>
        <v>0.2298474946</v>
      </c>
      <c r="K3" s="17">
        <f t="shared" si="1"/>
        <v>0.6869747899</v>
      </c>
      <c r="L3" s="17">
        <f t="shared" si="1"/>
        <v>0.7478632479</v>
      </c>
      <c r="M3" s="12"/>
      <c r="N3" s="12"/>
      <c r="O3" s="12"/>
      <c r="P3" s="12"/>
      <c r="Q3" s="12"/>
      <c r="R3" s="12"/>
      <c r="S3" s="12"/>
    </row>
    <row r="4" ht="12.75" customHeight="1">
      <c r="A4" s="18"/>
      <c r="B4" s="19" t="s">
        <v>161</v>
      </c>
      <c r="C4" s="20" t="s">
        <v>110</v>
      </c>
      <c r="D4" s="21">
        <f t="shared" ref="D4:D18" si="2">SUM(A4)</f>
        <v>0</v>
      </c>
      <c r="E4" s="21"/>
      <c r="F4" s="21"/>
      <c r="G4" s="21"/>
      <c r="H4" s="21"/>
      <c r="I4" s="21"/>
      <c r="J4" s="21"/>
      <c r="K4" s="21"/>
      <c r="L4" s="21"/>
      <c r="M4" s="22"/>
      <c r="N4" s="12"/>
      <c r="O4" s="12"/>
      <c r="P4" s="12"/>
      <c r="Q4" s="12"/>
      <c r="R4" s="12"/>
      <c r="S4" s="12"/>
    </row>
    <row r="5" ht="12.75" customHeight="1">
      <c r="A5" s="18"/>
      <c r="B5" s="19" t="s">
        <v>227</v>
      </c>
      <c r="C5" s="20" t="s">
        <v>110</v>
      </c>
      <c r="D5" s="21">
        <f t="shared" si="2"/>
        <v>0</v>
      </c>
      <c r="E5" s="21"/>
      <c r="F5" s="21"/>
      <c r="G5" s="21"/>
      <c r="H5" s="21"/>
      <c r="I5" s="21"/>
      <c r="J5" s="21"/>
      <c r="K5" s="21"/>
      <c r="L5" s="21"/>
      <c r="M5" s="22"/>
      <c r="N5" s="12"/>
      <c r="O5" s="12"/>
      <c r="P5" s="12"/>
      <c r="Q5" s="12"/>
      <c r="R5" s="12"/>
      <c r="S5" s="12"/>
    </row>
    <row r="6" ht="12.75" customHeight="1">
      <c r="A6" s="18"/>
      <c r="B6" s="19" t="s">
        <v>171</v>
      </c>
      <c r="C6" s="20" t="s">
        <v>110</v>
      </c>
      <c r="D6" s="21">
        <f t="shared" si="2"/>
        <v>0</v>
      </c>
      <c r="E6" s="21"/>
      <c r="F6" s="21"/>
      <c r="G6" s="21"/>
      <c r="H6" s="21"/>
      <c r="I6" s="21"/>
      <c r="J6" s="21"/>
      <c r="K6" s="21"/>
      <c r="L6" s="21"/>
      <c r="M6" s="22"/>
      <c r="N6" s="12"/>
      <c r="O6" s="12"/>
      <c r="P6" s="12"/>
      <c r="Q6" s="12"/>
      <c r="R6" s="12"/>
      <c r="S6" s="12"/>
    </row>
    <row r="7" ht="12.75" customHeight="1">
      <c r="A7" s="18"/>
      <c r="B7" s="19" t="s">
        <v>133</v>
      </c>
      <c r="C7" s="20" t="s">
        <v>110</v>
      </c>
      <c r="D7" s="21">
        <f t="shared" si="2"/>
        <v>0</v>
      </c>
      <c r="E7" s="21"/>
      <c r="F7" s="21"/>
      <c r="G7" s="21"/>
      <c r="H7" s="21"/>
      <c r="I7" s="21"/>
      <c r="J7" s="21"/>
      <c r="K7" s="21"/>
      <c r="L7" s="21"/>
      <c r="M7" s="22"/>
      <c r="N7" s="12"/>
      <c r="O7" s="12"/>
      <c r="P7" s="12"/>
      <c r="Q7" s="12"/>
      <c r="R7" s="12"/>
      <c r="S7" s="12"/>
    </row>
    <row r="8" ht="12.75" customHeight="1">
      <c r="A8" s="18"/>
      <c r="B8" s="19" t="s">
        <v>163</v>
      </c>
      <c r="C8" s="20" t="s">
        <v>110</v>
      </c>
      <c r="D8" s="21">
        <f t="shared" si="2"/>
        <v>0</v>
      </c>
      <c r="E8" s="21"/>
      <c r="F8" s="21"/>
      <c r="G8" s="21"/>
      <c r="H8" s="21"/>
      <c r="I8" s="21"/>
      <c r="J8" s="21"/>
      <c r="K8" s="21"/>
      <c r="L8" s="21"/>
      <c r="M8" s="22"/>
      <c r="N8" s="12"/>
      <c r="O8" s="12"/>
      <c r="P8" s="12"/>
      <c r="Q8" s="12"/>
      <c r="R8" s="12"/>
      <c r="S8" s="12"/>
    </row>
    <row r="9" ht="12.75" customHeight="1">
      <c r="A9" s="18"/>
      <c r="B9" s="19" t="s">
        <v>138</v>
      </c>
      <c r="C9" s="20" t="s">
        <v>110</v>
      </c>
      <c r="D9" s="21">
        <f t="shared" si="2"/>
        <v>0</v>
      </c>
      <c r="E9" s="21"/>
      <c r="F9" s="21"/>
      <c r="G9" s="21"/>
      <c r="H9" s="21"/>
      <c r="I9" s="21"/>
      <c r="J9" s="21"/>
      <c r="K9" s="21"/>
      <c r="L9" s="21"/>
      <c r="M9" s="22"/>
      <c r="N9" s="12"/>
      <c r="O9" s="12"/>
      <c r="P9" s="12"/>
      <c r="Q9" s="12"/>
      <c r="R9" s="12"/>
      <c r="S9" s="12"/>
    </row>
    <row r="10" ht="12.75" customHeight="1">
      <c r="A10" s="18"/>
      <c r="B10" s="19" t="s">
        <v>109</v>
      </c>
      <c r="C10" s="20" t="s">
        <v>110</v>
      </c>
      <c r="D10" s="21">
        <f t="shared" si="2"/>
        <v>0</v>
      </c>
      <c r="E10" s="21"/>
      <c r="F10" s="21"/>
      <c r="G10" s="21"/>
      <c r="H10" s="21"/>
      <c r="I10" s="21"/>
      <c r="J10" s="21"/>
      <c r="K10" s="21"/>
      <c r="L10" s="21"/>
      <c r="M10" s="22"/>
      <c r="N10" s="12"/>
      <c r="O10" s="12"/>
      <c r="P10" s="12"/>
      <c r="Q10" s="12"/>
      <c r="R10" s="12"/>
      <c r="S10" s="12"/>
    </row>
    <row r="11" ht="12.75" customHeight="1">
      <c r="A11" s="18"/>
      <c r="B11" s="19" t="s">
        <v>225</v>
      </c>
      <c r="C11" s="20" t="s">
        <v>110</v>
      </c>
      <c r="D11" s="21">
        <f t="shared" si="2"/>
        <v>0</v>
      </c>
      <c r="E11" s="21"/>
      <c r="F11" s="21"/>
      <c r="G11" s="21"/>
      <c r="H11" s="21"/>
      <c r="I11" s="21"/>
      <c r="J11" s="21"/>
      <c r="K11" s="21"/>
      <c r="L11" s="21"/>
      <c r="M11" s="22"/>
      <c r="N11" s="12"/>
      <c r="O11" s="12"/>
      <c r="P11" s="12"/>
      <c r="Q11" s="12"/>
      <c r="R11" s="12"/>
      <c r="S11" s="12"/>
    </row>
    <row r="12" ht="12.75" customHeight="1">
      <c r="A12" s="18"/>
      <c r="B12" s="19" t="s">
        <v>111</v>
      </c>
      <c r="C12" s="20" t="s">
        <v>110</v>
      </c>
      <c r="D12" s="21">
        <f t="shared" si="2"/>
        <v>0</v>
      </c>
      <c r="E12" s="21"/>
      <c r="F12" s="21"/>
      <c r="G12" s="21"/>
      <c r="H12" s="21"/>
      <c r="I12" s="21"/>
      <c r="J12" s="21"/>
      <c r="K12" s="21"/>
      <c r="L12" s="21"/>
      <c r="M12" s="22"/>
      <c r="N12" s="12"/>
      <c r="O12" s="12"/>
      <c r="P12" s="12"/>
      <c r="Q12" s="12"/>
      <c r="R12" s="12"/>
      <c r="S12" s="12"/>
    </row>
    <row r="13" ht="12.75" customHeight="1">
      <c r="A13" s="18"/>
      <c r="B13" s="19" t="s">
        <v>165</v>
      </c>
      <c r="C13" s="20" t="s">
        <v>110</v>
      </c>
      <c r="D13" s="21">
        <f t="shared" si="2"/>
        <v>0</v>
      </c>
      <c r="E13" s="21"/>
      <c r="F13" s="21"/>
      <c r="G13" s="21"/>
      <c r="H13" s="21"/>
      <c r="I13" s="21"/>
      <c r="J13" s="21"/>
      <c r="K13" s="21"/>
      <c r="L13" s="21"/>
      <c r="M13" s="22"/>
      <c r="N13" s="12"/>
      <c r="O13" s="12"/>
      <c r="P13" s="12"/>
      <c r="Q13" s="12"/>
      <c r="R13" s="12"/>
      <c r="S13" s="12"/>
    </row>
    <row r="14" ht="12.75" customHeight="1">
      <c r="A14" s="18"/>
      <c r="B14" s="19" t="s">
        <v>234</v>
      </c>
      <c r="C14" s="20" t="s">
        <v>110</v>
      </c>
      <c r="D14" s="21">
        <f t="shared" si="2"/>
        <v>0</v>
      </c>
      <c r="E14" s="21"/>
      <c r="F14" s="21"/>
      <c r="G14" s="21"/>
      <c r="H14" s="21"/>
      <c r="I14" s="21"/>
      <c r="J14" s="21"/>
      <c r="K14" s="21"/>
      <c r="L14" s="21"/>
      <c r="M14" s="22"/>
      <c r="N14" s="12"/>
      <c r="O14" s="12"/>
      <c r="P14" s="12"/>
      <c r="Q14" s="12"/>
      <c r="R14" s="12"/>
      <c r="S14" s="12"/>
    </row>
    <row r="15" ht="12.75" customHeight="1">
      <c r="A15" s="18"/>
      <c r="B15" s="19" t="s">
        <v>178</v>
      </c>
      <c r="C15" s="20" t="s">
        <v>110</v>
      </c>
      <c r="D15" s="21">
        <f t="shared" si="2"/>
        <v>0</v>
      </c>
      <c r="E15" s="21"/>
      <c r="F15" s="21"/>
      <c r="G15" s="21"/>
      <c r="H15" s="21"/>
      <c r="I15" s="21"/>
      <c r="J15" s="21"/>
      <c r="K15" s="21"/>
      <c r="L15" s="21"/>
      <c r="M15" s="22"/>
      <c r="N15" s="12"/>
      <c r="O15" s="12"/>
      <c r="P15" s="12"/>
      <c r="Q15" s="12"/>
      <c r="R15" s="12"/>
      <c r="S15" s="12"/>
    </row>
    <row r="16" ht="12.75" customHeight="1">
      <c r="A16" s="18"/>
      <c r="B16" s="19" t="s">
        <v>167</v>
      </c>
      <c r="C16" s="20" t="s">
        <v>110</v>
      </c>
      <c r="D16" s="21">
        <f t="shared" si="2"/>
        <v>0</v>
      </c>
      <c r="E16" s="21"/>
      <c r="F16" s="21"/>
      <c r="G16" s="21"/>
      <c r="H16" s="21"/>
      <c r="I16" s="21"/>
      <c r="J16" s="21"/>
      <c r="K16" s="21"/>
      <c r="L16" s="21"/>
      <c r="M16" s="22"/>
      <c r="N16" s="12"/>
      <c r="O16" s="12"/>
      <c r="P16" s="12"/>
      <c r="Q16" s="12"/>
      <c r="R16" s="12"/>
      <c r="S16" s="12"/>
    </row>
    <row r="17" ht="12.75" customHeight="1">
      <c r="A17" s="18"/>
      <c r="B17" s="19" t="s">
        <v>112</v>
      </c>
      <c r="C17" s="20" t="s">
        <v>110</v>
      </c>
      <c r="D17" s="21">
        <f t="shared" si="2"/>
        <v>0</v>
      </c>
      <c r="E17" s="21"/>
      <c r="F17" s="21"/>
      <c r="G17" s="21"/>
      <c r="H17" s="21"/>
      <c r="I17" s="21"/>
      <c r="J17" s="21"/>
      <c r="K17" s="21"/>
      <c r="L17" s="21"/>
      <c r="M17" s="22"/>
      <c r="N17" s="12"/>
      <c r="O17" s="12"/>
      <c r="P17" s="12"/>
      <c r="Q17" s="12"/>
      <c r="R17" s="12"/>
      <c r="S17" s="12"/>
    </row>
    <row r="18" ht="12.75" customHeight="1">
      <c r="A18" s="18"/>
      <c r="B18" s="19" t="s">
        <v>125</v>
      </c>
      <c r="C18" s="20" t="s">
        <v>110</v>
      </c>
      <c r="D18" s="21">
        <f t="shared" si="2"/>
        <v>0</v>
      </c>
      <c r="E18" s="21"/>
      <c r="F18" s="21"/>
      <c r="G18" s="21"/>
      <c r="H18" s="21"/>
      <c r="I18" s="21"/>
      <c r="J18" s="21"/>
      <c r="K18" s="21"/>
      <c r="L18" s="21"/>
      <c r="M18" s="22"/>
      <c r="N18" s="12"/>
      <c r="O18" s="12"/>
      <c r="P18" s="12"/>
      <c r="Q18" s="12"/>
      <c r="R18" s="12"/>
      <c r="S18" s="12"/>
    </row>
    <row r="19" ht="12.75" customHeight="1">
      <c r="A19" s="18" t="s">
        <v>175</v>
      </c>
      <c r="B19" s="19" t="s">
        <v>131</v>
      </c>
      <c r="C19" s="13">
        <f t="shared" ref="C19:C69" si="3">IF($C$2&gt;0,MIN($C$2,ROUNDDOWN(D19/E19*$C$2/0.5,0)*0.5),ROUNDDOWN(D19/0.5,0)*0.5)</f>
        <v>5</v>
      </c>
      <c r="D19" s="16">
        <f t="shared" ref="D19:D69" si="4">SUM(F19:L19)</f>
        <v>56</v>
      </c>
      <c r="E19" s="16">
        <v>212.0</v>
      </c>
      <c r="F19" s="23">
        <v>0.0</v>
      </c>
      <c r="G19" s="23">
        <v>0.0</v>
      </c>
      <c r="H19" s="23">
        <v>0.0</v>
      </c>
      <c r="I19" s="23">
        <v>0.0</v>
      </c>
      <c r="J19" s="23">
        <v>0.0</v>
      </c>
      <c r="K19" s="16">
        <v>56.0</v>
      </c>
      <c r="L19" s="23">
        <v>0.0</v>
      </c>
      <c r="M19" s="22" t="s">
        <v>131</v>
      </c>
      <c r="N19" s="12"/>
      <c r="O19" s="12"/>
      <c r="P19" s="12"/>
      <c r="Q19" s="12"/>
      <c r="R19" s="12"/>
      <c r="S19" s="12"/>
    </row>
    <row r="20" ht="12.75" customHeight="1">
      <c r="A20" s="18" t="s">
        <v>168</v>
      </c>
      <c r="B20" s="19" t="s">
        <v>247</v>
      </c>
      <c r="C20" s="13">
        <f t="shared" si="3"/>
        <v>5</v>
      </c>
      <c r="D20" s="16">
        <f t="shared" si="4"/>
        <v>56</v>
      </c>
      <c r="E20" s="16">
        <v>212.0</v>
      </c>
      <c r="F20" s="23">
        <v>0.0</v>
      </c>
      <c r="G20" s="23">
        <v>0.0</v>
      </c>
      <c r="H20" s="23">
        <v>0.0</v>
      </c>
      <c r="I20" s="23">
        <v>0.0</v>
      </c>
      <c r="J20" s="23">
        <v>0.0</v>
      </c>
      <c r="K20" s="16">
        <v>56.0</v>
      </c>
      <c r="L20" s="23">
        <v>0.0</v>
      </c>
      <c r="M20" s="22" t="s">
        <v>247</v>
      </c>
      <c r="N20" s="12"/>
      <c r="O20" s="12"/>
      <c r="P20" s="12"/>
      <c r="Q20" s="12"/>
      <c r="R20" s="12"/>
      <c r="S20" s="12"/>
    </row>
    <row r="21" ht="12.75" customHeight="1">
      <c r="A21" s="18" t="s">
        <v>158</v>
      </c>
      <c r="B21" s="19" t="s">
        <v>128</v>
      </c>
      <c r="C21" s="13">
        <f t="shared" si="3"/>
        <v>6</v>
      </c>
      <c r="D21" s="16">
        <f t="shared" si="4"/>
        <v>67</v>
      </c>
      <c r="E21" s="16">
        <v>212.0</v>
      </c>
      <c r="F21" s="23">
        <v>0.0</v>
      </c>
      <c r="G21" s="16">
        <v>0.0</v>
      </c>
      <c r="H21" s="16">
        <v>0.0</v>
      </c>
      <c r="I21" s="16">
        <v>6.0</v>
      </c>
      <c r="J21" s="23">
        <v>0.0</v>
      </c>
      <c r="K21" s="16">
        <v>11.0</v>
      </c>
      <c r="L21" s="16">
        <v>50.0</v>
      </c>
      <c r="M21" s="22" t="s">
        <v>235</v>
      </c>
      <c r="N21" s="12"/>
      <c r="O21" s="12"/>
      <c r="P21" s="12"/>
      <c r="Q21" s="12"/>
      <c r="R21" s="12"/>
      <c r="S21" s="12"/>
    </row>
    <row r="22" ht="12.75" customHeight="1">
      <c r="A22" s="18" t="s">
        <v>233</v>
      </c>
      <c r="B22" s="19" t="s">
        <v>157</v>
      </c>
      <c r="C22" s="13">
        <f t="shared" si="3"/>
        <v>6</v>
      </c>
      <c r="D22" s="16">
        <f t="shared" si="4"/>
        <v>68</v>
      </c>
      <c r="E22" s="16">
        <v>212.0</v>
      </c>
      <c r="F22" s="16">
        <v>0.0</v>
      </c>
      <c r="G22" s="23">
        <v>0.0</v>
      </c>
      <c r="H22" s="16">
        <v>8.0</v>
      </c>
      <c r="I22" s="16">
        <v>0.0</v>
      </c>
      <c r="J22" s="16">
        <v>8.0</v>
      </c>
      <c r="K22" s="16">
        <v>2.0</v>
      </c>
      <c r="L22" s="16">
        <v>50.0</v>
      </c>
      <c r="M22" s="22" t="s">
        <v>157</v>
      </c>
      <c r="N22" s="12"/>
      <c r="O22" s="12"/>
      <c r="P22" s="12"/>
      <c r="Q22" s="12"/>
      <c r="R22" s="12"/>
      <c r="S22" s="12"/>
    </row>
    <row r="23" ht="12.75" customHeight="1">
      <c r="A23" s="18" t="s">
        <v>236</v>
      </c>
      <c r="B23" s="19" t="s">
        <v>147</v>
      </c>
      <c r="C23" s="13">
        <f t="shared" si="3"/>
        <v>6</v>
      </c>
      <c r="D23" s="16">
        <f t="shared" si="4"/>
        <v>67</v>
      </c>
      <c r="E23" s="16">
        <v>212.0</v>
      </c>
      <c r="F23" s="16">
        <v>0.0</v>
      </c>
      <c r="G23" s="16">
        <v>7.0</v>
      </c>
      <c r="H23" s="16">
        <v>0.0</v>
      </c>
      <c r="I23" s="16">
        <v>6.0</v>
      </c>
      <c r="J23" s="16">
        <v>0.0</v>
      </c>
      <c r="K23" s="16">
        <v>2.0</v>
      </c>
      <c r="L23" s="16">
        <v>52.0</v>
      </c>
      <c r="M23" s="22" t="s">
        <v>147</v>
      </c>
      <c r="N23" s="12"/>
      <c r="O23" s="12"/>
      <c r="P23" s="12"/>
      <c r="Q23" s="12"/>
      <c r="R23" s="12"/>
      <c r="S23" s="12"/>
    </row>
    <row r="24" ht="12.75" customHeight="1">
      <c r="A24" s="18" t="s">
        <v>151</v>
      </c>
      <c r="B24" s="19" t="s">
        <v>123</v>
      </c>
      <c r="C24" s="13">
        <f t="shared" si="3"/>
        <v>6.5</v>
      </c>
      <c r="D24" s="16">
        <f t="shared" si="4"/>
        <v>73</v>
      </c>
      <c r="E24" s="16">
        <v>212.0</v>
      </c>
      <c r="F24" s="16">
        <v>7.0</v>
      </c>
      <c r="G24" s="16">
        <v>0.0</v>
      </c>
      <c r="H24" s="16">
        <v>0.0</v>
      </c>
      <c r="I24" s="16">
        <v>6.0</v>
      </c>
      <c r="J24" s="16">
        <v>0.0</v>
      </c>
      <c r="K24" s="16">
        <v>21.0</v>
      </c>
      <c r="L24" s="16">
        <v>39.0</v>
      </c>
      <c r="M24" s="22" t="s">
        <v>123</v>
      </c>
      <c r="N24" s="12"/>
      <c r="O24" s="12"/>
      <c r="P24" s="12"/>
      <c r="Q24" s="12"/>
      <c r="R24" s="12"/>
      <c r="S24" s="12"/>
    </row>
    <row r="25" ht="12.75" customHeight="1">
      <c r="A25" s="18" t="s">
        <v>212</v>
      </c>
      <c r="B25" s="19" t="s">
        <v>173</v>
      </c>
      <c r="C25" s="13">
        <f t="shared" si="3"/>
        <v>6.5</v>
      </c>
      <c r="D25" s="16">
        <f t="shared" si="4"/>
        <v>74</v>
      </c>
      <c r="E25" s="16">
        <v>212.0</v>
      </c>
      <c r="F25" s="16">
        <v>0.0</v>
      </c>
      <c r="G25" s="16">
        <v>6.0</v>
      </c>
      <c r="H25" s="16">
        <v>0.0</v>
      </c>
      <c r="I25" s="16">
        <v>0.0</v>
      </c>
      <c r="J25" s="16">
        <v>0.0</v>
      </c>
      <c r="K25" s="16">
        <v>29.0</v>
      </c>
      <c r="L25" s="16">
        <v>39.0</v>
      </c>
      <c r="M25" s="22" t="s">
        <v>173</v>
      </c>
      <c r="N25" s="12"/>
      <c r="O25" s="12"/>
      <c r="P25" s="12"/>
      <c r="Q25" s="12"/>
      <c r="R25" s="12"/>
      <c r="S25" s="12"/>
    </row>
    <row r="26" ht="12.75" customHeight="1">
      <c r="A26" s="18" t="s">
        <v>181</v>
      </c>
      <c r="B26" s="19" t="s">
        <v>154</v>
      </c>
      <c r="C26" s="13">
        <f t="shared" si="3"/>
        <v>8</v>
      </c>
      <c r="D26" s="16">
        <f t="shared" si="4"/>
        <v>90</v>
      </c>
      <c r="E26" s="16">
        <v>212.0</v>
      </c>
      <c r="F26" s="16">
        <v>5.0</v>
      </c>
      <c r="G26" s="16">
        <v>5.0</v>
      </c>
      <c r="H26" s="16">
        <v>0.0</v>
      </c>
      <c r="I26" s="16">
        <v>0.0</v>
      </c>
      <c r="J26" s="16">
        <v>0.0</v>
      </c>
      <c r="K26" s="16">
        <v>56.0</v>
      </c>
      <c r="L26" s="16">
        <v>24.0</v>
      </c>
      <c r="M26" s="22" t="s">
        <v>258</v>
      </c>
      <c r="N26" s="12"/>
      <c r="O26" s="12"/>
      <c r="P26" s="12"/>
      <c r="Q26" s="12"/>
      <c r="R26" s="12"/>
      <c r="S26" s="12"/>
    </row>
    <row r="27" ht="12.75" customHeight="1">
      <c r="A27" s="18" t="s">
        <v>149</v>
      </c>
      <c r="B27" s="19" t="s">
        <v>199</v>
      </c>
      <c r="C27" s="13">
        <f t="shared" si="3"/>
        <v>8.5</v>
      </c>
      <c r="D27" s="16">
        <f t="shared" si="4"/>
        <v>92</v>
      </c>
      <c r="E27" s="16">
        <v>212.0</v>
      </c>
      <c r="F27" s="16">
        <v>14.0</v>
      </c>
      <c r="G27" s="16">
        <v>0.0</v>
      </c>
      <c r="H27" s="16">
        <v>8.0</v>
      </c>
      <c r="I27" s="16">
        <v>6.0</v>
      </c>
      <c r="J27" s="16">
        <v>0.0</v>
      </c>
      <c r="K27" s="16">
        <v>12.0</v>
      </c>
      <c r="L27" s="16">
        <v>52.0</v>
      </c>
      <c r="M27" s="22" t="s">
        <v>289</v>
      </c>
      <c r="N27" s="12"/>
      <c r="O27" s="12"/>
      <c r="P27" s="12"/>
      <c r="Q27" s="12"/>
      <c r="R27" s="12"/>
      <c r="S27" s="12"/>
    </row>
    <row r="28" ht="12.75" customHeight="1">
      <c r="A28" s="18" t="s">
        <v>164</v>
      </c>
      <c r="B28" s="19" t="s">
        <v>228</v>
      </c>
      <c r="C28" s="13">
        <f t="shared" si="3"/>
        <v>8.5</v>
      </c>
      <c r="D28" s="16">
        <f t="shared" si="4"/>
        <v>95</v>
      </c>
      <c r="E28" s="16">
        <v>212.0</v>
      </c>
      <c r="F28" s="16">
        <v>6.0</v>
      </c>
      <c r="G28" s="16">
        <v>0.0</v>
      </c>
      <c r="H28" s="16">
        <v>9.0</v>
      </c>
      <c r="I28" s="16">
        <v>0.0</v>
      </c>
      <c r="J28" s="16">
        <v>0.0</v>
      </c>
      <c r="K28" s="16">
        <v>2.0</v>
      </c>
      <c r="L28" s="16">
        <v>78.0</v>
      </c>
      <c r="M28" s="22" t="s">
        <v>228</v>
      </c>
      <c r="N28" s="12"/>
      <c r="O28" s="12"/>
      <c r="P28" s="12"/>
      <c r="Q28" s="12"/>
      <c r="R28" s="12"/>
      <c r="S28" s="12"/>
    </row>
    <row r="29" ht="12.75" customHeight="1">
      <c r="A29" s="18" t="s">
        <v>172</v>
      </c>
      <c r="B29" s="19" t="s">
        <v>117</v>
      </c>
      <c r="C29" s="13">
        <f t="shared" si="3"/>
        <v>9</v>
      </c>
      <c r="D29" s="16">
        <f t="shared" si="4"/>
        <v>97</v>
      </c>
      <c r="E29" s="16">
        <v>212.0</v>
      </c>
      <c r="F29" s="16">
        <v>13.0</v>
      </c>
      <c r="G29" s="16">
        <v>5.0</v>
      </c>
      <c r="H29" s="16">
        <v>0.0</v>
      </c>
      <c r="I29" s="16">
        <v>0.0</v>
      </c>
      <c r="J29" s="16">
        <v>7.0</v>
      </c>
      <c r="K29" s="16">
        <v>48.0</v>
      </c>
      <c r="L29" s="16">
        <v>24.0</v>
      </c>
      <c r="M29" s="22" t="s">
        <v>118</v>
      </c>
      <c r="N29" s="12"/>
      <c r="O29" s="12"/>
      <c r="P29" s="12"/>
      <c r="Q29" s="12"/>
      <c r="R29" s="12"/>
      <c r="S29" s="12"/>
    </row>
    <row r="30" ht="12.75" customHeight="1">
      <c r="A30" s="18" t="s">
        <v>146</v>
      </c>
      <c r="B30" s="19" t="s">
        <v>120</v>
      </c>
      <c r="C30" s="13">
        <f t="shared" si="3"/>
        <v>9</v>
      </c>
      <c r="D30" s="16">
        <f t="shared" si="4"/>
        <v>99</v>
      </c>
      <c r="E30" s="16">
        <v>212.0</v>
      </c>
      <c r="F30" s="16">
        <v>8.0</v>
      </c>
      <c r="G30" s="16">
        <v>8.0</v>
      </c>
      <c r="H30" s="24">
        <v>0.0</v>
      </c>
      <c r="I30" s="16">
        <v>8.0</v>
      </c>
      <c r="J30" s="16">
        <v>10.0</v>
      </c>
      <c r="K30" s="16">
        <v>0.0</v>
      </c>
      <c r="L30" s="16">
        <v>65.0</v>
      </c>
      <c r="M30" s="22" t="s">
        <v>121</v>
      </c>
      <c r="N30" s="12"/>
      <c r="O30" s="12"/>
      <c r="P30" s="12"/>
      <c r="Q30" s="12"/>
      <c r="R30" s="12"/>
      <c r="S30" s="12"/>
    </row>
    <row r="31" ht="12.75" customHeight="1">
      <c r="A31" s="18" t="s">
        <v>188</v>
      </c>
      <c r="B31" s="19" t="s">
        <v>210</v>
      </c>
      <c r="C31" s="13">
        <f t="shared" si="3"/>
        <v>9</v>
      </c>
      <c r="D31" s="16">
        <f t="shared" si="4"/>
        <v>99</v>
      </c>
      <c r="E31" s="16">
        <v>212.0</v>
      </c>
      <c r="F31" s="16">
        <v>0.0</v>
      </c>
      <c r="G31" s="16">
        <v>14.0</v>
      </c>
      <c r="H31" s="16">
        <v>0.0</v>
      </c>
      <c r="I31" s="16">
        <v>0.0</v>
      </c>
      <c r="J31" s="16">
        <v>9.0</v>
      </c>
      <c r="K31" s="16">
        <v>38.0</v>
      </c>
      <c r="L31" s="16">
        <v>38.0</v>
      </c>
      <c r="M31" s="22" t="s">
        <v>210</v>
      </c>
      <c r="N31" s="12"/>
      <c r="O31" s="12"/>
      <c r="P31" s="12"/>
      <c r="Q31" s="12"/>
      <c r="R31" s="12"/>
      <c r="S31" s="12"/>
    </row>
    <row r="32" ht="12.75" customHeight="1">
      <c r="A32" s="18" t="s">
        <v>231</v>
      </c>
      <c r="B32" s="19" t="s">
        <v>114</v>
      </c>
      <c r="C32" s="13">
        <f t="shared" si="3"/>
        <v>9</v>
      </c>
      <c r="D32" s="16">
        <f t="shared" si="4"/>
        <v>100</v>
      </c>
      <c r="E32" s="16">
        <v>212.0</v>
      </c>
      <c r="F32" s="16">
        <v>14.0</v>
      </c>
      <c r="G32" s="16">
        <v>0.0</v>
      </c>
      <c r="H32" s="16">
        <v>0.0</v>
      </c>
      <c r="I32" s="16">
        <v>6.0</v>
      </c>
      <c r="J32" s="16">
        <v>0.0</v>
      </c>
      <c r="K32" s="16">
        <v>29.0</v>
      </c>
      <c r="L32" s="16">
        <v>51.0</v>
      </c>
      <c r="M32" s="22" t="s">
        <v>114</v>
      </c>
      <c r="N32" s="12"/>
      <c r="O32" s="12"/>
      <c r="P32" s="12"/>
      <c r="Q32" s="12"/>
      <c r="R32" s="12"/>
      <c r="S32" s="12"/>
    </row>
    <row r="33" ht="12.75" customHeight="1">
      <c r="A33" s="18" t="s">
        <v>162</v>
      </c>
      <c r="B33" s="19" t="s">
        <v>193</v>
      </c>
      <c r="C33" s="13">
        <f t="shared" si="3"/>
        <v>9.5</v>
      </c>
      <c r="D33" s="16">
        <f t="shared" si="4"/>
        <v>105</v>
      </c>
      <c r="E33" s="16">
        <v>212.0</v>
      </c>
      <c r="F33" s="16">
        <v>7.0</v>
      </c>
      <c r="G33" s="16">
        <v>0.0</v>
      </c>
      <c r="H33" s="16">
        <v>8.0</v>
      </c>
      <c r="I33" s="16">
        <v>0.0</v>
      </c>
      <c r="J33" s="16">
        <v>0.0</v>
      </c>
      <c r="K33" s="16">
        <v>39.0</v>
      </c>
      <c r="L33" s="16">
        <v>51.0</v>
      </c>
      <c r="M33" s="22" t="s">
        <v>193</v>
      </c>
      <c r="N33" s="12"/>
      <c r="O33" s="12"/>
      <c r="P33" s="12"/>
      <c r="Q33" s="12"/>
      <c r="R33" s="12"/>
      <c r="S33" s="12"/>
    </row>
    <row r="34" ht="12.75" customHeight="1">
      <c r="A34" s="18" t="s">
        <v>179</v>
      </c>
      <c r="B34" s="19" t="s">
        <v>176</v>
      </c>
      <c r="C34" s="13">
        <f t="shared" si="3"/>
        <v>9.5</v>
      </c>
      <c r="D34" s="16">
        <f t="shared" si="4"/>
        <v>101</v>
      </c>
      <c r="E34" s="16">
        <v>212.0</v>
      </c>
      <c r="F34" s="16">
        <v>0.0</v>
      </c>
      <c r="G34" s="16">
        <v>12.0</v>
      </c>
      <c r="H34" s="16">
        <v>0.0</v>
      </c>
      <c r="I34" s="16">
        <v>0.0</v>
      </c>
      <c r="J34" s="16">
        <v>0.0</v>
      </c>
      <c r="K34" s="16">
        <v>38.0</v>
      </c>
      <c r="L34" s="16">
        <v>51.0</v>
      </c>
      <c r="M34" s="22" t="s">
        <v>176</v>
      </c>
      <c r="N34" s="12"/>
      <c r="O34" s="12"/>
      <c r="P34" s="12"/>
      <c r="Q34" s="12"/>
      <c r="R34" s="12"/>
      <c r="S34" s="12"/>
    </row>
    <row r="35" ht="12.75" customHeight="1">
      <c r="A35" s="18" t="s">
        <v>139</v>
      </c>
      <c r="B35" s="19" t="s">
        <v>207</v>
      </c>
      <c r="C35" s="13">
        <f t="shared" si="3"/>
        <v>10</v>
      </c>
      <c r="D35" s="16">
        <f t="shared" si="4"/>
        <v>111</v>
      </c>
      <c r="E35" s="16">
        <v>212.0</v>
      </c>
      <c r="F35" s="16">
        <v>0.0</v>
      </c>
      <c r="G35" s="16">
        <v>0.0</v>
      </c>
      <c r="H35" s="16">
        <v>8.0</v>
      </c>
      <c r="I35" s="16">
        <v>14.0</v>
      </c>
      <c r="J35" s="16">
        <v>0.0</v>
      </c>
      <c r="K35" s="16">
        <v>39.0</v>
      </c>
      <c r="L35" s="16">
        <v>50.0</v>
      </c>
      <c r="M35" s="22" t="s">
        <v>207</v>
      </c>
      <c r="N35" s="12"/>
      <c r="O35" s="12"/>
      <c r="P35" s="12"/>
      <c r="Q35" s="12"/>
      <c r="R35" s="12"/>
      <c r="S35" s="12"/>
    </row>
    <row r="36" ht="12.75" customHeight="1">
      <c r="A36" s="18" t="s">
        <v>229</v>
      </c>
      <c r="B36" s="19" t="s">
        <v>241</v>
      </c>
      <c r="C36" s="13">
        <f t="shared" si="3"/>
        <v>10.5</v>
      </c>
      <c r="D36" s="16">
        <f t="shared" si="4"/>
        <v>115</v>
      </c>
      <c r="E36" s="16">
        <v>212.0</v>
      </c>
      <c r="F36" s="16">
        <v>6.0</v>
      </c>
      <c r="G36" s="16">
        <v>0.0</v>
      </c>
      <c r="H36" s="16">
        <v>8.0</v>
      </c>
      <c r="I36" s="16">
        <v>0.0</v>
      </c>
      <c r="J36" s="16">
        <v>8.0</v>
      </c>
      <c r="K36" s="16">
        <v>56.0</v>
      </c>
      <c r="L36" s="16">
        <v>37.0</v>
      </c>
      <c r="M36" s="22" t="s">
        <v>241</v>
      </c>
      <c r="N36" s="12"/>
      <c r="O36" s="12"/>
      <c r="P36" s="12"/>
      <c r="Q36" s="12"/>
      <c r="R36" s="12"/>
      <c r="S36" s="12"/>
    </row>
    <row r="37" ht="12.75" customHeight="1">
      <c r="A37" s="18" t="s">
        <v>240</v>
      </c>
      <c r="B37" s="19" t="s">
        <v>205</v>
      </c>
      <c r="C37" s="13">
        <f t="shared" si="3"/>
        <v>10.5</v>
      </c>
      <c r="D37" s="16">
        <f t="shared" si="4"/>
        <v>113</v>
      </c>
      <c r="E37" s="16">
        <v>212.0</v>
      </c>
      <c r="F37" s="16">
        <v>0.0</v>
      </c>
      <c r="G37" s="16">
        <v>12.0</v>
      </c>
      <c r="H37" s="16">
        <v>0.0</v>
      </c>
      <c r="I37" s="16">
        <v>14.0</v>
      </c>
      <c r="J37" s="16">
        <v>9.0</v>
      </c>
      <c r="K37" s="16">
        <v>13.0</v>
      </c>
      <c r="L37" s="16">
        <v>65.0</v>
      </c>
      <c r="M37" s="22" t="s">
        <v>205</v>
      </c>
      <c r="N37" s="12"/>
      <c r="O37" s="12"/>
      <c r="P37" s="12"/>
      <c r="Q37" s="12"/>
      <c r="R37" s="12"/>
      <c r="S37" s="12"/>
    </row>
    <row r="38" ht="12.75" customHeight="1">
      <c r="A38" s="18" t="s">
        <v>143</v>
      </c>
      <c r="B38" s="19" t="s">
        <v>232</v>
      </c>
      <c r="C38" s="13">
        <f t="shared" si="3"/>
        <v>10.5</v>
      </c>
      <c r="D38" s="16">
        <f t="shared" si="4"/>
        <v>112</v>
      </c>
      <c r="E38" s="16">
        <v>212.0</v>
      </c>
      <c r="F38" s="16">
        <v>0.0</v>
      </c>
      <c r="G38" s="16">
        <v>6.0</v>
      </c>
      <c r="H38" s="16">
        <v>0.0</v>
      </c>
      <c r="I38" s="16">
        <v>6.0</v>
      </c>
      <c r="J38" s="16">
        <v>0.0</v>
      </c>
      <c r="K38" s="16">
        <v>48.0</v>
      </c>
      <c r="L38" s="16">
        <v>52.0</v>
      </c>
      <c r="M38" s="22" t="s">
        <v>232</v>
      </c>
      <c r="N38" s="12"/>
      <c r="O38" s="12"/>
      <c r="P38" s="12"/>
      <c r="Q38" s="12"/>
      <c r="R38" s="12"/>
      <c r="S38" s="12"/>
    </row>
    <row r="39" ht="12.75" customHeight="1">
      <c r="A39" s="18" t="s">
        <v>183</v>
      </c>
      <c r="B39" s="19" t="s">
        <v>186</v>
      </c>
      <c r="C39" s="13">
        <f t="shared" si="3"/>
        <v>10.5</v>
      </c>
      <c r="D39" s="16">
        <f t="shared" si="4"/>
        <v>112</v>
      </c>
      <c r="E39" s="16">
        <v>212.0</v>
      </c>
      <c r="F39" s="16">
        <v>14.0</v>
      </c>
      <c r="G39" s="16">
        <v>12.0</v>
      </c>
      <c r="H39" s="16">
        <v>0.0</v>
      </c>
      <c r="I39" s="16">
        <v>6.0</v>
      </c>
      <c r="J39" s="16">
        <v>8.0</v>
      </c>
      <c r="K39" s="16">
        <v>20.0</v>
      </c>
      <c r="L39" s="16">
        <v>52.0</v>
      </c>
      <c r="M39" s="22" t="s">
        <v>187</v>
      </c>
      <c r="N39" s="12"/>
      <c r="O39" s="12"/>
      <c r="P39" s="12"/>
      <c r="Q39" s="12"/>
      <c r="R39" s="12"/>
      <c r="S39" s="12"/>
    </row>
    <row r="40" ht="12.75" customHeight="1">
      <c r="A40" s="18" t="s">
        <v>116</v>
      </c>
      <c r="B40" s="19" t="s">
        <v>215</v>
      </c>
      <c r="C40" s="13">
        <f t="shared" si="3"/>
        <v>10.5</v>
      </c>
      <c r="D40" s="16">
        <f t="shared" si="4"/>
        <v>115</v>
      </c>
      <c r="E40" s="16">
        <v>212.0</v>
      </c>
      <c r="F40" s="16">
        <v>0.0</v>
      </c>
      <c r="G40" s="16">
        <v>0.0</v>
      </c>
      <c r="H40" s="16">
        <v>0.0</v>
      </c>
      <c r="I40" s="23">
        <v>0.0</v>
      </c>
      <c r="J40" s="16">
        <v>18.0</v>
      </c>
      <c r="K40" s="16">
        <v>20.0</v>
      </c>
      <c r="L40" s="16">
        <v>77.0</v>
      </c>
      <c r="M40" s="22" t="s">
        <v>260</v>
      </c>
      <c r="N40" s="12"/>
      <c r="O40" s="12"/>
      <c r="P40" s="12"/>
      <c r="Q40" s="12"/>
      <c r="R40" s="12"/>
      <c r="S40" s="12"/>
    </row>
    <row r="41" ht="12.75" customHeight="1">
      <c r="A41" s="18" t="s">
        <v>135</v>
      </c>
      <c r="B41" s="19" t="s">
        <v>152</v>
      </c>
      <c r="C41" s="13">
        <f t="shared" si="3"/>
        <v>11</v>
      </c>
      <c r="D41" s="16">
        <f t="shared" si="4"/>
        <v>119</v>
      </c>
      <c r="E41" s="16">
        <v>212.0</v>
      </c>
      <c r="F41" s="16">
        <v>6.0</v>
      </c>
      <c r="G41" s="16">
        <v>6.0</v>
      </c>
      <c r="H41" s="16">
        <v>0.0</v>
      </c>
      <c r="I41" s="16">
        <v>4.0</v>
      </c>
      <c r="J41" s="16">
        <v>0.0</v>
      </c>
      <c r="K41" s="16">
        <v>38.0</v>
      </c>
      <c r="L41" s="16">
        <v>65.0</v>
      </c>
      <c r="M41" s="22" t="s">
        <v>152</v>
      </c>
      <c r="N41" s="12"/>
      <c r="O41" s="12"/>
      <c r="P41" s="12"/>
      <c r="Q41" s="12"/>
      <c r="R41" s="12"/>
      <c r="S41" s="12"/>
    </row>
    <row r="42" ht="12.75" customHeight="1">
      <c r="A42" s="18" t="s">
        <v>192</v>
      </c>
      <c r="B42" s="19" t="s">
        <v>191</v>
      </c>
      <c r="C42" s="13">
        <f t="shared" si="3"/>
        <v>11</v>
      </c>
      <c r="D42" s="16">
        <f t="shared" si="4"/>
        <v>121</v>
      </c>
      <c r="E42" s="16">
        <v>212.0</v>
      </c>
      <c r="F42" s="16">
        <v>14.0</v>
      </c>
      <c r="G42" s="16">
        <v>12.0</v>
      </c>
      <c r="H42" s="16">
        <v>8.0</v>
      </c>
      <c r="I42" s="16">
        <v>14.0</v>
      </c>
      <c r="J42" s="16">
        <v>0.0</v>
      </c>
      <c r="K42" s="16">
        <v>21.0</v>
      </c>
      <c r="L42" s="16">
        <v>52.0</v>
      </c>
      <c r="M42" s="22" t="s">
        <v>191</v>
      </c>
      <c r="N42" s="12"/>
      <c r="O42" s="12"/>
      <c r="P42" s="12"/>
      <c r="Q42" s="12"/>
      <c r="R42" s="12"/>
      <c r="S42" s="12"/>
    </row>
    <row r="43" ht="12.75" customHeight="1">
      <c r="A43" s="18" t="s">
        <v>194</v>
      </c>
      <c r="B43" s="19" t="s">
        <v>184</v>
      </c>
      <c r="C43" s="13">
        <f t="shared" si="3"/>
        <v>11</v>
      </c>
      <c r="D43" s="16">
        <f t="shared" si="4"/>
        <v>120</v>
      </c>
      <c r="E43" s="16">
        <v>212.0</v>
      </c>
      <c r="F43" s="16">
        <v>7.0</v>
      </c>
      <c r="G43" s="16">
        <v>7.0</v>
      </c>
      <c r="H43" s="16">
        <v>0.0</v>
      </c>
      <c r="I43" s="23">
        <v>0.0</v>
      </c>
      <c r="J43" s="23">
        <v>0.0</v>
      </c>
      <c r="K43" s="16">
        <v>56.0</v>
      </c>
      <c r="L43" s="16">
        <v>50.0</v>
      </c>
      <c r="M43" s="22" t="s">
        <v>184</v>
      </c>
      <c r="N43" s="12"/>
      <c r="O43" s="12"/>
      <c r="P43" s="12"/>
      <c r="Q43" s="12"/>
      <c r="R43" s="12"/>
      <c r="S43" s="12"/>
    </row>
    <row r="44" ht="12.75" customHeight="1">
      <c r="A44" s="18" t="s">
        <v>122</v>
      </c>
      <c r="B44" s="19" t="s">
        <v>218</v>
      </c>
      <c r="C44" s="13">
        <f t="shared" si="3"/>
        <v>11</v>
      </c>
      <c r="D44" s="16">
        <f t="shared" si="4"/>
        <v>119</v>
      </c>
      <c r="E44" s="16">
        <v>212.0</v>
      </c>
      <c r="F44" s="16">
        <v>7.0</v>
      </c>
      <c r="G44" s="16">
        <v>0.0</v>
      </c>
      <c r="H44" s="16">
        <v>0.0</v>
      </c>
      <c r="I44" s="16">
        <v>14.0</v>
      </c>
      <c r="J44" s="16">
        <v>0.0</v>
      </c>
      <c r="K44" s="16">
        <v>20.0</v>
      </c>
      <c r="L44" s="16">
        <v>78.0</v>
      </c>
      <c r="M44" s="22" t="s">
        <v>218</v>
      </c>
      <c r="N44" s="12"/>
      <c r="O44" s="12"/>
      <c r="P44" s="12"/>
      <c r="Q44" s="12"/>
      <c r="R44" s="12"/>
      <c r="S44" s="12"/>
    </row>
    <row r="45" ht="12.75" customHeight="1">
      <c r="A45" s="18" t="s">
        <v>206</v>
      </c>
      <c r="B45" s="19" t="s">
        <v>243</v>
      </c>
      <c r="C45" s="13">
        <f t="shared" si="3"/>
        <v>11.5</v>
      </c>
      <c r="D45" s="16">
        <f t="shared" si="4"/>
        <v>124</v>
      </c>
      <c r="E45" s="16">
        <v>212.0</v>
      </c>
      <c r="F45" s="16">
        <v>14.0</v>
      </c>
      <c r="G45" s="16">
        <v>0.0</v>
      </c>
      <c r="H45" s="16">
        <v>8.0</v>
      </c>
      <c r="I45" s="16">
        <v>0.0</v>
      </c>
      <c r="J45" s="16">
        <v>0.0</v>
      </c>
      <c r="K45" s="16">
        <v>37.0</v>
      </c>
      <c r="L45" s="16">
        <v>65.0</v>
      </c>
      <c r="M45" s="22" t="s">
        <v>243</v>
      </c>
      <c r="N45" s="12"/>
      <c r="O45" s="12"/>
      <c r="P45" s="12"/>
      <c r="Q45" s="12"/>
      <c r="R45" s="12"/>
      <c r="S45" s="12"/>
    </row>
    <row r="46" ht="12.75" customHeight="1">
      <c r="A46" s="18" t="s">
        <v>242</v>
      </c>
      <c r="B46" s="19" t="s">
        <v>239</v>
      </c>
      <c r="C46" s="13">
        <f t="shared" si="3"/>
        <v>11.5</v>
      </c>
      <c r="D46" s="16">
        <f t="shared" si="4"/>
        <v>122</v>
      </c>
      <c r="E46" s="16">
        <v>212.0</v>
      </c>
      <c r="F46" s="16">
        <v>14.0</v>
      </c>
      <c r="G46" s="16">
        <v>6.0</v>
      </c>
      <c r="H46" s="16">
        <v>0.0</v>
      </c>
      <c r="I46" s="16">
        <v>0.0</v>
      </c>
      <c r="J46" s="16">
        <v>0.0</v>
      </c>
      <c r="K46" s="16">
        <v>38.0</v>
      </c>
      <c r="L46" s="16">
        <v>64.0</v>
      </c>
      <c r="M46" s="22" t="s">
        <v>239</v>
      </c>
      <c r="N46" s="12"/>
      <c r="O46" s="12"/>
      <c r="P46" s="12"/>
      <c r="Q46" s="12"/>
      <c r="R46" s="12"/>
      <c r="S46" s="12"/>
    </row>
    <row r="47" ht="12.75" customHeight="1">
      <c r="A47" s="18" t="s">
        <v>200</v>
      </c>
      <c r="B47" s="19" t="s">
        <v>169</v>
      </c>
      <c r="C47" s="13">
        <f t="shared" si="3"/>
        <v>11.5</v>
      </c>
      <c r="D47" s="16">
        <f t="shared" si="4"/>
        <v>124</v>
      </c>
      <c r="E47" s="16">
        <v>212.0</v>
      </c>
      <c r="F47" s="16">
        <v>0.0</v>
      </c>
      <c r="G47" s="16">
        <v>0.0</v>
      </c>
      <c r="H47" s="16">
        <v>18.0</v>
      </c>
      <c r="I47" s="16">
        <v>0.0</v>
      </c>
      <c r="J47" s="16">
        <v>8.0</v>
      </c>
      <c r="K47" s="16">
        <v>20.0</v>
      </c>
      <c r="L47" s="16">
        <v>78.0</v>
      </c>
      <c r="M47" s="22" t="s">
        <v>169</v>
      </c>
      <c r="N47" s="12"/>
      <c r="O47" s="12"/>
      <c r="P47" s="12"/>
      <c r="Q47" s="12"/>
      <c r="R47" s="12"/>
      <c r="S47" s="12"/>
    </row>
    <row r="48" ht="12.75" customHeight="1">
      <c r="A48" s="18" t="s">
        <v>202</v>
      </c>
      <c r="B48" s="19" t="s">
        <v>197</v>
      </c>
      <c r="C48" s="13">
        <f t="shared" si="3"/>
        <v>12</v>
      </c>
      <c r="D48" s="16">
        <f t="shared" si="4"/>
        <v>130</v>
      </c>
      <c r="E48" s="16">
        <v>212.0</v>
      </c>
      <c r="F48" s="16">
        <v>5.0</v>
      </c>
      <c r="G48" s="16">
        <v>4.0</v>
      </c>
      <c r="H48" s="16">
        <v>8.0</v>
      </c>
      <c r="I48" s="16">
        <v>6.0</v>
      </c>
      <c r="J48" s="16">
        <v>0.0</v>
      </c>
      <c r="K48" s="16">
        <v>29.0</v>
      </c>
      <c r="L48" s="16">
        <v>78.0</v>
      </c>
      <c r="M48" s="22" t="s">
        <v>197</v>
      </c>
      <c r="N48" s="12"/>
      <c r="O48" s="12"/>
      <c r="P48" s="12"/>
      <c r="Q48" s="12"/>
      <c r="R48" s="12"/>
      <c r="S48" s="12"/>
    </row>
    <row r="49" ht="12.75" customHeight="1">
      <c r="A49" s="18" t="s">
        <v>257</v>
      </c>
      <c r="B49" s="19" t="s">
        <v>230</v>
      </c>
      <c r="C49" s="13">
        <f t="shared" si="3"/>
        <v>12</v>
      </c>
      <c r="D49" s="16">
        <f t="shared" si="4"/>
        <v>129</v>
      </c>
      <c r="E49" s="16">
        <v>212.0</v>
      </c>
      <c r="F49" s="16">
        <v>0.0</v>
      </c>
      <c r="G49" s="16">
        <v>6.0</v>
      </c>
      <c r="H49" s="16">
        <v>0.0</v>
      </c>
      <c r="I49" s="16">
        <v>0.0</v>
      </c>
      <c r="J49" s="16">
        <v>8.0</v>
      </c>
      <c r="K49" s="16">
        <v>38.0</v>
      </c>
      <c r="L49" s="16">
        <v>77.0</v>
      </c>
      <c r="M49" s="22" t="s">
        <v>230</v>
      </c>
      <c r="N49" s="12"/>
      <c r="O49" s="12"/>
      <c r="P49" s="12"/>
      <c r="Q49" s="12"/>
      <c r="R49" s="12"/>
      <c r="S49" s="12"/>
    </row>
    <row r="50" ht="12.75" customHeight="1">
      <c r="A50" s="18" t="s">
        <v>156</v>
      </c>
      <c r="B50" s="19" t="s">
        <v>254</v>
      </c>
      <c r="C50" s="13">
        <f t="shared" si="3"/>
        <v>12</v>
      </c>
      <c r="D50" s="16">
        <f t="shared" si="4"/>
        <v>130</v>
      </c>
      <c r="E50" s="16">
        <v>212.0</v>
      </c>
      <c r="F50" s="16">
        <v>0.0</v>
      </c>
      <c r="G50" s="16">
        <v>14.0</v>
      </c>
      <c r="H50" s="16">
        <v>8.0</v>
      </c>
      <c r="I50" s="16">
        <v>0.0</v>
      </c>
      <c r="J50" s="16">
        <v>0.0</v>
      </c>
      <c r="K50" s="16">
        <v>56.0</v>
      </c>
      <c r="L50" s="16">
        <v>52.0</v>
      </c>
      <c r="M50" s="22" t="s">
        <v>254</v>
      </c>
      <c r="N50" s="12"/>
      <c r="O50" s="12"/>
      <c r="P50" s="12"/>
      <c r="Q50" s="12"/>
      <c r="R50" s="12"/>
      <c r="S50" s="12"/>
    </row>
    <row r="51" ht="12.75" customHeight="1">
      <c r="A51" s="18" t="s">
        <v>246</v>
      </c>
      <c r="B51" s="19" t="s">
        <v>201</v>
      </c>
      <c r="C51" s="13">
        <f t="shared" si="3"/>
        <v>12.5</v>
      </c>
      <c r="D51" s="16">
        <f t="shared" si="4"/>
        <v>133</v>
      </c>
      <c r="E51" s="16">
        <v>212.0</v>
      </c>
      <c r="F51" s="16">
        <v>0.0</v>
      </c>
      <c r="G51" s="16">
        <v>6.0</v>
      </c>
      <c r="H51" s="16">
        <v>6.0</v>
      </c>
      <c r="I51" s="16">
        <v>12.0</v>
      </c>
      <c r="J51" s="16">
        <v>8.0</v>
      </c>
      <c r="K51" s="16">
        <v>38.0</v>
      </c>
      <c r="L51" s="16">
        <v>63.0</v>
      </c>
      <c r="M51" s="22" t="s">
        <v>201</v>
      </c>
      <c r="N51" s="12"/>
      <c r="O51" s="12"/>
      <c r="P51" s="12"/>
      <c r="Q51" s="12"/>
      <c r="R51" s="12"/>
      <c r="S51" s="12"/>
    </row>
    <row r="52" ht="12.75" customHeight="1">
      <c r="A52" s="18" t="s">
        <v>185</v>
      </c>
      <c r="B52" s="19" t="s">
        <v>203</v>
      </c>
      <c r="C52" s="13">
        <f t="shared" si="3"/>
        <v>12.5</v>
      </c>
      <c r="D52" s="16">
        <f t="shared" si="4"/>
        <v>133</v>
      </c>
      <c r="E52" s="16">
        <v>212.0</v>
      </c>
      <c r="F52" s="16">
        <v>12.0</v>
      </c>
      <c r="G52" s="16">
        <v>0.0</v>
      </c>
      <c r="H52" s="23">
        <v>0.0</v>
      </c>
      <c r="I52" s="16">
        <v>0.0</v>
      </c>
      <c r="J52" s="23">
        <v>0.0</v>
      </c>
      <c r="K52" s="16">
        <v>56.0</v>
      </c>
      <c r="L52" s="16">
        <v>65.0</v>
      </c>
      <c r="M52" s="22" t="s">
        <v>203</v>
      </c>
      <c r="N52" s="12"/>
      <c r="O52" s="12"/>
      <c r="P52" s="12"/>
      <c r="Q52" s="12"/>
      <c r="R52" s="12"/>
      <c r="S52" s="12"/>
    </row>
    <row r="53" ht="12.75" customHeight="1">
      <c r="A53" s="18" t="s">
        <v>217</v>
      </c>
      <c r="B53" s="19" t="s">
        <v>150</v>
      </c>
      <c r="C53" s="13">
        <f t="shared" si="3"/>
        <v>12.5</v>
      </c>
      <c r="D53" s="16">
        <f t="shared" si="4"/>
        <v>134</v>
      </c>
      <c r="E53" s="16">
        <v>212.0</v>
      </c>
      <c r="F53" s="16">
        <v>6.0</v>
      </c>
      <c r="G53" s="16">
        <v>0.0</v>
      </c>
      <c r="H53" s="16">
        <v>0.0</v>
      </c>
      <c r="I53" s="16">
        <v>0.0</v>
      </c>
      <c r="J53" s="16">
        <v>8.0</v>
      </c>
      <c r="K53" s="16">
        <v>56.0</v>
      </c>
      <c r="L53" s="16">
        <v>64.0</v>
      </c>
      <c r="M53" s="22" t="s">
        <v>150</v>
      </c>
      <c r="N53" s="12"/>
      <c r="O53" s="12"/>
      <c r="P53" s="12"/>
      <c r="Q53" s="12"/>
      <c r="R53" s="12"/>
      <c r="S53" s="12"/>
    </row>
    <row r="54" ht="12.75" customHeight="1">
      <c r="A54" s="18" t="s">
        <v>238</v>
      </c>
      <c r="B54" s="19" t="s">
        <v>221</v>
      </c>
      <c r="C54" s="13">
        <f t="shared" si="3"/>
        <v>12.5</v>
      </c>
      <c r="D54" s="16">
        <f t="shared" si="4"/>
        <v>134</v>
      </c>
      <c r="E54" s="16">
        <v>212.0</v>
      </c>
      <c r="F54" s="16">
        <v>0.0</v>
      </c>
      <c r="G54" s="16">
        <v>0.0</v>
      </c>
      <c r="H54" s="16">
        <v>0.0</v>
      </c>
      <c r="I54" s="16">
        <v>0.0</v>
      </c>
      <c r="J54" s="16">
        <v>0.0</v>
      </c>
      <c r="K54" s="16">
        <v>56.0</v>
      </c>
      <c r="L54" s="16">
        <v>78.0</v>
      </c>
      <c r="M54" s="22" t="s">
        <v>222</v>
      </c>
      <c r="N54" s="12"/>
      <c r="O54" s="12"/>
      <c r="P54" s="12"/>
      <c r="Q54" s="12"/>
      <c r="R54" s="12"/>
      <c r="S54" s="12"/>
    </row>
    <row r="55" ht="12.75" customHeight="1">
      <c r="A55" s="18" t="s">
        <v>223</v>
      </c>
      <c r="B55" s="19" t="s">
        <v>159</v>
      </c>
      <c r="C55" s="13">
        <f t="shared" si="3"/>
        <v>13</v>
      </c>
      <c r="D55" s="16">
        <f t="shared" si="4"/>
        <v>141</v>
      </c>
      <c r="E55" s="16">
        <v>212.0</v>
      </c>
      <c r="F55" s="16">
        <v>6.0</v>
      </c>
      <c r="G55" s="16">
        <v>6.0</v>
      </c>
      <c r="H55" s="16">
        <v>18.0</v>
      </c>
      <c r="I55" s="16">
        <v>0.0</v>
      </c>
      <c r="J55" s="16">
        <v>0.0</v>
      </c>
      <c r="K55" s="16">
        <v>47.0</v>
      </c>
      <c r="L55" s="16">
        <v>64.0</v>
      </c>
      <c r="M55" s="22" t="s">
        <v>159</v>
      </c>
      <c r="N55" s="12"/>
      <c r="O55" s="12"/>
      <c r="P55" s="12"/>
      <c r="Q55" s="12"/>
      <c r="R55" s="12"/>
      <c r="S55" s="12"/>
    </row>
    <row r="56" ht="12.75" customHeight="1">
      <c r="A56" s="18" t="s">
        <v>250</v>
      </c>
      <c r="B56" s="19" t="s">
        <v>140</v>
      </c>
      <c r="C56" s="13">
        <f t="shared" si="3"/>
        <v>13</v>
      </c>
      <c r="D56" s="16">
        <f t="shared" si="4"/>
        <v>139</v>
      </c>
      <c r="E56" s="16">
        <v>212.0</v>
      </c>
      <c r="F56" s="16">
        <v>0.0</v>
      </c>
      <c r="G56" s="16">
        <v>6.0</v>
      </c>
      <c r="H56" s="16">
        <v>8.0</v>
      </c>
      <c r="I56" s="16">
        <v>0.0</v>
      </c>
      <c r="J56" s="16">
        <v>0.0</v>
      </c>
      <c r="K56" s="16">
        <v>47.0</v>
      </c>
      <c r="L56" s="16">
        <v>78.0</v>
      </c>
      <c r="M56" s="22" t="s">
        <v>140</v>
      </c>
      <c r="N56" s="12"/>
      <c r="O56" s="12"/>
      <c r="P56" s="12"/>
      <c r="Q56" s="12"/>
      <c r="R56" s="12"/>
      <c r="S56" s="12"/>
    </row>
    <row r="57" ht="12.75" customHeight="1">
      <c r="A57" s="18" t="s">
        <v>166</v>
      </c>
      <c r="B57" s="19" t="s">
        <v>237</v>
      </c>
      <c r="C57" s="13">
        <f t="shared" si="3"/>
        <v>13</v>
      </c>
      <c r="D57" s="16">
        <f t="shared" si="4"/>
        <v>142</v>
      </c>
      <c r="E57" s="16">
        <v>212.0</v>
      </c>
      <c r="F57" s="16">
        <v>7.0</v>
      </c>
      <c r="G57" s="16">
        <v>0.0</v>
      </c>
      <c r="H57" s="16">
        <v>0.0</v>
      </c>
      <c r="I57" s="16">
        <v>14.0</v>
      </c>
      <c r="J57" s="16">
        <v>0.0</v>
      </c>
      <c r="K57" s="16">
        <v>56.0</v>
      </c>
      <c r="L57" s="16">
        <v>65.0</v>
      </c>
      <c r="M57" s="22" t="s">
        <v>237</v>
      </c>
      <c r="N57" s="12"/>
      <c r="O57" s="12"/>
      <c r="P57" s="12"/>
      <c r="Q57" s="12"/>
      <c r="R57" s="12"/>
      <c r="S57" s="12"/>
    </row>
    <row r="58" ht="12.75" customHeight="1">
      <c r="A58" s="18" t="s">
        <v>253</v>
      </c>
      <c r="B58" s="19" t="s">
        <v>136</v>
      </c>
      <c r="C58" s="13">
        <f t="shared" si="3"/>
        <v>13.5</v>
      </c>
      <c r="D58" s="16">
        <f t="shared" si="4"/>
        <v>146</v>
      </c>
      <c r="E58" s="16">
        <v>212.0</v>
      </c>
      <c r="F58" s="16">
        <v>7.0</v>
      </c>
      <c r="G58" s="16">
        <v>6.0</v>
      </c>
      <c r="H58" s="16">
        <v>8.0</v>
      </c>
      <c r="I58" s="16">
        <v>14.0</v>
      </c>
      <c r="J58" s="16">
        <v>0.0</v>
      </c>
      <c r="K58" s="16">
        <v>47.0</v>
      </c>
      <c r="L58" s="16">
        <v>64.0</v>
      </c>
      <c r="M58" s="22" t="s">
        <v>290</v>
      </c>
      <c r="N58" s="12"/>
      <c r="O58" s="12"/>
      <c r="P58" s="12"/>
      <c r="Q58" s="12"/>
      <c r="R58" s="12"/>
      <c r="S58" s="12"/>
    </row>
    <row r="59" ht="12.75" customHeight="1">
      <c r="A59" s="18" t="s">
        <v>226</v>
      </c>
      <c r="B59" s="19" t="s">
        <v>142</v>
      </c>
      <c r="C59" s="13">
        <f t="shared" si="3"/>
        <v>13.5</v>
      </c>
      <c r="D59" s="16">
        <f t="shared" si="4"/>
        <v>147</v>
      </c>
      <c r="E59" s="16">
        <v>212.0</v>
      </c>
      <c r="F59" s="16">
        <v>0.0</v>
      </c>
      <c r="G59" s="16">
        <v>5.0</v>
      </c>
      <c r="H59" s="16">
        <v>0.0</v>
      </c>
      <c r="I59" s="16">
        <v>0.0</v>
      </c>
      <c r="J59" s="16">
        <v>8.0</v>
      </c>
      <c r="K59" s="16">
        <v>56.0</v>
      </c>
      <c r="L59" s="16">
        <v>78.0</v>
      </c>
      <c r="M59" s="22" t="s">
        <v>142</v>
      </c>
      <c r="N59" s="12"/>
      <c r="O59" s="12"/>
      <c r="P59" s="12"/>
      <c r="Q59" s="12"/>
      <c r="R59" s="12"/>
      <c r="S59" s="12"/>
    </row>
    <row r="60" ht="12.75" customHeight="1">
      <c r="A60" s="18" t="s">
        <v>244</v>
      </c>
      <c r="B60" s="19" t="s">
        <v>249</v>
      </c>
      <c r="C60" s="13">
        <f t="shared" si="3"/>
        <v>13.5</v>
      </c>
      <c r="D60" s="16">
        <f t="shared" si="4"/>
        <v>148</v>
      </c>
      <c r="E60" s="16">
        <v>212.0</v>
      </c>
      <c r="F60" s="16">
        <v>14.0</v>
      </c>
      <c r="G60" s="16">
        <v>6.0</v>
      </c>
      <c r="H60" s="16">
        <v>7.0</v>
      </c>
      <c r="I60" s="16">
        <v>6.0</v>
      </c>
      <c r="J60" s="16">
        <v>0.0</v>
      </c>
      <c r="K60" s="16">
        <v>38.0</v>
      </c>
      <c r="L60" s="16">
        <v>77.0</v>
      </c>
      <c r="M60" s="22" t="s">
        <v>249</v>
      </c>
      <c r="N60" s="12"/>
      <c r="O60" s="12"/>
      <c r="P60" s="12"/>
      <c r="Q60" s="12"/>
      <c r="R60" s="12"/>
      <c r="S60" s="12"/>
    </row>
    <row r="61" ht="12.75" customHeight="1">
      <c r="A61" s="18" t="s">
        <v>127</v>
      </c>
      <c r="B61" s="19" t="s">
        <v>245</v>
      </c>
      <c r="C61" s="13">
        <f t="shared" si="3"/>
        <v>14.5</v>
      </c>
      <c r="D61" s="16">
        <f t="shared" si="4"/>
        <v>157</v>
      </c>
      <c r="E61" s="16">
        <v>212.0</v>
      </c>
      <c r="F61" s="16">
        <v>6.0</v>
      </c>
      <c r="G61" s="16">
        <v>0.0</v>
      </c>
      <c r="H61" s="16">
        <v>8.0</v>
      </c>
      <c r="I61" s="16">
        <v>14.0</v>
      </c>
      <c r="J61" s="16">
        <v>8.0</v>
      </c>
      <c r="K61" s="16">
        <v>56.0</v>
      </c>
      <c r="L61" s="16">
        <v>65.0</v>
      </c>
      <c r="M61" s="22" t="s">
        <v>245</v>
      </c>
      <c r="N61" s="12"/>
      <c r="O61" s="12"/>
      <c r="P61" s="12"/>
      <c r="Q61" s="12"/>
      <c r="R61" s="12"/>
      <c r="S61" s="12"/>
    </row>
    <row r="62" ht="12.75" customHeight="1">
      <c r="A62" s="18" t="s">
        <v>198</v>
      </c>
      <c r="B62" s="19" t="s">
        <v>195</v>
      </c>
      <c r="C62" s="13">
        <f t="shared" si="3"/>
        <v>14.5</v>
      </c>
      <c r="D62" s="16">
        <f t="shared" si="4"/>
        <v>155</v>
      </c>
      <c r="E62" s="16">
        <v>212.0</v>
      </c>
      <c r="F62" s="16">
        <v>14.0</v>
      </c>
      <c r="G62" s="16">
        <v>14.0</v>
      </c>
      <c r="H62" s="16">
        <v>0.0</v>
      </c>
      <c r="I62" s="16">
        <v>6.0</v>
      </c>
      <c r="J62" s="16">
        <v>0.0</v>
      </c>
      <c r="K62" s="16">
        <v>56.0</v>
      </c>
      <c r="L62" s="16">
        <v>65.0</v>
      </c>
      <c r="M62" s="22" t="s">
        <v>195</v>
      </c>
      <c r="N62" s="12"/>
      <c r="O62" s="12"/>
      <c r="P62" s="12"/>
      <c r="Q62" s="12"/>
      <c r="R62" s="12"/>
      <c r="S62" s="12"/>
    </row>
    <row r="63" ht="12.75" customHeight="1">
      <c r="A63" s="18" t="s">
        <v>177</v>
      </c>
      <c r="B63" s="19" t="s">
        <v>182</v>
      </c>
      <c r="C63" s="13">
        <f t="shared" si="3"/>
        <v>15</v>
      </c>
      <c r="D63" s="16">
        <f t="shared" si="4"/>
        <v>162</v>
      </c>
      <c r="E63" s="16">
        <v>212.0</v>
      </c>
      <c r="F63" s="16">
        <v>14.0</v>
      </c>
      <c r="G63" s="16">
        <v>0.0</v>
      </c>
      <c r="H63" s="16">
        <v>0.0</v>
      </c>
      <c r="I63" s="16">
        <v>14.0</v>
      </c>
      <c r="J63" s="16">
        <v>18.0</v>
      </c>
      <c r="K63" s="16">
        <v>38.0</v>
      </c>
      <c r="L63" s="16">
        <v>78.0</v>
      </c>
      <c r="M63" s="22" t="s">
        <v>182</v>
      </c>
      <c r="N63" s="12"/>
      <c r="O63" s="12"/>
      <c r="P63" s="12"/>
      <c r="Q63" s="12"/>
      <c r="R63" s="12"/>
      <c r="S63" s="12"/>
    </row>
    <row r="64" ht="12.75" customHeight="1">
      <c r="A64" s="18" t="s">
        <v>220</v>
      </c>
      <c r="B64" s="19" t="s">
        <v>180</v>
      </c>
      <c r="C64" s="13">
        <f t="shared" si="3"/>
        <v>15</v>
      </c>
      <c r="D64" s="16">
        <f t="shared" si="4"/>
        <v>164</v>
      </c>
      <c r="E64" s="16">
        <v>212.0</v>
      </c>
      <c r="F64" s="16">
        <v>14.0</v>
      </c>
      <c r="G64" s="16">
        <v>6.0</v>
      </c>
      <c r="H64" s="16">
        <v>18.0</v>
      </c>
      <c r="I64" s="16">
        <v>6.0</v>
      </c>
      <c r="J64" s="16">
        <v>0.0</v>
      </c>
      <c r="K64" s="16">
        <v>56.0</v>
      </c>
      <c r="L64" s="16">
        <v>64.0</v>
      </c>
      <c r="M64" s="22" t="s">
        <v>180</v>
      </c>
      <c r="N64" s="12"/>
      <c r="O64" s="12"/>
      <c r="P64" s="12"/>
      <c r="Q64" s="12"/>
      <c r="R64" s="12"/>
      <c r="S64" s="12"/>
    </row>
    <row r="65" ht="12.75" customHeight="1">
      <c r="A65" s="18" t="s">
        <v>132</v>
      </c>
      <c r="B65" s="19" t="s">
        <v>144</v>
      </c>
      <c r="C65" s="13">
        <f t="shared" si="3"/>
        <v>15.5</v>
      </c>
      <c r="D65" s="16">
        <f t="shared" si="4"/>
        <v>167</v>
      </c>
      <c r="E65" s="16">
        <v>212.0</v>
      </c>
      <c r="F65" s="16">
        <v>14.0</v>
      </c>
      <c r="G65" s="16">
        <v>6.0</v>
      </c>
      <c r="H65" s="16">
        <v>6.0</v>
      </c>
      <c r="I65" s="16">
        <v>14.0</v>
      </c>
      <c r="J65" s="16">
        <v>6.0</v>
      </c>
      <c r="K65" s="16">
        <v>56.0</v>
      </c>
      <c r="L65" s="16">
        <v>65.0</v>
      </c>
      <c r="M65" s="22" t="s">
        <v>261</v>
      </c>
      <c r="N65" s="12"/>
      <c r="O65" s="12"/>
      <c r="P65" s="12"/>
      <c r="Q65" s="12"/>
      <c r="R65" s="12"/>
      <c r="S65" s="12"/>
    </row>
    <row r="66" ht="12.75" customHeight="1">
      <c r="A66" s="18" t="s">
        <v>204</v>
      </c>
      <c r="B66" s="19" t="s">
        <v>224</v>
      </c>
      <c r="C66" s="13">
        <f t="shared" si="3"/>
        <v>16.5</v>
      </c>
      <c r="D66" s="16">
        <f t="shared" si="4"/>
        <v>177</v>
      </c>
      <c r="E66" s="16">
        <v>212.0</v>
      </c>
      <c r="F66" s="16">
        <v>0.0</v>
      </c>
      <c r="G66" s="16">
        <v>6.0</v>
      </c>
      <c r="H66" s="16">
        <v>18.0</v>
      </c>
      <c r="I66" s="16">
        <v>14.0</v>
      </c>
      <c r="J66" s="16">
        <v>18.0</v>
      </c>
      <c r="K66" s="16">
        <v>56.0</v>
      </c>
      <c r="L66" s="16">
        <v>65.0</v>
      </c>
      <c r="M66" s="22" t="s">
        <v>224</v>
      </c>
      <c r="N66" s="12"/>
      <c r="O66" s="12"/>
      <c r="P66" s="12"/>
      <c r="Q66" s="12"/>
      <c r="R66" s="12"/>
      <c r="S66" s="12"/>
    </row>
    <row r="67" ht="12.75" customHeight="1">
      <c r="A67" s="18" t="s">
        <v>170</v>
      </c>
      <c r="B67" s="19" t="s">
        <v>213</v>
      </c>
      <c r="C67" s="13">
        <f t="shared" si="3"/>
        <v>17</v>
      </c>
      <c r="D67" s="16">
        <f t="shared" si="4"/>
        <v>181</v>
      </c>
      <c r="E67" s="16">
        <v>212.0</v>
      </c>
      <c r="F67" s="16">
        <v>14.0</v>
      </c>
      <c r="G67" s="16">
        <v>6.0</v>
      </c>
      <c r="H67" s="16">
        <v>18.0</v>
      </c>
      <c r="I67" s="16">
        <v>14.0</v>
      </c>
      <c r="J67" s="16">
        <v>8.0</v>
      </c>
      <c r="K67" s="16">
        <v>56.0</v>
      </c>
      <c r="L67" s="16">
        <v>65.0</v>
      </c>
      <c r="M67" s="22" t="s">
        <v>213</v>
      </c>
      <c r="N67" s="12"/>
      <c r="O67" s="12"/>
      <c r="P67" s="12"/>
      <c r="Q67" s="12"/>
      <c r="R67" s="12"/>
      <c r="S67" s="12"/>
    </row>
    <row r="68" ht="12.75" customHeight="1">
      <c r="A68" s="18" t="s">
        <v>130</v>
      </c>
      <c r="B68" s="19" t="s">
        <v>189</v>
      </c>
      <c r="C68" s="13">
        <f t="shared" si="3"/>
        <v>17</v>
      </c>
      <c r="D68" s="16">
        <f t="shared" si="4"/>
        <v>181</v>
      </c>
      <c r="E68" s="16">
        <v>212.0</v>
      </c>
      <c r="F68" s="16">
        <v>0.0</v>
      </c>
      <c r="G68" s="16">
        <v>6.0</v>
      </c>
      <c r="H68" s="16">
        <v>18.0</v>
      </c>
      <c r="I68" s="16">
        <v>14.0</v>
      </c>
      <c r="J68" s="16">
        <v>18.0</v>
      </c>
      <c r="K68" s="16">
        <v>47.0</v>
      </c>
      <c r="L68" s="16">
        <v>78.0</v>
      </c>
      <c r="M68" s="22" t="s">
        <v>189</v>
      </c>
      <c r="N68" s="12"/>
      <c r="O68" s="12"/>
      <c r="P68" s="12"/>
      <c r="Q68" s="12"/>
      <c r="R68" s="12"/>
      <c r="S68" s="12"/>
    </row>
    <row r="69" ht="12.75" customHeight="1">
      <c r="A69" s="18" t="s">
        <v>160</v>
      </c>
      <c r="B69" s="19" t="s">
        <v>251</v>
      </c>
      <c r="C69" s="13">
        <f t="shared" si="3"/>
        <v>18.5</v>
      </c>
      <c r="D69" s="16">
        <f t="shared" si="4"/>
        <v>198</v>
      </c>
      <c r="E69" s="16">
        <v>212.0</v>
      </c>
      <c r="F69" s="16">
        <v>14.0</v>
      </c>
      <c r="G69" s="16">
        <v>0.0</v>
      </c>
      <c r="H69" s="16">
        <v>18.0</v>
      </c>
      <c r="I69" s="16">
        <v>14.0</v>
      </c>
      <c r="J69" s="16">
        <v>18.0</v>
      </c>
      <c r="K69" s="16">
        <v>56.0</v>
      </c>
      <c r="L69" s="16">
        <v>78.0</v>
      </c>
      <c r="M69" s="22" t="s">
        <v>251</v>
      </c>
      <c r="N69" s="12"/>
      <c r="O69" s="12"/>
      <c r="P69" s="12"/>
      <c r="Q69" s="12"/>
      <c r="R69" s="12"/>
      <c r="S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</sheetData>
  <mergeCells count="2">
    <mergeCell ref="D2:E2"/>
    <mergeCell ref="D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6.86"/>
    <col customWidth="1" min="3" max="3" width="8.0"/>
    <col customWidth="1" min="4" max="5" width="7.71"/>
    <col customWidth="1" min="6" max="6" width="28.29"/>
    <col customWidth="1" min="11" max="11" width="21.43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</row>
    <row r="2">
      <c r="A2" s="2" t="s">
        <v>13</v>
      </c>
      <c r="B2" s="2">
        <v>504.0</v>
      </c>
      <c r="C2" s="2">
        <v>515.0</v>
      </c>
      <c r="D2" s="2" t="s">
        <v>28</v>
      </c>
      <c r="E2" s="2" t="s">
        <v>31</v>
      </c>
      <c r="F2" s="2" t="s">
        <v>32</v>
      </c>
      <c r="G2" s="3" t="s">
        <v>36</v>
      </c>
    </row>
    <row r="3">
      <c r="A3" s="2" t="s">
        <v>55</v>
      </c>
      <c r="B3" s="2">
        <v>454.0</v>
      </c>
      <c r="C3" s="2">
        <v>528.0</v>
      </c>
      <c r="D3" s="2" t="s">
        <v>56</v>
      </c>
      <c r="E3" s="2" t="s">
        <v>31</v>
      </c>
      <c r="F3" s="1" t="s">
        <v>57</v>
      </c>
      <c r="G3" s="3" t="s">
        <v>58</v>
      </c>
    </row>
    <row r="4">
      <c r="A4" s="2" t="s">
        <v>59</v>
      </c>
      <c r="B4" s="2">
        <v>457.0</v>
      </c>
      <c r="D4" s="2" t="s">
        <v>56</v>
      </c>
      <c r="E4" s="2" t="s">
        <v>31</v>
      </c>
      <c r="F4" s="1" t="s">
        <v>60</v>
      </c>
      <c r="G4" s="3" t="s">
        <v>61</v>
      </c>
    </row>
    <row r="5">
      <c r="A5" s="2" t="s">
        <v>62</v>
      </c>
      <c r="B5" s="2">
        <v>534.0</v>
      </c>
      <c r="C5" s="2">
        <v>542.0</v>
      </c>
      <c r="D5" s="2" t="s">
        <v>63</v>
      </c>
      <c r="E5" s="2" t="s">
        <v>31</v>
      </c>
      <c r="F5" s="1" t="s">
        <v>64</v>
      </c>
      <c r="G5" s="3" t="s">
        <v>65</v>
      </c>
    </row>
    <row r="6">
      <c r="A6" s="4"/>
      <c r="B6" s="5">
        <v>538.0</v>
      </c>
      <c r="C6" s="4"/>
      <c r="D6" s="5" t="s">
        <v>63</v>
      </c>
      <c r="E6" s="5" t="s">
        <v>31</v>
      </c>
      <c r="F6" s="6" t="s">
        <v>66</v>
      </c>
      <c r="G6" s="5"/>
      <c r="H6" s="4"/>
      <c r="I6" s="4"/>
      <c r="J6" s="4"/>
      <c r="K6" s="4"/>
      <c r="L6" s="5" t="s">
        <v>67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2" t="s">
        <v>68</v>
      </c>
      <c r="B7" s="2">
        <v>498.0</v>
      </c>
      <c r="D7" s="2" t="s">
        <v>28</v>
      </c>
      <c r="E7" s="2" t="s">
        <v>69</v>
      </c>
      <c r="F7" s="2" t="s">
        <v>70</v>
      </c>
      <c r="G7" s="3" t="s">
        <v>71</v>
      </c>
    </row>
    <row r="8">
      <c r="A8" s="2" t="s">
        <v>72</v>
      </c>
      <c r="B8" s="2">
        <v>515.0</v>
      </c>
      <c r="C8" s="2">
        <v>504.0</v>
      </c>
      <c r="D8" s="2" t="s">
        <v>28</v>
      </c>
      <c r="E8" s="2" t="s">
        <v>69</v>
      </c>
      <c r="F8" s="2" t="s">
        <v>73</v>
      </c>
      <c r="G8" s="3" t="s">
        <v>74</v>
      </c>
    </row>
    <row r="9">
      <c r="A9" s="2" t="s">
        <v>75</v>
      </c>
      <c r="B9" s="2">
        <v>528.0</v>
      </c>
      <c r="C9" s="2">
        <v>454.0</v>
      </c>
      <c r="D9" s="2" t="s">
        <v>56</v>
      </c>
      <c r="E9" s="2" t="s">
        <v>69</v>
      </c>
      <c r="F9" s="1" t="s">
        <v>76</v>
      </c>
      <c r="G9" s="3" t="s">
        <v>77</v>
      </c>
    </row>
    <row r="10">
      <c r="A10" s="2" t="s">
        <v>78</v>
      </c>
      <c r="B10" s="2">
        <v>524.0</v>
      </c>
      <c r="D10" s="2" t="s">
        <v>56</v>
      </c>
      <c r="E10" s="2" t="s">
        <v>69</v>
      </c>
      <c r="F10" s="1" t="s">
        <v>79</v>
      </c>
      <c r="G10" s="3" t="s">
        <v>80</v>
      </c>
    </row>
    <row r="11">
      <c r="A11" s="2" t="s">
        <v>81</v>
      </c>
      <c r="B11" s="2">
        <v>478.0</v>
      </c>
      <c r="D11" s="2" t="s">
        <v>56</v>
      </c>
      <c r="E11" s="2" t="s">
        <v>69</v>
      </c>
      <c r="F11" s="1" t="s">
        <v>82</v>
      </c>
      <c r="G11" s="3" t="s">
        <v>83</v>
      </c>
    </row>
    <row r="12">
      <c r="A12" s="2" t="s">
        <v>84</v>
      </c>
      <c r="B12" s="2">
        <v>542.0</v>
      </c>
      <c r="C12" s="2">
        <v>534.0</v>
      </c>
      <c r="D12" s="2" t="s">
        <v>63</v>
      </c>
      <c r="E12" s="2" t="s">
        <v>69</v>
      </c>
      <c r="F12" s="1" t="s">
        <v>85</v>
      </c>
      <c r="G12" s="3" t="s">
        <v>86</v>
      </c>
    </row>
    <row r="13">
      <c r="A13" s="2" t="s">
        <v>87</v>
      </c>
      <c r="B13" s="2">
        <v>544.0</v>
      </c>
      <c r="D13" s="2" t="s">
        <v>63</v>
      </c>
      <c r="E13" s="2" t="s">
        <v>69</v>
      </c>
      <c r="F13" s="1" t="s">
        <v>88</v>
      </c>
      <c r="G13" s="3" t="s">
        <v>89</v>
      </c>
    </row>
    <row r="14">
      <c r="A14" s="2" t="s">
        <v>90</v>
      </c>
      <c r="B14" s="2">
        <v>545.0</v>
      </c>
      <c r="D14" s="2" t="s">
        <v>63</v>
      </c>
      <c r="E14" s="2" t="s">
        <v>69</v>
      </c>
      <c r="F14" s="1" t="s">
        <v>91</v>
      </c>
      <c r="G14" s="3" t="s">
        <v>92</v>
      </c>
    </row>
  </sheetData>
  <hyperlinks>
    <hyperlink r:id="rId2" ref="G2"/>
    <hyperlink r:id="rId3" ref="G3"/>
    <hyperlink r:id="rId4" ref="G4"/>
    <hyperlink r:id="rId5" ref="G5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</hyperlinks>
  <drawing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6</v>
      </c>
      <c r="C1" s="1" t="s">
        <v>9</v>
      </c>
      <c r="D1" s="1" t="s">
        <v>11</v>
      </c>
      <c r="E1" s="2" t="s">
        <v>12</v>
      </c>
      <c r="F1" s="1" t="s">
        <v>14</v>
      </c>
    </row>
    <row r="2">
      <c r="A2" s="1">
        <v>2.0</v>
      </c>
      <c r="B2" s="1">
        <v>454.0</v>
      </c>
      <c r="C2" s="1">
        <v>0.0</v>
      </c>
      <c r="D2" s="1">
        <v>1.491341716E9</v>
      </c>
      <c r="E2" s="2">
        <v>10.0</v>
      </c>
      <c r="F2" s="1">
        <v>0.0</v>
      </c>
    </row>
    <row r="3">
      <c r="A3" s="1">
        <v>10214.0</v>
      </c>
      <c r="B3" s="1">
        <v>454.0</v>
      </c>
      <c r="C3" s="1">
        <v>1.491345213E9</v>
      </c>
      <c r="D3" s="1">
        <v>1.49157128E9</v>
      </c>
      <c r="E3" s="2">
        <v>10.0</v>
      </c>
      <c r="F3" s="1">
        <v>3733.0</v>
      </c>
    </row>
    <row r="4">
      <c r="A4" s="1">
        <v>10178.0</v>
      </c>
      <c r="B4" s="1">
        <v>454.0</v>
      </c>
      <c r="C4" s="1">
        <v>1.491346451E9</v>
      </c>
      <c r="D4" s="1">
        <v>1.491350112E9</v>
      </c>
      <c r="E4" s="2">
        <v>10.0</v>
      </c>
      <c r="F4" s="1">
        <v>2523.0</v>
      </c>
    </row>
    <row r="5">
      <c r="A5" s="1">
        <v>10224.0</v>
      </c>
      <c r="B5" s="1">
        <v>454.0</v>
      </c>
      <c r="C5" s="1">
        <v>1.491354859E9</v>
      </c>
      <c r="D5" s="1">
        <v>1.491355288E9</v>
      </c>
      <c r="E5" s="2">
        <v>10.0</v>
      </c>
      <c r="F5" s="1">
        <v>426.0</v>
      </c>
    </row>
    <row r="6">
      <c r="A6" s="1">
        <v>10184.0</v>
      </c>
      <c r="B6" s="1">
        <v>454.0</v>
      </c>
      <c r="C6" s="1">
        <v>1.491359298E9</v>
      </c>
      <c r="D6" s="1">
        <v>1.491360297E9</v>
      </c>
      <c r="E6" s="2">
        <v>10.0</v>
      </c>
      <c r="F6" s="1">
        <v>997.0</v>
      </c>
    </row>
    <row r="7">
      <c r="A7" s="1">
        <v>10217.0</v>
      </c>
      <c r="B7" s="1">
        <v>454.0</v>
      </c>
      <c r="C7" s="1">
        <v>1.491401406E9</v>
      </c>
      <c r="D7" s="1">
        <v>1.491401772E9</v>
      </c>
      <c r="E7" s="2">
        <v>10.0</v>
      </c>
      <c r="F7" s="1">
        <v>360.0</v>
      </c>
    </row>
    <row r="8">
      <c r="A8" s="1">
        <v>10193.0</v>
      </c>
      <c r="B8" s="1">
        <v>454.0</v>
      </c>
      <c r="C8" s="1">
        <v>1.491407909E9</v>
      </c>
      <c r="D8" s="1">
        <v>1.49140919E9</v>
      </c>
      <c r="E8" s="2">
        <v>10.0</v>
      </c>
      <c r="F8" s="1">
        <v>720.0</v>
      </c>
    </row>
    <row r="9">
      <c r="A9" s="1">
        <v>10223.0</v>
      </c>
      <c r="B9" s="1">
        <v>454.0</v>
      </c>
      <c r="C9" s="1">
        <v>1.491408835E9</v>
      </c>
      <c r="D9" s="1">
        <v>1.491409053E9</v>
      </c>
      <c r="E9" s="2">
        <v>10.0</v>
      </c>
      <c r="F9" s="1">
        <v>216.0</v>
      </c>
    </row>
    <row r="10">
      <c r="A10" s="1">
        <v>10240.0</v>
      </c>
      <c r="B10" s="1">
        <v>454.0</v>
      </c>
      <c r="C10" s="1">
        <v>1.491409459E9</v>
      </c>
      <c r="D10" s="1">
        <v>1.491682606E9</v>
      </c>
      <c r="E10" s="2">
        <v>10.0</v>
      </c>
      <c r="F10" s="1">
        <v>1011.0</v>
      </c>
    </row>
    <row r="11">
      <c r="A11" s="1">
        <v>10210.0</v>
      </c>
      <c r="B11" s="1">
        <v>454.0</v>
      </c>
      <c r="C11" s="1">
        <v>1.491410967E9</v>
      </c>
      <c r="D11" s="1">
        <v>1.491515274E9</v>
      </c>
      <c r="E11" s="2">
        <v>10.0</v>
      </c>
      <c r="F11" s="1">
        <v>2157.0</v>
      </c>
    </row>
    <row r="12">
      <c r="A12" s="1">
        <v>10209.0</v>
      </c>
      <c r="B12" s="1">
        <v>454.0</v>
      </c>
      <c r="C12" s="1">
        <v>1.491428709E9</v>
      </c>
      <c r="D12" s="1">
        <v>1.492096078E9</v>
      </c>
      <c r="E12" s="2">
        <v>10.0</v>
      </c>
      <c r="F12" s="1">
        <v>360.0</v>
      </c>
    </row>
    <row r="13">
      <c r="A13" s="1">
        <v>10188.0</v>
      </c>
      <c r="B13" s="1">
        <v>454.0</v>
      </c>
      <c r="C13" s="1">
        <v>1.491429483E9</v>
      </c>
      <c r="D13" s="1">
        <v>1.491662067E9</v>
      </c>
      <c r="E13" s="2">
        <v>10.0</v>
      </c>
      <c r="F13" s="1">
        <v>1028.0</v>
      </c>
    </row>
    <row r="14">
      <c r="A14" s="1">
        <v>10175.0</v>
      </c>
      <c r="B14" s="1">
        <v>454.0</v>
      </c>
      <c r="C14" s="1">
        <v>1.491429675E9</v>
      </c>
      <c r="D14" s="1">
        <v>1.491430981E9</v>
      </c>
      <c r="E14" s="2">
        <v>10.0</v>
      </c>
      <c r="F14" s="1">
        <v>1303.0</v>
      </c>
    </row>
    <row r="15">
      <c r="A15" s="1">
        <v>10218.0</v>
      </c>
      <c r="B15" s="1">
        <v>454.0</v>
      </c>
      <c r="C15" s="1">
        <v>1.49143581E9</v>
      </c>
      <c r="D15" s="1">
        <v>1.491437744E9</v>
      </c>
      <c r="E15" s="2">
        <v>10.0</v>
      </c>
      <c r="F15" s="1">
        <v>1735.0</v>
      </c>
    </row>
    <row r="16">
      <c r="A16" s="1">
        <v>10196.0</v>
      </c>
      <c r="B16" s="1">
        <v>454.0</v>
      </c>
      <c r="C16" s="1">
        <v>1.491443969E9</v>
      </c>
      <c r="D16" s="1">
        <v>1.49144599E9</v>
      </c>
      <c r="E16" s="2">
        <v>10.0</v>
      </c>
      <c r="F16" s="1">
        <v>1996.0</v>
      </c>
    </row>
    <row r="17">
      <c r="A17" s="1">
        <v>10189.0</v>
      </c>
      <c r="B17" s="1">
        <v>454.0</v>
      </c>
      <c r="C17" s="1">
        <v>1.491480039E9</v>
      </c>
      <c r="D17" s="1">
        <v>1.491480721E9</v>
      </c>
      <c r="E17" s="2">
        <v>10.0</v>
      </c>
      <c r="F17" s="1">
        <v>678.0</v>
      </c>
    </row>
    <row r="18">
      <c r="A18" s="1">
        <v>10181.0</v>
      </c>
      <c r="B18" s="1">
        <v>454.0</v>
      </c>
      <c r="C18" s="1">
        <v>1.49148041E9</v>
      </c>
      <c r="D18" s="1">
        <v>1.491480632E9</v>
      </c>
      <c r="E18" s="2">
        <v>10.0</v>
      </c>
      <c r="F18" s="1">
        <v>220.0</v>
      </c>
    </row>
    <row r="19">
      <c r="A19" s="1">
        <v>10199.0</v>
      </c>
      <c r="B19" s="1">
        <v>454.0</v>
      </c>
      <c r="C19" s="1">
        <v>1.491494022E9</v>
      </c>
      <c r="D19" s="1">
        <v>1.491494326E9</v>
      </c>
      <c r="E19" s="2">
        <v>10.0</v>
      </c>
      <c r="F19" s="1">
        <v>303.0</v>
      </c>
    </row>
    <row r="20">
      <c r="A20" s="1">
        <v>10231.0</v>
      </c>
      <c r="B20" s="1">
        <v>454.0</v>
      </c>
      <c r="C20" s="1">
        <v>1.491497112E9</v>
      </c>
      <c r="D20" s="1">
        <v>1.491497433E9</v>
      </c>
      <c r="E20" s="2">
        <v>10.0</v>
      </c>
      <c r="F20" s="1">
        <v>295.0</v>
      </c>
    </row>
    <row r="21">
      <c r="A21" s="1">
        <v>10187.0</v>
      </c>
      <c r="B21" s="1">
        <v>454.0</v>
      </c>
      <c r="C21" s="1">
        <v>1.491508032E9</v>
      </c>
      <c r="D21" s="1">
        <v>1.491508288E9</v>
      </c>
      <c r="E21" s="2">
        <v>10.0</v>
      </c>
      <c r="F21" s="1">
        <v>254.0</v>
      </c>
    </row>
    <row r="22">
      <c r="A22" s="1">
        <v>10201.0</v>
      </c>
      <c r="B22" s="1">
        <v>454.0</v>
      </c>
      <c r="C22" s="1">
        <v>1.491521351E9</v>
      </c>
      <c r="D22" s="1">
        <v>1.491523122E9</v>
      </c>
      <c r="E22" s="2">
        <v>10.0</v>
      </c>
      <c r="F22" s="1">
        <v>1769.0</v>
      </c>
    </row>
    <row r="23">
      <c r="A23" s="1">
        <v>10192.0</v>
      </c>
      <c r="B23" s="1">
        <v>454.0</v>
      </c>
      <c r="C23" s="1">
        <v>1.49152503E9</v>
      </c>
      <c r="D23" s="1">
        <v>1.491526302E9</v>
      </c>
      <c r="E23" s="2">
        <v>10.0</v>
      </c>
      <c r="F23" s="1">
        <v>1268.0</v>
      </c>
    </row>
    <row r="24">
      <c r="A24" s="1">
        <v>10176.0</v>
      </c>
      <c r="B24" s="1">
        <v>454.0</v>
      </c>
      <c r="C24" s="1">
        <v>1.491528063E9</v>
      </c>
      <c r="D24" s="1">
        <v>1.491836255E9</v>
      </c>
      <c r="E24" s="2">
        <v>10.0</v>
      </c>
      <c r="F24" s="1">
        <v>2123.0</v>
      </c>
    </row>
    <row r="25">
      <c r="A25" s="1">
        <v>10204.0</v>
      </c>
      <c r="B25" s="1">
        <v>454.0</v>
      </c>
      <c r="C25" s="1">
        <v>1.491512969E9</v>
      </c>
      <c r="D25" s="1">
        <v>1.492715834E9</v>
      </c>
      <c r="E25" s="2">
        <v>10.0</v>
      </c>
      <c r="F25" s="1">
        <v>5363.0</v>
      </c>
    </row>
    <row r="26">
      <c r="A26" s="1">
        <v>10206.0</v>
      </c>
      <c r="B26" s="1">
        <v>454.0</v>
      </c>
      <c r="C26" s="1">
        <v>1.491704884E9</v>
      </c>
      <c r="D26" s="1">
        <v>1.491705783E9</v>
      </c>
      <c r="E26" s="2">
        <v>10.0</v>
      </c>
      <c r="F26" s="1">
        <v>898.0</v>
      </c>
    </row>
    <row r="27">
      <c r="A27" s="1">
        <v>10208.0</v>
      </c>
      <c r="B27" s="1">
        <v>454.0</v>
      </c>
      <c r="C27" s="1">
        <v>1.491759104E9</v>
      </c>
      <c r="D27" s="1">
        <v>1.491759313E9</v>
      </c>
      <c r="E27" s="2">
        <v>10.0</v>
      </c>
      <c r="F27" s="1">
        <v>198.0</v>
      </c>
    </row>
    <row r="28">
      <c r="A28" s="1">
        <v>10215.0</v>
      </c>
      <c r="B28" s="1">
        <v>454.0</v>
      </c>
      <c r="C28" s="1">
        <v>1.491835155E9</v>
      </c>
      <c r="D28" s="1">
        <v>1.491835382E9</v>
      </c>
      <c r="E28" s="2">
        <v>10.0</v>
      </c>
      <c r="F28" s="1">
        <v>219.0</v>
      </c>
    </row>
    <row r="29">
      <c r="A29" s="1">
        <v>10211.0</v>
      </c>
      <c r="B29" s="1">
        <v>454.0</v>
      </c>
      <c r="C29" s="1">
        <v>1.491835242E9</v>
      </c>
      <c r="D29" s="1">
        <v>1.491836421E9</v>
      </c>
      <c r="E29" s="2">
        <v>10.0</v>
      </c>
      <c r="F29" s="1">
        <v>1176.0</v>
      </c>
    </row>
    <row r="30">
      <c r="A30" s="1">
        <v>10200.0</v>
      </c>
      <c r="B30" s="1">
        <v>454.0</v>
      </c>
      <c r="C30" s="1">
        <v>1.491847204E9</v>
      </c>
      <c r="D30" s="1">
        <v>1.492284427E9</v>
      </c>
      <c r="E30" s="2">
        <v>10.0</v>
      </c>
      <c r="F30" s="1">
        <v>4507.0</v>
      </c>
    </row>
    <row r="31">
      <c r="A31" s="1">
        <v>10171.0</v>
      </c>
      <c r="B31" s="1">
        <v>454.0</v>
      </c>
      <c r="C31" s="1">
        <v>1.491847467E9</v>
      </c>
      <c r="D31" s="1">
        <v>1.491848071E9</v>
      </c>
      <c r="E31" s="2">
        <v>10.0</v>
      </c>
      <c r="F31" s="1">
        <v>408.0</v>
      </c>
    </row>
    <row r="32">
      <c r="A32" s="1">
        <v>10191.0</v>
      </c>
      <c r="B32" s="1">
        <v>454.0</v>
      </c>
      <c r="C32" s="1">
        <v>1.491848445E9</v>
      </c>
      <c r="D32" s="1">
        <v>1.491849307E9</v>
      </c>
      <c r="E32" s="2">
        <v>10.0</v>
      </c>
      <c r="F32" s="1">
        <v>318.0</v>
      </c>
    </row>
    <row r="33">
      <c r="A33" s="1">
        <v>10212.0</v>
      </c>
      <c r="B33" s="1">
        <v>454.0</v>
      </c>
      <c r="C33" s="1">
        <v>1.491841522E9</v>
      </c>
      <c r="D33" s="1">
        <v>1.491849446E9</v>
      </c>
      <c r="E33" s="2">
        <v>10.0</v>
      </c>
      <c r="F33" s="1">
        <v>647.0</v>
      </c>
    </row>
    <row r="34">
      <c r="A34" s="1">
        <v>10197.0</v>
      </c>
      <c r="B34" s="1">
        <v>454.0</v>
      </c>
      <c r="C34" s="1">
        <v>1.491912967E9</v>
      </c>
      <c r="D34" s="1">
        <v>1.491914549E9</v>
      </c>
      <c r="E34" s="2">
        <v>10.0</v>
      </c>
      <c r="F34" s="1">
        <v>1565.0</v>
      </c>
    </row>
    <row r="35">
      <c r="A35" s="1">
        <v>10202.0</v>
      </c>
      <c r="B35" s="1">
        <v>454.0</v>
      </c>
      <c r="C35" s="1">
        <v>1.491853817E9</v>
      </c>
      <c r="D35" s="1">
        <v>1.491950087E9</v>
      </c>
      <c r="E35" s="2">
        <v>10.0</v>
      </c>
      <c r="F35" s="1">
        <v>9601.0</v>
      </c>
    </row>
    <row r="36">
      <c r="A36" s="1">
        <v>10198.0</v>
      </c>
      <c r="B36" s="1">
        <v>454.0</v>
      </c>
      <c r="C36" s="1">
        <v>1.491776964E9</v>
      </c>
      <c r="D36" s="1">
        <v>1.492193198E9</v>
      </c>
      <c r="E36" s="2">
        <v>10.0</v>
      </c>
      <c r="F36" s="1">
        <v>4116.0</v>
      </c>
    </row>
    <row r="37">
      <c r="A37" s="1">
        <v>10172.0</v>
      </c>
      <c r="B37" s="1">
        <v>454.0</v>
      </c>
      <c r="C37" s="1">
        <v>1.492456379E9</v>
      </c>
      <c r="D37" s="1">
        <v>1.49245649E9</v>
      </c>
      <c r="E37" s="2">
        <v>10.0</v>
      </c>
      <c r="F37" s="1">
        <v>108.0</v>
      </c>
    </row>
    <row r="38">
      <c r="A38" s="1">
        <v>10216.0</v>
      </c>
      <c r="B38" s="1">
        <v>454.0</v>
      </c>
      <c r="C38" s="1">
        <v>1.492532596E9</v>
      </c>
      <c r="D38" s="1">
        <v>1.49253278E9</v>
      </c>
      <c r="E38" s="2">
        <v>10.0</v>
      </c>
      <c r="F38" s="1">
        <v>181.0</v>
      </c>
    </row>
    <row r="39">
      <c r="A39" s="1">
        <v>10213.0</v>
      </c>
      <c r="B39" s="1">
        <v>454.0</v>
      </c>
      <c r="C39" s="1">
        <v>1.492560683E9</v>
      </c>
      <c r="E39" s="7"/>
      <c r="F39" s="1">
        <v>277.0</v>
      </c>
    </row>
    <row r="40">
      <c r="A40" s="1">
        <v>10203.0</v>
      </c>
      <c r="B40" s="1">
        <v>454.0</v>
      </c>
      <c r="C40" s="1">
        <v>1.492694156E9</v>
      </c>
      <c r="D40" s="1">
        <v>1.492696359E9</v>
      </c>
      <c r="E40" s="2">
        <v>10.0</v>
      </c>
      <c r="F40" s="1">
        <v>2201.0</v>
      </c>
    </row>
    <row r="41">
      <c r="A41" s="1">
        <v>10169.0</v>
      </c>
      <c r="B41" s="1">
        <v>454.0</v>
      </c>
      <c r="C41" s="1">
        <v>1.49270955E9</v>
      </c>
      <c r="D41" s="1">
        <v>1.492710921E9</v>
      </c>
      <c r="E41" s="2">
        <v>10.0</v>
      </c>
      <c r="F41" s="1">
        <v>1367.0</v>
      </c>
    </row>
    <row r="42">
      <c r="A42" s="1">
        <v>10230.0</v>
      </c>
      <c r="B42" s="1">
        <v>454.0</v>
      </c>
      <c r="C42" s="1">
        <v>0.0</v>
      </c>
      <c r="E42" s="7"/>
      <c r="F42" s="1">
        <v>0.0</v>
      </c>
    </row>
    <row r="43">
      <c r="A43" s="1">
        <v>10227.0</v>
      </c>
      <c r="B43" s="1">
        <v>454.0</v>
      </c>
      <c r="C43" s="1">
        <v>0.0</v>
      </c>
      <c r="E43" s="7"/>
      <c r="F43" s="1">
        <v>0.0</v>
      </c>
    </row>
    <row r="44">
      <c r="A44" s="1">
        <v>10233.0</v>
      </c>
      <c r="B44" s="1">
        <v>454.0</v>
      </c>
      <c r="C44" s="1">
        <v>0.0</v>
      </c>
      <c r="E44" s="7"/>
      <c r="F44" s="1">
        <v>0.0</v>
      </c>
    </row>
    <row r="45">
      <c r="A45" s="1">
        <v>10221.0</v>
      </c>
      <c r="B45" s="1">
        <v>454.0</v>
      </c>
      <c r="C45" s="1">
        <v>0.0</v>
      </c>
      <c r="E45" s="7"/>
      <c r="F45" s="1">
        <v>0.0</v>
      </c>
    </row>
    <row r="46">
      <c r="A46" s="1">
        <v>10226.0</v>
      </c>
      <c r="B46" s="1">
        <v>454.0</v>
      </c>
      <c r="C46" s="1">
        <v>0.0</v>
      </c>
      <c r="E46" s="7"/>
      <c r="F46" s="1">
        <v>0.0</v>
      </c>
    </row>
    <row r="47">
      <c r="A47" s="1">
        <v>10234.0</v>
      </c>
      <c r="B47" s="1">
        <v>454.0</v>
      </c>
      <c r="C47" s="1">
        <v>0.0</v>
      </c>
      <c r="E47" s="7"/>
      <c r="F47" s="1">
        <v>0.0</v>
      </c>
    </row>
    <row r="48">
      <c r="A48" s="1">
        <v>10186.0</v>
      </c>
      <c r="B48" s="1">
        <v>454.0</v>
      </c>
      <c r="C48" s="1">
        <v>0.0</v>
      </c>
      <c r="E48" s="7"/>
      <c r="F48" s="1">
        <v>0.0</v>
      </c>
    </row>
    <row r="49">
      <c r="A49" s="1">
        <v>10183.0</v>
      </c>
      <c r="B49" s="1">
        <v>454.0</v>
      </c>
      <c r="C49" s="1">
        <v>0.0</v>
      </c>
      <c r="E49" s="7"/>
      <c r="F49" s="1">
        <v>0.0</v>
      </c>
    </row>
    <row r="50">
      <c r="A50" s="1">
        <v>10174.0</v>
      </c>
      <c r="B50" s="1">
        <v>454.0</v>
      </c>
      <c r="C50" s="1">
        <v>0.0</v>
      </c>
      <c r="E50" s="7"/>
      <c r="F50" s="1">
        <v>0.0</v>
      </c>
    </row>
    <row r="51">
      <c r="A51" s="1">
        <v>10222.0</v>
      </c>
      <c r="B51" s="1">
        <v>454.0</v>
      </c>
      <c r="C51" s="1">
        <v>0.0</v>
      </c>
      <c r="E51" s="7"/>
      <c r="F51" s="1">
        <v>0.0</v>
      </c>
    </row>
    <row r="52">
      <c r="A52" s="1">
        <v>10238.0</v>
      </c>
      <c r="B52" s="1">
        <v>454.0</v>
      </c>
      <c r="C52" s="1">
        <v>1.492528814E9</v>
      </c>
      <c r="E52" s="7"/>
      <c r="F52" s="1">
        <v>241.0</v>
      </c>
    </row>
    <row r="53">
      <c r="A53" s="1">
        <v>10170.0</v>
      </c>
      <c r="B53" s="1">
        <v>454.0</v>
      </c>
      <c r="C53" s="1">
        <v>1.491791894E9</v>
      </c>
      <c r="E53" s="7"/>
      <c r="F53" s="1">
        <v>809.0</v>
      </c>
    </row>
    <row r="54">
      <c r="A54" s="1">
        <v>10232.0</v>
      </c>
      <c r="B54" s="1">
        <v>454.0</v>
      </c>
      <c r="C54" s="1">
        <v>0.0</v>
      </c>
      <c r="E54" s="7"/>
      <c r="F54" s="1">
        <v>0.0</v>
      </c>
    </row>
    <row r="55">
      <c r="A55" s="1">
        <v>10220.0</v>
      </c>
      <c r="B55" s="1">
        <v>454.0</v>
      </c>
      <c r="C55" s="1">
        <v>0.0</v>
      </c>
      <c r="E55" s="7"/>
      <c r="F55" s="1">
        <v>0.0</v>
      </c>
    </row>
    <row r="56">
      <c r="A56" s="1">
        <v>10179.0</v>
      </c>
      <c r="B56" s="1">
        <v>454.0</v>
      </c>
      <c r="C56" s="1">
        <v>0.0</v>
      </c>
      <c r="E56" s="7"/>
      <c r="F56" s="1">
        <v>0.0</v>
      </c>
    </row>
    <row r="57">
      <c r="A57" s="1">
        <v>10190.0</v>
      </c>
      <c r="B57" s="1">
        <v>454.0</v>
      </c>
      <c r="C57" s="1">
        <v>0.0</v>
      </c>
      <c r="E57" s="7"/>
      <c r="F57" s="1">
        <v>0.0</v>
      </c>
    </row>
    <row r="58">
      <c r="A58" s="1">
        <v>10219.0</v>
      </c>
      <c r="B58" s="1">
        <v>454.0</v>
      </c>
      <c r="C58" s="1">
        <v>0.0</v>
      </c>
      <c r="E58" s="7"/>
      <c r="F58" s="1">
        <v>0.0</v>
      </c>
    </row>
    <row r="59">
      <c r="A59" s="1">
        <v>10228.0</v>
      </c>
      <c r="B59" s="1">
        <v>454.0</v>
      </c>
      <c r="C59" s="1">
        <v>0.0</v>
      </c>
      <c r="E59" s="7"/>
      <c r="F59" s="1">
        <v>0.0</v>
      </c>
    </row>
    <row r="60">
      <c r="A60" s="1">
        <v>10237.0</v>
      </c>
      <c r="B60" s="1">
        <v>454.0</v>
      </c>
      <c r="C60" s="1">
        <v>0.0</v>
      </c>
      <c r="E60" s="7"/>
      <c r="F60" s="1">
        <v>0.0</v>
      </c>
    </row>
    <row r="61">
      <c r="A61" s="1">
        <v>10185.0</v>
      </c>
      <c r="B61" s="1">
        <v>454.0</v>
      </c>
      <c r="C61" s="1">
        <v>0.0</v>
      </c>
      <c r="E61" s="7"/>
      <c r="F61" s="1">
        <v>0.0</v>
      </c>
    </row>
    <row r="62">
      <c r="A62" s="1">
        <v>2.0</v>
      </c>
      <c r="B62" s="1">
        <v>457.0</v>
      </c>
      <c r="C62" s="1">
        <v>0.0</v>
      </c>
      <c r="D62" s="1">
        <v>1.49153054E9</v>
      </c>
      <c r="E62" s="2">
        <v>10.0</v>
      </c>
      <c r="F62" s="1">
        <v>0.0</v>
      </c>
    </row>
    <row r="63">
      <c r="A63" s="1">
        <v>10184.0</v>
      </c>
      <c r="B63" s="1">
        <v>457.0</v>
      </c>
      <c r="C63" s="1">
        <v>1.491609232E9</v>
      </c>
      <c r="D63" s="1">
        <v>1.491613379E9</v>
      </c>
      <c r="E63" s="2">
        <v>10.0</v>
      </c>
      <c r="F63" s="1">
        <v>809.0</v>
      </c>
    </row>
    <row r="64">
      <c r="A64" s="1">
        <v>10231.0</v>
      </c>
      <c r="B64" s="1">
        <v>457.0</v>
      </c>
      <c r="C64" s="1">
        <v>1.491659803E9</v>
      </c>
      <c r="D64" s="1">
        <v>1.491660863E9</v>
      </c>
      <c r="E64" s="2">
        <v>10.0</v>
      </c>
      <c r="F64" s="1">
        <v>969.0</v>
      </c>
    </row>
    <row r="65">
      <c r="A65" s="1">
        <v>10193.0</v>
      </c>
      <c r="B65" s="1">
        <v>457.0</v>
      </c>
      <c r="C65" s="1">
        <v>1.491678056E9</v>
      </c>
      <c r="D65" s="1">
        <v>1.491678662E9</v>
      </c>
      <c r="E65" s="2">
        <v>10.0</v>
      </c>
      <c r="F65" s="1">
        <v>602.0</v>
      </c>
    </row>
    <row r="66">
      <c r="A66" s="1">
        <v>10188.0</v>
      </c>
      <c r="B66" s="1">
        <v>457.0</v>
      </c>
      <c r="C66" s="1">
        <v>1.491662112E9</v>
      </c>
      <c r="D66" s="1">
        <v>1.491682657E9</v>
      </c>
      <c r="E66" s="2">
        <v>10.0</v>
      </c>
      <c r="F66" s="1">
        <v>254.0</v>
      </c>
    </row>
    <row r="67">
      <c r="A67" s="1">
        <v>10208.0</v>
      </c>
      <c r="B67" s="1">
        <v>457.0</v>
      </c>
      <c r="C67" s="1">
        <v>1.491759985E9</v>
      </c>
      <c r="D67" s="1">
        <v>1.491762639E9</v>
      </c>
      <c r="E67" s="2">
        <v>10.0</v>
      </c>
      <c r="F67" s="1">
        <v>2033.0</v>
      </c>
    </row>
    <row r="68">
      <c r="A68" s="1">
        <v>10176.0</v>
      </c>
      <c r="B68" s="1">
        <v>457.0</v>
      </c>
      <c r="C68" s="1">
        <v>1.491836077E9</v>
      </c>
      <c r="D68" s="1">
        <v>1.49246647E9</v>
      </c>
      <c r="E68" s="2">
        <v>10.0</v>
      </c>
      <c r="F68" s="1">
        <v>2208.0</v>
      </c>
    </row>
    <row r="69">
      <c r="A69" s="1">
        <v>10215.0</v>
      </c>
      <c r="B69" s="1">
        <v>457.0</v>
      </c>
      <c r="C69" s="1">
        <v>1.491837226E9</v>
      </c>
      <c r="D69" s="1">
        <v>1.491837707E9</v>
      </c>
      <c r="E69" s="2">
        <v>10.0</v>
      </c>
      <c r="F69" s="1">
        <v>461.0</v>
      </c>
    </row>
    <row r="70">
      <c r="A70" s="1">
        <v>10211.0</v>
      </c>
      <c r="B70" s="1">
        <v>457.0</v>
      </c>
      <c r="C70" s="1">
        <v>1.491838533E9</v>
      </c>
      <c r="D70" s="1">
        <v>1.491839228E9</v>
      </c>
      <c r="E70" s="2">
        <v>10.0</v>
      </c>
      <c r="F70" s="1">
        <v>691.0</v>
      </c>
    </row>
    <row r="71">
      <c r="A71" s="1">
        <v>10171.0</v>
      </c>
      <c r="B71" s="1">
        <v>457.0</v>
      </c>
      <c r="C71" s="1">
        <v>1.491848894E9</v>
      </c>
      <c r="D71" s="1">
        <v>1.49185034E9</v>
      </c>
      <c r="E71" s="2">
        <v>10.0</v>
      </c>
      <c r="F71" s="1">
        <v>1138.0</v>
      </c>
    </row>
    <row r="72">
      <c r="A72" s="1">
        <v>10212.0</v>
      </c>
      <c r="B72" s="1">
        <v>457.0</v>
      </c>
      <c r="C72" s="1">
        <v>1.49184951E9</v>
      </c>
      <c r="E72" s="7"/>
      <c r="F72" s="1">
        <v>9384.0</v>
      </c>
    </row>
    <row r="73">
      <c r="A73" s="1">
        <v>10181.0</v>
      </c>
      <c r="B73" s="1">
        <v>457.0</v>
      </c>
      <c r="C73" s="1">
        <v>1.491850793E9</v>
      </c>
      <c r="D73" s="1">
        <v>1.491851284E9</v>
      </c>
      <c r="E73" s="2">
        <v>10.0</v>
      </c>
      <c r="F73" s="1">
        <v>487.0</v>
      </c>
    </row>
    <row r="74">
      <c r="A74" s="1">
        <v>10201.0</v>
      </c>
      <c r="B74" s="1">
        <v>457.0</v>
      </c>
      <c r="C74" s="1">
        <v>1.491870766E9</v>
      </c>
      <c r="D74" s="1">
        <v>1.49244569E9</v>
      </c>
      <c r="E74" s="2">
        <v>10.0</v>
      </c>
      <c r="F74" s="1">
        <v>4369.0</v>
      </c>
    </row>
    <row r="75">
      <c r="A75" s="1">
        <v>10210.0</v>
      </c>
      <c r="B75" s="1">
        <v>457.0</v>
      </c>
      <c r="C75" s="1">
        <v>1.49191007E9</v>
      </c>
      <c r="D75" s="1">
        <v>1.491910757E9</v>
      </c>
      <c r="E75" s="2">
        <v>10.0</v>
      </c>
      <c r="F75" s="1">
        <v>684.0</v>
      </c>
    </row>
    <row r="76">
      <c r="A76" s="1">
        <v>10191.0</v>
      </c>
      <c r="B76" s="1">
        <v>457.0</v>
      </c>
      <c r="C76" s="1">
        <v>1.491924462E9</v>
      </c>
      <c r="D76" s="1">
        <v>1.491925232E9</v>
      </c>
      <c r="E76" s="2">
        <v>10.0</v>
      </c>
      <c r="F76" s="1">
        <v>1688.0</v>
      </c>
    </row>
    <row r="77">
      <c r="A77" s="1">
        <v>10175.0</v>
      </c>
      <c r="B77" s="1">
        <v>457.0</v>
      </c>
      <c r="C77" s="1">
        <v>1.491949515E9</v>
      </c>
      <c r="D77" s="1">
        <v>1.491950054E9</v>
      </c>
      <c r="E77" s="2">
        <v>10.0</v>
      </c>
      <c r="F77" s="1">
        <v>537.0</v>
      </c>
    </row>
    <row r="78">
      <c r="A78" s="1">
        <v>10206.0</v>
      </c>
      <c r="B78" s="1">
        <v>457.0</v>
      </c>
      <c r="C78" s="1">
        <v>1.491955471E9</v>
      </c>
      <c r="D78" s="1">
        <v>1.491955944E9</v>
      </c>
      <c r="E78" s="2">
        <v>10.0</v>
      </c>
      <c r="F78" s="1">
        <v>470.0</v>
      </c>
    </row>
    <row r="79">
      <c r="A79" s="1">
        <v>10204.0</v>
      </c>
      <c r="B79" s="1">
        <v>457.0</v>
      </c>
      <c r="C79" s="1">
        <v>1.49209235E9</v>
      </c>
      <c r="E79" s="7"/>
      <c r="F79" s="1">
        <v>20815.0</v>
      </c>
    </row>
    <row r="80">
      <c r="A80" s="1">
        <v>10223.0</v>
      </c>
      <c r="B80" s="1">
        <v>457.0</v>
      </c>
      <c r="C80" s="1">
        <v>1.492099491E9</v>
      </c>
      <c r="D80" s="1">
        <v>1.492105106E9</v>
      </c>
      <c r="E80" s="2">
        <v>10.0</v>
      </c>
      <c r="F80" s="1">
        <v>5600.0</v>
      </c>
    </row>
    <row r="81">
      <c r="A81" s="1">
        <v>10209.0</v>
      </c>
      <c r="B81" s="1">
        <v>457.0</v>
      </c>
      <c r="C81" s="1">
        <v>1.492012792E9</v>
      </c>
      <c r="D81" s="1">
        <v>1.49213072E9</v>
      </c>
      <c r="E81" s="2">
        <v>10.0</v>
      </c>
      <c r="F81" s="1">
        <v>1188.0</v>
      </c>
    </row>
    <row r="82">
      <c r="A82" s="1">
        <v>10198.0</v>
      </c>
      <c r="B82" s="1">
        <v>457.0</v>
      </c>
      <c r="C82" s="1">
        <v>1.492193254E9</v>
      </c>
      <c r="D82" s="1">
        <v>1.492201744E9</v>
      </c>
      <c r="E82" s="2">
        <v>10.0</v>
      </c>
      <c r="F82" s="1">
        <v>8488.0</v>
      </c>
    </row>
    <row r="83">
      <c r="A83" s="1">
        <v>10202.0</v>
      </c>
      <c r="B83" s="1">
        <v>457.0</v>
      </c>
      <c r="C83" s="1">
        <v>1.49194927E9</v>
      </c>
      <c r="E83" s="7"/>
      <c r="F83" s="1">
        <v>6809.0</v>
      </c>
    </row>
    <row r="84">
      <c r="A84" s="1">
        <v>10200.0</v>
      </c>
      <c r="B84" s="1">
        <v>457.0</v>
      </c>
      <c r="C84" s="1">
        <v>1.49228544E9</v>
      </c>
      <c r="D84" s="1">
        <v>1.492477878E9</v>
      </c>
      <c r="E84" s="2">
        <v>10.0</v>
      </c>
      <c r="F84" s="1">
        <v>25241.0</v>
      </c>
    </row>
    <row r="85">
      <c r="A85" s="1">
        <v>10217.0</v>
      </c>
      <c r="B85" s="1">
        <v>457.0</v>
      </c>
      <c r="C85" s="1">
        <v>1.492396073E9</v>
      </c>
      <c r="D85" s="1">
        <v>1.492400488E9</v>
      </c>
      <c r="E85" s="2">
        <v>10.0</v>
      </c>
      <c r="F85" s="1">
        <v>4411.0</v>
      </c>
    </row>
    <row r="86">
      <c r="A86" s="1">
        <v>10214.0</v>
      </c>
      <c r="B86" s="1">
        <v>457.0</v>
      </c>
      <c r="C86" s="1">
        <v>1.492442776E9</v>
      </c>
      <c r="D86" s="1">
        <v>1.492710406E9</v>
      </c>
      <c r="E86" s="2">
        <v>10.0</v>
      </c>
      <c r="F86" s="1">
        <v>10755.0</v>
      </c>
    </row>
    <row r="87">
      <c r="A87" s="1">
        <v>10172.0</v>
      </c>
      <c r="B87" s="1">
        <v>457.0</v>
      </c>
      <c r="C87" s="1">
        <v>1.492456619E9</v>
      </c>
      <c r="D87" s="1">
        <v>1.492458901E9</v>
      </c>
      <c r="E87" s="2">
        <v>10.0</v>
      </c>
      <c r="F87" s="1">
        <v>2278.0</v>
      </c>
    </row>
    <row r="88">
      <c r="A88" s="1">
        <v>10199.0</v>
      </c>
      <c r="B88" s="1">
        <v>457.0</v>
      </c>
      <c r="C88" s="1">
        <v>1.492457134E9</v>
      </c>
      <c r="D88" s="1">
        <v>1.49270843E9</v>
      </c>
      <c r="E88" s="2">
        <v>10.0</v>
      </c>
      <c r="F88" s="1">
        <v>12373.0</v>
      </c>
    </row>
    <row r="89">
      <c r="A89" s="1">
        <v>10219.0</v>
      </c>
      <c r="B89" s="1">
        <v>457.0</v>
      </c>
      <c r="C89" s="1">
        <v>1.492460913E9</v>
      </c>
      <c r="E89" s="7"/>
      <c r="F89" s="1">
        <v>1865.0</v>
      </c>
    </row>
    <row r="90">
      <c r="A90" s="1">
        <v>10196.0</v>
      </c>
      <c r="B90" s="1">
        <v>457.0</v>
      </c>
      <c r="C90" s="1">
        <v>1.492475522E9</v>
      </c>
      <c r="D90" s="1">
        <v>1.492476058E9</v>
      </c>
      <c r="E90" s="2">
        <v>10.0</v>
      </c>
      <c r="F90" s="1">
        <v>533.0</v>
      </c>
    </row>
    <row r="91">
      <c r="A91" s="1">
        <v>10218.0</v>
      </c>
      <c r="B91" s="1">
        <v>457.0</v>
      </c>
      <c r="C91" s="1">
        <v>1.492476501E9</v>
      </c>
      <c r="D91" s="1">
        <v>1.492476699E9</v>
      </c>
      <c r="E91" s="2">
        <v>10.0</v>
      </c>
      <c r="F91" s="1">
        <v>195.0</v>
      </c>
    </row>
    <row r="92">
      <c r="A92" s="1">
        <v>10189.0</v>
      </c>
      <c r="B92" s="1">
        <v>457.0</v>
      </c>
      <c r="C92" s="1">
        <v>1.492478556E9</v>
      </c>
      <c r="D92" s="1">
        <v>1.492478824E9</v>
      </c>
      <c r="E92" s="2">
        <v>10.0</v>
      </c>
      <c r="F92" s="1">
        <v>265.0</v>
      </c>
    </row>
    <row r="93">
      <c r="A93" s="1">
        <v>10216.0</v>
      </c>
      <c r="B93" s="1">
        <v>457.0</v>
      </c>
      <c r="C93" s="1">
        <v>1.492532874E9</v>
      </c>
      <c r="D93" s="1">
        <v>1.492533331E9</v>
      </c>
      <c r="E93" s="2">
        <v>10.0</v>
      </c>
      <c r="F93" s="1">
        <v>454.0</v>
      </c>
    </row>
    <row r="94">
      <c r="A94" s="1">
        <v>10187.0</v>
      </c>
      <c r="B94" s="1">
        <v>457.0</v>
      </c>
      <c r="C94" s="1">
        <v>1.492534312E9</v>
      </c>
      <c r="D94" s="1">
        <v>1.492539279E9</v>
      </c>
      <c r="E94" s="2">
        <v>10.0</v>
      </c>
      <c r="F94" s="1">
        <v>4913.0</v>
      </c>
    </row>
    <row r="95">
      <c r="A95" s="1">
        <v>10178.0</v>
      </c>
      <c r="B95" s="1">
        <v>457.0</v>
      </c>
      <c r="C95" s="1">
        <v>1.492556739E9</v>
      </c>
      <c r="D95" s="1">
        <v>1.49278411E9</v>
      </c>
      <c r="E95" s="2">
        <v>10.0</v>
      </c>
      <c r="F95" s="1">
        <v>1481.0</v>
      </c>
    </row>
    <row r="96">
      <c r="A96" s="1">
        <v>10169.0</v>
      </c>
      <c r="B96" s="1">
        <v>457.0</v>
      </c>
      <c r="C96" s="1">
        <v>1.49271178E9</v>
      </c>
      <c r="E96" s="7"/>
      <c r="F96" s="1">
        <v>3530.0</v>
      </c>
    </row>
    <row r="97">
      <c r="A97" s="1">
        <v>10230.0</v>
      </c>
      <c r="B97" s="1">
        <v>457.0</v>
      </c>
      <c r="C97" s="1">
        <v>0.0</v>
      </c>
      <c r="E97" s="7"/>
      <c r="F97" s="1">
        <v>0.0</v>
      </c>
    </row>
    <row r="98">
      <c r="A98" s="1">
        <v>10233.0</v>
      </c>
      <c r="B98" s="1">
        <v>457.0</v>
      </c>
      <c r="C98" s="1">
        <v>0.0</v>
      </c>
      <c r="E98" s="7"/>
      <c r="F98" s="1">
        <v>0.0</v>
      </c>
    </row>
    <row r="99">
      <c r="A99" s="1">
        <v>10226.0</v>
      </c>
      <c r="B99" s="1">
        <v>457.0</v>
      </c>
      <c r="C99" s="1">
        <v>0.0</v>
      </c>
      <c r="E99" s="7"/>
      <c r="F99" s="1">
        <v>0.0</v>
      </c>
    </row>
    <row r="100">
      <c r="A100" s="1">
        <v>10240.0</v>
      </c>
      <c r="B100" s="1">
        <v>457.0</v>
      </c>
      <c r="C100" s="1">
        <v>0.0</v>
      </c>
      <c r="E100" s="7"/>
      <c r="F100" s="1">
        <v>0.0</v>
      </c>
    </row>
    <row r="101">
      <c r="A101" s="1">
        <v>10227.0</v>
      </c>
      <c r="B101" s="1">
        <v>457.0</v>
      </c>
      <c r="C101" s="1">
        <v>0.0</v>
      </c>
      <c r="E101" s="7"/>
      <c r="F101" s="1">
        <v>0.0</v>
      </c>
    </row>
    <row r="102">
      <c r="A102" s="1">
        <v>10186.0</v>
      </c>
      <c r="B102" s="1">
        <v>457.0</v>
      </c>
      <c r="C102" s="1">
        <v>0.0</v>
      </c>
      <c r="E102" s="7"/>
      <c r="F102" s="1">
        <v>0.0</v>
      </c>
    </row>
    <row r="103">
      <c r="A103" s="1">
        <v>10197.0</v>
      </c>
      <c r="B103" s="1">
        <v>457.0</v>
      </c>
      <c r="C103" s="1">
        <v>0.0</v>
      </c>
      <c r="E103" s="7"/>
      <c r="F103" s="1">
        <v>0.0</v>
      </c>
    </row>
    <row r="104">
      <c r="A104" s="1">
        <v>10213.0</v>
      </c>
      <c r="B104" s="1">
        <v>457.0</v>
      </c>
      <c r="C104" s="1">
        <v>0.0</v>
      </c>
      <c r="E104" s="7"/>
      <c r="F104" s="1">
        <v>0.0</v>
      </c>
    </row>
    <row r="105">
      <c r="A105" s="1">
        <v>10174.0</v>
      </c>
      <c r="B105" s="1">
        <v>457.0</v>
      </c>
      <c r="C105" s="1">
        <v>0.0</v>
      </c>
      <c r="E105" s="7"/>
      <c r="F105" s="1">
        <v>0.0</v>
      </c>
    </row>
    <row r="106">
      <c r="A106" s="1">
        <v>10238.0</v>
      </c>
      <c r="B106" s="1">
        <v>457.0</v>
      </c>
      <c r="C106" s="1">
        <v>0.0</v>
      </c>
      <c r="E106" s="7"/>
      <c r="F106" s="1">
        <v>0.0</v>
      </c>
    </row>
    <row r="107">
      <c r="A107" s="1">
        <v>10232.0</v>
      </c>
      <c r="B107" s="1">
        <v>457.0</v>
      </c>
      <c r="C107" s="1">
        <v>0.0</v>
      </c>
      <c r="E107" s="7"/>
      <c r="F107" s="1">
        <v>0.0</v>
      </c>
    </row>
    <row r="108">
      <c r="A108" s="1">
        <v>10220.0</v>
      </c>
      <c r="B108" s="1">
        <v>457.0</v>
      </c>
      <c r="C108" s="1">
        <v>0.0</v>
      </c>
      <c r="E108" s="7"/>
      <c r="F108" s="1">
        <v>0.0</v>
      </c>
    </row>
    <row r="109">
      <c r="A109" s="1">
        <v>10221.0</v>
      </c>
      <c r="B109" s="1">
        <v>457.0</v>
      </c>
      <c r="C109" s="1">
        <v>0.0</v>
      </c>
      <c r="E109" s="7"/>
      <c r="F109" s="1">
        <v>0.0</v>
      </c>
    </row>
    <row r="110">
      <c r="A110" s="1">
        <v>10203.0</v>
      </c>
      <c r="B110" s="1">
        <v>457.0</v>
      </c>
      <c r="C110" s="1">
        <v>1.492696628E9</v>
      </c>
      <c r="E110" s="7"/>
      <c r="F110" s="1">
        <v>99.0</v>
      </c>
    </row>
    <row r="111">
      <c r="A111" s="1">
        <v>10222.0</v>
      </c>
      <c r="B111" s="1">
        <v>457.0</v>
      </c>
      <c r="C111" s="1">
        <v>0.0</v>
      </c>
      <c r="E111" s="7"/>
      <c r="F111" s="1">
        <v>0.0</v>
      </c>
    </row>
    <row r="112">
      <c r="A112" s="1">
        <v>10170.0</v>
      </c>
      <c r="B112" s="1">
        <v>457.0</v>
      </c>
      <c r="C112" s="1">
        <v>0.0</v>
      </c>
      <c r="E112" s="7"/>
      <c r="F112" s="1">
        <v>0.0</v>
      </c>
    </row>
    <row r="113">
      <c r="A113" s="1">
        <v>10192.0</v>
      </c>
      <c r="B113" s="1">
        <v>457.0</v>
      </c>
      <c r="C113" s="1">
        <v>1.492456908E9</v>
      </c>
      <c r="E113" s="7"/>
      <c r="F113" s="1">
        <v>8.0</v>
      </c>
    </row>
    <row r="114">
      <c r="A114" s="1">
        <v>10228.0</v>
      </c>
      <c r="B114" s="1">
        <v>457.0</v>
      </c>
      <c r="C114" s="1">
        <v>0.0</v>
      </c>
      <c r="E114" s="7"/>
      <c r="F114" s="1">
        <v>0.0</v>
      </c>
    </row>
    <row r="115">
      <c r="A115" s="1">
        <v>10237.0</v>
      </c>
      <c r="B115" s="1">
        <v>457.0</v>
      </c>
      <c r="C115" s="1">
        <v>0.0</v>
      </c>
      <c r="E115" s="7"/>
      <c r="F115" s="1">
        <v>0.0</v>
      </c>
    </row>
    <row r="116">
      <c r="A116" s="1">
        <v>10179.0</v>
      </c>
      <c r="B116" s="1">
        <v>457.0</v>
      </c>
      <c r="C116" s="1">
        <v>0.0</v>
      </c>
      <c r="E116" s="7"/>
      <c r="F116" s="1">
        <v>0.0</v>
      </c>
    </row>
    <row r="117">
      <c r="A117" s="1">
        <v>10185.0</v>
      </c>
      <c r="B117" s="1">
        <v>457.0</v>
      </c>
      <c r="C117" s="1">
        <v>0.0</v>
      </c>
      <c r="E117" s="7"/>
      <c r="F117" s="1">
        <v>0.0</v>
      </c>
    </row>
    <row r="118">
      <c r="A118" s="1">
        <v>10234.0</v>
      </c>
      <c r="B118" s="1">
        <v>457.0</v>
      </c>
      <c r="C118" s="1">
        <v>0.0</v>
      </c>
      <c r="E118" s="7"/>
      <c r="F118" s="1">
        <v>0.0</v>
      </c>
    </row>
    <row r="119">
      <c r="A119" s="1">
        <v>10190.0</v>
      </c>
      <c r="B119" s="1">
        <v>457.0</v>
      </c>
      <c r="C119" s="1">
        <v>0.0</v>
      </c>
      <c r="E119" s="7"/>
      <c r="F119" s="1">
        <v>0.0</v>
      </c>
    </row>
    <row r="120">
      <c r="A120" s="1">
        <v>2.0</v>
      </c>
      <c r="B120" s="1">
        <v>478.0</v>
      </c>
      <c r="C120" s="1">
        <v>0.0</v>
      </c>
      <c r="F120" s="1">
        <v>0.0</v>
      </c>
    </row>
    <row r="121">
      <c r="A121" s="1">
        <v>10208.0</v>
      </c>
      <c r="B121" s="1">
        <v>478.0</v>
      </c>
      <c r="C121" s="1">
        <v>1.494359988E9</v>
      </c>
      <c r="D121" s="1">
        <v>1.494361622E9</v>
      </c>
      <c r="E121" s="1">
        <v>10.0</v>
      </c>
      <c r="F121" s="1">
        <v>1631.0</v>
      </c>
    </row>
    <row r="122">
      <c r="A122" s="1">
        <v>10217.0</v>
      </c>
      <c r="B122" s="1">
        <v>478.0</v>
      </c>
      <c r="C122" s="1">
        <v>1.494357796E9</v>
      </c>
      <c r="D122" s="1">
        <v>1.494519967E9</v>
      </c>
      <c r="E122" s="1">
        <v>10.0</v>
      </c>
      <c r="F122" s="1">
        <v>12388.0</v>
      </c>
    </row>
    <row r="123">
      <c r="A123" s="1">
        <v>10184.0</v>
      </c>
      <c r="B123" s="1">
        <v>478.0</v>
      </c>
      <c r="C123" s="1">
        <v>1.494380512E9</v>
      </c>
      <c r="D123" s="1">
        <v>1.494384033E9</v>
      </c>
      <c r="E123" s="1">
        <v>10.0</v>
      </c>
      <c r="F123" s="1">
        <v>3518.0</v>
      </c>
    </row>
    <row r="124">
      <c r="A124" s="1">
        <v>10172.0</v>
      </c>
      <c r="B124" s="1">
        <v>478.0</v>
      </c>
      <c r="C124" s="1">
        <v>1.494442023E9</v>
      </c>
      <c r="F124" s="1">
        <v>6201.0</v>
      </c>
    </row>
    <row r="125">
      <c r="A125" s="1">
        <v>10175.0</v>
      </c>
      <c r="B125" s="1">
        <v>478.0</v>
      </c>
      <c r="C125" s="1">
        <v>1.494445164E9</v>
      </c>
      <c r="D125" s="1">
        <v>1.494557896E9</v>
      </c>
      <c r="E125" s="1">
        <v>10.0</v>
      </c>
      <c r="F125" s="1">
        <v>28934.0</v>
      </c>
    </row>
    <row r="126">
      <c r="A126" s="1">
        <v>10231.0</v>
      </c>
      <c r="B126" s="1">
        <v>478.0</v>
      </c>
      <c r="C126" s="1">
        <v>1.494540254E9</v>
      </c>
      <c r="D126" s="1">
        <v>1.494681777E9</v>
      </c>
      <c r="E126" s="1">
        <v>10.0</v>
      </c>
      <c r="F126" s="1">
        <v>8087.0</v>
      </c>
    </row>
    <row r="127">
      <c r="A127" s="1">
        <v>10211.0</v>
      </c>
      <c r="B127" s="1">
        <v>478.0</v>
      </c>
      <c r="C127" s="1">
        <v>1.494602932E9</v>
      </c>
      <c r="D127" s="1">
        <v>1.4946344E9</v>
      </c>
      <c r="E127" s="1">
        <v>10.0</v>
      </c>
      <c r="F127" s="1">
        <v>2577.0</v>
      </c>
    </row>
    <row r="128">
      <c r="A128" s="1">
        <v>10203.0</v>
      </c>
      <c r="B128" s="1">
        <v>478.0</v>
      </c>
      <c r="C128" s="1">
        <v>1.494625823E9</v>
      </c>
      <c r="F128" s="1">
        <v>2427.0</v>
      </c>
    </row>
    <row r="129">
      <c r="A129" s="1">
        <v>10171.0</v>
      </c>
      <c r="B129" s="1">
        <v>478.0</v>
      </c>
      <c r="C129" s="1">
        <v>1.494635899E9</v>
      </c>
      <c r="D129" s="1">
        <v>1.494638283E9</v>
      </c>
      <c r="E129" s="1">
        <v>10.0</v>
      </c>
      <c r="F129" s="1">
        <v>2382.0</v>
      </c>
    </row>
    <row r="130">
      <c r="A130" s="1">
        <v>10215.0</v>
      </c>
      <c r="B130" s="1">
        <v>478.0</v>
      </c>
      <c r="C130" s="1">
        <v>1.494700096E9</v>
      </c>
      <c r="F130" s="1">
        <v>1315.0</v>
      </c>
    </row>
    <row r="131">
      <c r="A131" s="1">
        <v>10193.0</v>
      </c>
      <c r="B131" s="1">
        <v>478.0</v>
      </c>
      <c r="C131" s="1">
        <v>1.494725881E9</v>
      </c>
      <c r="F131" s="1">
        <v>2901.0</v>
      </c>
    </row>
    <row r="132">
      <c r="A132" s="1">
        <v>10213.0</v>
      </c>
      <c r="B132" s="1">
        <v>478.0</v>
      </c>
      <c r="C132" s="1">
        <v>1.494813601E9</v>
      </c>
      <c r="D132" s="1">
        <v>1.494815779E9</v>
      </c>
      <c r="E132" s="1">
        <v>10.0</v>
      </c>
      <c r="F132" s="1">
        <v>1221.0</v>
      </c>
    </row>
    <row r="133">
      <c r="A133" s="1">
        <v>10214.0</v>
      </c>
      <c r="B133" s="1">
        <v>478.0</v>
      </c>
      <c r="C133" s="1">
        <v>1.49486389E9</v>
      </c>
      <c r="D133" s="1">
        <v>1.494899956E9</v>
      </c>
      <c r="E133" s="1">
        <v>10.0</v>
      </c>
      <c r="F133" s="1">
        <v>16178.0</v>
      </c>
    </row>
    <row r="134">
      <c r="A134" s="1">
        <v>10240.0</v>
      </c>
      <c r="B134" s="1">
        <v>478.0</v>
      </c>
      <c r="C134" s="1">
        <v>1.494886099E9</v>
      </c>
      <c r="D134" s="1">
        <v>1.494892918E9</v>
      </c>
      <c r="E134" s="1">
        <v>10.0</v>
      </c>
      <c r="F134" s="1">
        <v>5611.0</v>
      </c>
    </row>
    <row r="135">
      <c r="A135" s="1">
        <v>10181.0</v>
      </c>
      <c r="B135" s="1">
        <v>478.0</v>
      </c>
      <c r="C135" s="1">
        <v>1.494890834E9</v>
      </c>
      <c r="F135" s="1">
        <v>1873.0</v>
      </c>
    </row>
    <row r="136">
      <c r="A136" s="1">
        <v>10230.0</v>
      </c>
      <c r="B136" s="1">
        <v>478.0</v>
      </c>
      <c r="C136" s="1">
        <v>1.494887688E9</v>
      </c>
      <c r="F136" s="1">
        <v>11344.0</v>
      </c>
    </row>
    <row r="137">
      <c r="A137" s="1">
        <v>10196.0</v>
      </c>
      <c r="B137" s="1">
        <v>478.0</v>
      </c>
      <c r="C137" s="1">
        <v>0.0</v>
      </c>
      <c r="D137" s="1">
        <v>1.494894043E9</v>
      </c>
      <c r="E137" s="1">
        <v>10.0</v>
      </c>
      <c r="F137" s="1">
        <v>0.0</v>
      </c>
    </row>
    <row r="138">
      <c r="A138" s="1">
        <v>10210.0</v>
      </c>
      <c r="B138" s="1">
        <v>478.0</v>
      </c>
      <c r="C138" s="1">
        <v>1.494883218E9</v>
      </c>
      <c r="F138" s="1">
        <v>14104.0</v>
      </c>
    </row>
    <row r="139">
      <c r="A139" s="1">
        <v>10191.0</v>
      </c>
      <c r="B139" s="1">
        <v>478.0</v>
      </c>
      <c r="C139" s="1">
        <v>1.494894465E9</v>
      </c>
      <c r="F139" s="1">
        <v>1891.0</v>
      </c>
    </row>
    <row r="140">
      <c r="A140" s="1">
        <v>10218.0</v>
      </c>
      <c r="B140" s="1">
        <v>478.0</v>
      </c>
      <c r="C140" s="1">
        <v>1.49489598E9</v>
      </c>
      <c r="D140" s="1">
        <v>1.494896808E9</v>
      </c>
      <c r="E140" s="1">
        <v>10.0</v>
      </c>
      <c r="F140" s="1">
        <v>824.0</v>
      </c>
    </row>
    <row r="141">
      <c r="A141" s="1">
        <v>10206.0</v>
      </c>
      <c r="B141" s="1">
        <v>478.0</v>
      </c>
      <c r="C141" s="1">
        <v>1.49489788E9</v>
      </c>
      <c r="F141" s="1">
        <v>2952.0</v>
      </c>
    </row>
    <row r="142">
      <c r="A142" s="1">
        <v>10183.0</v>
      </c>
      <c r="B142" s="1">
        <v>478.0</v>
      </c>
      <c r="C142" s="1">
        <v>1.494958592E9</v>
      </c>
      <c r="D142" s="1">
        <v>1.494959988E9</v>
      </c>
      <c r="E142" s="1">
        <v>10.0</v>
      </c>
      <c r="F142" s="1">
        <v>202.0</v>
      </c>
    </row>
    <row r="143">
      <c r="A143" s="1">
        <v>10204.0</v>
      </c>
      <c r="B143" s="1">
        <v>478.0</v>
      </c>
      <c r="C143" s="1">
        <v>1.495109875E9</v>
      </c>
      <c r="D143" s="1">
        <v>1.495134166E9</v>
      </c>
      <c r="E143" s="1">
        <v>10.0</v>
      </c>
      <c r="F143" s="1">
        <v>6921.0</v>
      </c>
    </row>
    <row r="144">
      <c r="A144" s="1">
        <v>10216.0</v>
      </c>
      <c r="B144" s="1">
        <v>478.0</v>
      </c>
      <c r="C144" s="1">
        <v>1.495126789E9</v>
      </c>
      <c r="D144" s="1">
        <v>1.495127298E9</v>
      </c>
      <c r="E144" s="1">
        <v>10.0</v>
      </c>
      <c r="F144" s="1">
        <v>0.0</v>
      </c>
    </row>
    <row r="145">
      <c r="A145" s="1">
        <v>10188.0</v>
      </c>
      <c r="B145" s="1">
        <v>478.0</v>
      </c>
      <c r="C145" s="1">
        <v>1.495153615E9</v>
      </c>
      <c r="D145" s="1">
        <v>1.495314103E9</v>
      </c>
      <c r="E145" s="1">
        <v>10.0</v>
      </c>
      <c r="F145" s="1">
        <v>1235.0</v>
      </c>
    </row>
    <row r="146">
      <c r="A146" s="1">
        <v>10201.0</v>
      </c>
      <c r="B146" s="1">
        <v>478.0</v>
      </c>
      <c r="C146" s="1">
        <v>1.49486129E9</v>
      </c>
      <c r="F146" s="1">
        <v>2093.0</v>
      </c>
    </row>
    <row r="147">
      <c r="A147" s="1">
        <v>10174.0</v>
      </c>
      <c r="B147" s="1">
        <v>478.0</v>
      </c>
      <c r="C147" s="1">
        <v>1.495506702E9</v>
      </c>
      <c r="D147" s="1">
        <v>1.495768725E9</v>
      </c>
      <c r="E147" s="1">
        <v>10.0</v>
      </c>
      <c r="F147" s="1">
        <v>11266.0</v>
      </c>
    </row>
    <row r="148">
      <c r="A148" s="1">
        <v>10189.0</v>
      </c>
      <c r="B148" s="1">
        <v>478.0</v>
      </c>
      <c r="C148" s="1">
        <v>1.495555128E9</v>
      </c>
      <c r="D148" s="1">
        <v>1.495556003E9</v>
      </c>
      <c r="E148" s="1">
        <v>10.0</v>
      </c>
      <c r="F148" s="1">
        <v>872.0</v>
      </c>
    </row>
    <row r="149">
      <c r="A149" s="1">
        <v>10176.0</v>
      </c>
      <c r="B149" s="1">
        <v>478.0</v>
      </c>
      <c r="C149" s="1">
        <v>0.0</v>
      </c>
      <c r="F149" s="1">
        <v>0.0</v>
      </c>
    </row>
    <row r="150">
      <c r="A150" s="1">
        <v>10198.0</v>
      </c>
      <c r="B150" s="1">
        <v>478.0</v>
      </c>
      <c r="C150" s="1">
        <v>0.0</v>
      </c>
      <c r="F150" s="1">
        <v>0.0</v>
      </c>
    </row>
    <row r="151">
      <c r="A151" s="1">
        <v>10187.0</v>
      </c>
      <c r="B151" s="1">
        <v>478.0</v>
      </c>
      <c r="C151" s="1">
        <v>0.0</v>
      </c>
      <c r="F151" s="1">
        <v>0.0</v>
      </c>
    </row>
    <row r="152">
      <c r="A152" s="1">
        <v>10178.0</v>
      </c>
      <c r="B152" s="1">
        <v>478.0</v>
      </c>
      <c r="C152" s="1">
        <v>0.0</v>
      </c>
      <c r="F152" s="1">
        <v>0.0</v>
      </c>
    </row>
    <row r="153">
      <c r="A153" s="1">
        <v>10200.0</v>
      </c>
      <c r="B153" s="1">
        <v>478.0</v>
      </c>
      <c r="C153" s="1">
        <v>0.0</v>
      </c>
      <c r="F153" s="1">
        <v>0.0</v>
      </c>
    </row>
    <row r="154">
      <c r="A154" s="1">
        <v>10222.0</v>
      </c>
      <c r="B154" s="1">
        <v>478.0</v>
      </c>
      <c r="C154" s="1">
        <v>0.0</v>
      </c>
      <c r="F154" s="1">
        <v>0.0</v>
      </c>
    </row>
    <row r="155">
      <c r="A155" s="1">
        <v>10192.0</v>
      </c>
      <c r="B155" s="1">
        <v>478.0</v>
      </c>
      <c r="C155" s="1">
        <v>0.0</v>
      </c>
      <c r="F155" s="1">
        <v>0.0</v>
      </c>
    </row>
    <row r="156">
      <c r="A156" s="1">
        <v>10219.0</v>
      </c>
      <c r="B156" s="1">
        <v>478.0</v>
      </c>
      <c r="C156" s="1">
        <v>0.0</v>
      </c>
      <c r="F156" s="1">
        <v>0.0</v>
      </c>
    </row>
    <row r="157">
      <c r="A157" s="1">
        <v>10227.0</v>
      </c>
      <c r="B157" s="1">
        <v>478.0</v>
      </c>
      <c r="C157" s="1">
        <v>0.0</v>
      </c>
      <c r="F157" s="1">
        <v>0.0</v>
      </c>
    </row>
    <row r="158">
      <c r="A158" s="1">
        <v>10234.0</v>
      </c>
      <c r="B158" s="1">
        <v>478.0</v>
      </c>
      <c r="C158" s="1">
        <v>0.0</v>
      </c>
      <c r="F158" s="1">
        <v>0.0</v>
      </c>
    </row>
    <row r="159">
      <c r="A159" s="1">
        <v>10190.0</v>
      </c>
      <c r="B159" s="1">
        <v>478.0</v>
      </c>
      <c r="C159" s="1">
        <v>0.0</v>
      </c>
      <c r="F159" s="1">
        <v>0.0</v>
      </c>
    </row>
    <row r="160">
      <c r="A160" s="1">
        <v>10209.0</v>
      </c>
      <c r="B160" s="1">
        <v>478.0</v>
      </c>
      <c r="C160" s="1">
        <v>0.0</v>
      </c>
      <c r="F160" s="1">
        <v>0.0</v>
      </c>
    </row>
    <row r="161">
      <c r="A161" s="1">
        <v>10186.0</v>
      </c>
      <c r="B161" s="1">
        <v>478.0</v>
      </c>
      <c r="C161" s="1">
        <v>0.0</v>
      </c>
      <c r="F161" s="1">
        <v>0.0</v>
      </c>
    </row>
    <row r="162">
      <c r="A162" s="1">
        <v>10228.0</v>
      </c>
      <c r="B162" s="1">
        <v>478.0</v>
      </c>
      <c r="C162" s="1">
        <v>0.0</v>
      </c>
      <c r="F162" s="1">
        <v>0.0</v>
      </c>
    </row>
    <row r="163">
      <c r="A163" s="1">
        <v>10202.0</v>
      </c>
      <c r="B163" s="1">
        <v>478.0</v>
      </c>
      <c r="C163" s="1">
        <v>0.0</v>
      </c>
      <c r="F163" s="1">
        <v>0.0</v>
      </c>
    </row>
    <row r="164">
      <c r="A164" s="1">
        <v>10232.0</v>
      </c>
      <c r="B164" s="1">
        <v>478.0</v>
      </c>
      <c r="C164" s="1">
        <v>0.0</v>
      </c>
      <c r="F164" s="1">
        <v>0.0</v>
      </c>
    </row>
    <row r="165">
      <c r="A165" s="1">
        <v>10169.0</v>
      </c>
      <c r="B165" s="1">
        <v>478.0</v>
      </c>
      <c r="C165" s="1">
        <v>0.0</v>
      </c>
      <c r="F165" s="1">
        <v>0.0</v>
      </c>
    </row>
    <row r="166">
      <c r="A166" s="1">
        <v>10185.0</v>
      </c>
      <c r="B166" s="1">
        <v>478.0</v>
      </c>
      <c r="C166" s="1">
        <v>0.0</v>
      </c>
      <c r="F166" s="1">
        <v>0.0</v>
      </c>
    </row>
    <row r="167">
      <c r="A167" s="1">
        <v>10179.0</v>
      </c>
      <c r="B167" s="1">
        <v>478.0</v>
      </c>
      <c r="C167" s="1">
        <v>0.0</v>
      </c>
      <c r="F167" s="1">
        <v>0.0</v>
      </c>
    </row>
    <row r="168">
      <c r="A168" s="1">
        <v>10237.0</v>
      </c>
      <c r="B168" s="1">
        <v>478.0</v>
      </c>
      <c r="C168" s="1">
        <v>0.0</v>
      </c>
      <c r="F168" s="1">
        <v>0.0</v>
      </c>
    </row>
    <row r="169">
      <c r="A169" s="1">
        <v>10221.0</v>
      </c>
      <c r="B169" s="1">
        <v>478.0</v>
      </c>
      <c r="C169" s="1">
        <v>0.0</v>
      </c>
      <c r="F169" s="1">
        <v>0.0</v>
      </c>
    </row>
    <row r="170">
      <c r="A170" s="1">
        <v>10170.0</v>
      </c>
      <c r="B170" s="1">
        <v>478.0</v>
      </c>
      <c r="C170" s="1">
        <v>0.0</v>
      </c>
      <c r="F170" s="1">
        <v>0.0</v>
      </c>
    </row>
    <row r="171">
      <c r="A171" s="1">
        <v>10226.0</v>
      </c>
      <c r="B171" s="1">
        <v>478.0</v>
      </c>
      <c r="C171" s="1">
        <v>0.0</v>
      </c>
      <c r="F171" s="1">
        <v>0.0</v>
      </c>
    </row>
    <row r="172">
      <c r="A172" s="1">
        <v>10197.0</v>
      </c>
      <c r="B172" s="1">
        <v>478.0</v>
      </c>
      <c r="C172" s="1">
        <v>1.495564317E9</v>
      </c>
      <c r="F172" s="1">
        <v>578.0</v>
      </c>
    </row>
    <row r="173">
      <c r="A173" s="1">
        <v>2.0</v>
      </c>
      <c r="B173" s="1">
        <v>498.0</v>
      </c>
      <c r="C173" s="1">
        <v>0.0</v>
      </c>
      <c r="D173" s="1">
        <v>1.491333732E9</v>
      </c>
      <c r="E173" s="1">
        <v>10.0</v>
      </c>
      <c r="F173" s="1">
        <v>0.0</v>
      </c>
    </row>
    <row r="174">
      <c r="A174" s="1">
        <v>10208.0</v>
      </c>
      <c r="B174" s="1">
        <v>498.0</v>
      </c>
      <c r="C174" s="1">
        <v>1.492445132E9</v>
      </c>
      <c r="D174" s="1">
        <v>1.492446937E9</v>
      </c>
      <c r="E174" s="1">
        <v>10.0</v>
      </c>
      <c r="F174" s="1">
        <v>1172.0</v>
      </c>
    </row>
    <row r="175">
      <c r="A175" s="1">
        <v>10201.0</v>
      </c>
      <c r="B175" s="1">
        <v>498.0</v>
      </c>
      <c r="C175" s="1">
        <v>1.492445713E9</v>
      </c>
      <c r="D175" s="1">
        <v>1.492446959E9</v>
      </c>
      <c r="E175" s="1">
        <v>10.0</v>
      </c>
      <c r="F175" s="1">
        <v>1095.0</v>
      </c>
    </row>
    <row r="176">
      <c r="A176" s="1">
        <v>10184.0</v>
      </c>
      <c r="B176" s="1">
        <v>498.0</v>
      </c>
      <c r="C176" s="1">
        <v>1.492445317E9</v>
      </c>
      <c r="D176" s="1">
        <v>1.492446609E9</v>
      </c>
      <c r="E176" s="1">
        <v>10.0</v>
      </c>
      <c r="F176" s="1">
        <v>317.0</v>
      </c>
    </row>
    <row r="177">
      <c r="A177" s="1">
        <v>10172.0</v>
      </c>
      <c r="B177" s="1">
        <v>498.0</v>
      </c>
      <c r="C177" s="1">
        <v>1.492455544E9</v>
      </c>
      <c r="D177" s="1">
        <v>1.492455921E9</v>
      </c>
      <c r="E177" s="1">
        <v>10.0</v>
      </c>
      <c r="F177" s="1">
        <v>375.0</v>
      </c>
    </row>
    <row r="178">
      <c r="A178" s="1">
        <v>10169.0</v>
      </c>
      <c r="B178" s="1">
        <v>498.0</v>
      </c>
      <c r="C178" s="1">
        <v>1.492461549E9</v>
      </c>
      <c r="D178" s="1">
        <v>1.4924619E9</v>
      </c>
      <c r="E178" s="1">
        <v>10.0</v>
      </c>
      <c r="F178" s="1">
        <v>347.0</v>
      </c>
    </row>
    <row r="179">
      <c r="A179" s="1">
        <v>10188.0</v>
      </c>
      <c r="B179" s="1">
        <v>498.0</v>
      </c>
      <c r="C179" s="1">
        <v>1.492468833E9</v>
      </c>
      <c r="D179" s="1">
        <v>1.4924691E9</v>
      </c>
      <c r="E179" s="1">
        <v>10.0</v>
      </c>
      <c r="F179" s="1">
        <v>263.0</v>
      </c>
    </row>
    <row r="180">
      <c r="A180" s="1">
        <v>10227.0</v>
      </c>
      <c r="B180" s="1">
        <v>498.0</v>
      </c>
      <c r="C180" s="1">
        <v>1.492468765E9</v>
      </c>
      <c r="F180" s="1">
        <v>8048.0</v>
      </c>
    </row>
    <row r="181">
      <c r="A181" s="1">
        <v>10195.0</v>
      </c>
      <c r="B181" s="1">
        <v>498.0</v>
      </c>
      <c r="C181" s="1">
        <v>1.492469565E9</v>
      </c>
      <c r="D181" s="1">
        <v>1.492471195E9</v>
      </c>
      <c r="E181" s="1">
        <v>10.0</v>
      </c>
      <c r="F181" s="1">
        <v>1626.0</v>
      </c>
    </row>
    <row r="182">
      <c r="A182" s="1">
        <v>10206.0</v>
      </c>
      <c r="B182" s="1">
        <v>498.0</v>
      </c>
      <c r="C182" s="1">
        <v>1.492474909E9</v>
      </c>
      <c r="D182" s="1">
        <v>1.492475156E9</v>
      </c>
      <c r="E182" s="1">
        <v>10.0</v>
      </c>
      <c r="F182" s="1">
        <v>244.0</v>
      </c>
    </row>
    <row r="183">
      <c r="A183" s="1">
        <v>10181.0</v>
      </c>
      <c r="B183" s="1">
        <v>498.0</v>
      </c>
      <c r="C183" s="1">
        <v>1.492475458E9</v>
      </c>
      <c r="F183" s="1">
        <v>3112.0</v>
      </c>
    </row>
    <row r="184">
      <c r="A184" s="1">
        <v>10196.0</v>
      </c>
      <c r="B184" s="1">
        <v>498.0</v>
      </c>
      <c r="C184" s="1">
        <v>1.49247616E9</v>
      </c>
      <c r="D184" s="1">
        <v>1.492477993E9</v>
      </c>
      <c r="E184" s="1">
        <v>10.0</v>
      </c>
      <c r="F184" s="1">
        <v>1830.0</v>
      </c>
    </row>
    <row r="185">
      <c r="A185" s="1">
        <v>10218.0</v>
      </c>
      <c r="B185" s="1">
        <v>498.0</v>
      </c>
      <c r="C185" s="1">
        <v>1.492476951E9</v>
      </c>
      <c r="D185" s="1">
        <v>1.492477325E9</v>
      </c>
      <c r="E185" s="1">
        <v>10.0</v>
      </c>
      <c r="F185" s="1">
        <v>372.0</v>
      </c>
    </row>
    <row r="186">
      <c r="A186" s="1">
        <v>10187.0</v>
      </c>
      <c r="B186" s="1">
        <v>498.0</v>
      </c>
      <c r="C186" s="1">
        <v>1.492478131E9</v>
      </c>
      <c r="D186" s="1">
        <v>1.492478476E9</v>
      </c>
      <c r="E186" s="1">
        <v>10.0</v>
      </c>
      <c r="F186" s="1">
        <v>341.0</v>
      </c>
    </row>
    <row r="187">
      <c r="A187" s="1">
        <v>10193.0</v>
      </c>
      <c r="B187" s="1">
        <v>498.0</v>
      </c>
      <c r="C187" s="1">
        <v>1.492479717E9</v>
      </c>
      <c r="D187" s="1">
        <v>1.492480059E9</v>
      </c>
      <c r="E187" s="1">
        <v>10.0</v>
      </c>
      <c r="F187" s="1">
        <v>340.0</v>
      </c>
    </row>
    <row r="188">
      <c r="A188" s="1">
        <v>10232.0</v>
      </c>
      <c r="B188" s="1">
        <v>498.0</v>
      </c>
      <c r="C188" s="1">
        <v>1.492512903E9</v>
      </c>
      <c r="D188" s="1">
        <v>1.492513811E9</v>
      </c>
      <c r="E188" s="1">
        <v>10.0</v>
      </c>
      <c r="F188" s="1">
        <v>907.0</v>
      </c>
    </row>
    <row r="189">
      <c r="A189" s="1">
        <v>10240.0</v>
      </c>
      <c r="B189" s="1">
        <v>498.0</v>
      </c>
      <c r="C189" s="1">
        <v>1.492528581E9</v>
      </c>
      <c r="D189" s="1">
        <v>1.492530482E9</v>
      </c>
      <c r="E189" s="1">
        <v>10.0</v>
      </c>
      <c r="F189" s="1">
        <v>1394.0</v>
      </c>
    </row>
    <row r="190">
      <c r="A190" s="1">
        <v>10217.0</v>
      </c>
      <c r="B190" s="1">
        <v>498.0</v>
      </c>
      <c r="C190" s="1">
        <v>1.492532694E9</v>
      </c>
      <c r="D190" s="1">
        <v>1.492533424E9</v>
      </c>
      <c r="E190" s="1">
        <v>10.0</v>
      </c>
      <c r="F190" s="1">
        <v>728.0</v>
      </c>
    </row>
    <row r="191">
      <c r="A191" s="1">
        <v>10216.0</v>
      </c>
      <c r="B191" s="1">
        <v>498.0</v>
      </c>
      <c r="C191" s="1">
        <v>1.492533456E9</v>
      </c>
      <c r="D191" s="1">
        <v>1.492533681E9</v>
      </c>
      <c r="E191" s="1">
        <v>10.0</v>
      </c>
      <c r="F191" s="1">
        <v>222.0</v>
      </c>
    </row>
    <row r="192">
      <c r="A192" s="1">
        <v>10197.0</v>
      </c>
      <c r="B192" s="1">
        <v>498.0</v>
      </c>
      <c r="C192" s="1">
        <v>1.492548595E9</v>
      </c>
      <c r="D192" s="1">
        <v>1.492946634E9</v>
      </c>
      <c r="E192" s="1">
        <v>10.0</v>
      </c>
      <c r="F192" s="1">
        <v>5906.0</v>
      </c>
    </row>
    <row r="193">
      <c r="A193" s="1">
        <v>10183.0</v>
      </c>
      <c r="B193" s="1">
        <v>498.0</v>
      </c>
      <c r="C193" s="1">
        <v>1.492557006E9</v>
      </c>
      <c r="D193" s="1">
        <v>1.492558113E9</v>
      </c>
      <c r="E193" s="1">
        <v>10.0</v>
      </c>
      <c r="F193" s="1">
        <v>555.0</v>
      </c>
    </row>
    <row r="194">
      <c r="A194" s="1">
        <v>10214.0</v>
      </c>
      <c r="B194" s="1">
        <v>498.0</v>
      </c>
      <c r="C194" s="1">
        <v>1.492638819E9</v>
      </c>
      <c r="D194" s="1">
        <v>1.492707773E9</v>
      </c>
      <c r="E194" s="1">
        <v>10.0</v>
      </c>
      <c r="F194" s="1">
        <v>991.0</v>
      </c>
    </row>
    <row r="195">
      <c r="A195" s="1">
        <v>10203.0</v>
      </c>
      <c r="B195" s="1">
        <v>498.0</v>
      </c>
      <c r="C195" s="1">
        <v>1.492645265E9</v>
      </c>
      <c r="D195" s="1">
        <v>1.49264595E9</v>
      </c>
      <c r="E195" s="1">
        <v>10.0</v>
      </c>
      <c r="F195" s="1">
        <v>683.0</v>
      </c>
    </row>
    <row r="196">
      <c r="A196" s="1">
        <v>10204.0</v>
      </c>
      <c r="B196" s="1">
        <v>498.0</v>
      </c>
      <c r="C196" s="1">
        <v>1.492704342E9</v>
      </c>
      <c r="D196" s="1">
        <v>1.492705801E9</v>
      </c>
      <c r="E196" s="1">
        <v>10.0</v>
      </c>
      <c r="F196" s="1">
        <v>1402.0</v>
      </c>
    </row>
    <row r="197">
      <c r="A197" s="1">
        <v>10199.0</v>
      </c>
      <c r="B197" s="1">
        <v>498.0</v>
      </c>
      <c r="C197" s="1">
        <v>1.492708689E9</v>
      </c>
      <c r="D197" s="1">
        <v>1.492709474E9</v>
      </c>
      <c r="E197" s="1">
        <v>10.0</v>
      </c>
      <c r="F197" s="1">
        <v>783.0</v>
      </c>
    </row>
    <row r="198">
      <c r="A198" s="1">
        <v>10189.0</v>
      </c>
      <c r="B198" s="1">
        <v>498.0</v>
      </c>
      <c r="C198" s="1">
        <v>1.492709638E9</v>
      </c>
      <c r="D198" s="1">
        <v>1.492710037E9</v>
      </c>
      <c r="E198" s="1">
        <v>10.0</v>
      </c>
      <c r="F198" s="1">
        <v>395.0</v>
      </c>
    </row>
    <row r="199">
      <c r="A199" s="1">
        <v>10215.0</v>
      </c>
      <c r="B199" s="1">
        <v>498.0</v>
      </c>
      <c r="C199" s="1">
        <v>1.4927092E9</v>
      </c>
      <c r="D199" s="1">
        <v>1.49271286E9</v>
      </c>
      <c r="E199" s="1">
        <v>10.0</v>
      </c>
      <c r="F199" s="1">
        <v>1912.0</v>
      </c>
    </row>
    <row r="200">
      <c r="A200" s="1">
        <v>10213.0</v>
      </c>
      <c r="B200" s="1">
        <v>498.0</v>
      </c>
      <c r="C200" s="1">
        <v>1.492711295E9</v>
      </c>
      <c r="D200" s="1">
        <v>1.492713895E9</v>
      </c>
      <c r="E200" s="1">
        <v>10.0</v>
      </c>
      <c r="F200" s="1">
        <v>744.0</v>
      </c>
    </row>
    <row r="201">
      <c r="A201" s="1">
        <v>10190.0</v>
      </c>
      <c r="B201" s="1">
        <v>498.0</v>
      </c>
      <c r="C201" s="1">
        <v>1.492714734E9</v>
      </c>
      <c r="D201" s="1">
        <v>1.492715534E9</v>
      </c>
      <c r="E201" s="1">
        <v>10.0</v>
      </c>
      <c r="F201" s="1">
        <v>798.0</v>
      </c>
    </row>
    <row r="202">
      <c r="A202" s="1">
        <v>10178.0</v>
      </c>
      <c r="B202" s="1">
        <v>498.0</v>
      </c>
      <c r="C202" s="1">
        <v>1.492717778E9</v>
      </c>
      <c r="D202" s="1">
        <v>1.492718017E9</v>
      </c>
      <c r="E202" s="1">
        <v>10.0</v>
      </c>
      <c r="F202" s="1">
        <v>235.0</v>
      </c>
    </row>
    <row r="203">
      <c r="A203" s="1">
        <v>10231.0</v>
      </c>
      <c r="B203" s="1">
        <v>498.0</v>
      </c>
      <c r="C203" s="1">
        <v>1.492782133E9</v>
      </c>
      <c r="D203" s="1">
        <v>1.492782477E9</v>
      </c>
      <c r="E203" s="1">
        <v>10.0</v>
      </c>
      <c r="F203" s="1">
        <v>342.0</v>
      </c>
    </row>
    <row r="204">
      <c r="A204" s="1">
        <v>10171.0</v>
      </c>
      <c r="B204" s="1">
        <v>498.0</v>
      </c>
      <c r="C204" s="1">
        <v>1.492868308E9</v>
      </c>
      <c r="D204" s="1">
        <v>1.492869054E9</v>
      </c>
      <c r="E204" s="1">
        <v>10.0</v>
      </c>
      <c r="F204" s="1">
        <v>743.0</v>
      </c>
    </row>
    <row r="205">
      <c r="A205" s="1">
        <v>10211.0</v>
      </c>
      <c r="B205" s="1">
        <v>498.0</v>
      </c>
      <c r="C205" s="1">
        <v>1.492874129E9</v>
      </c>
      <c r="D205" s="1">
        <v>1.492874341E9</v>
      </c>
      <c r="E205" s="1">
        <v>10.0</v>
      </c>
      <c r="F205" s="1">
        <v>211.0</v>
      </c>
    </row>
    <row r="206">
      <c r="A206" s="1">
        <v>10176.0</v>
      </c>
      <c r="B206" s="1">
        <v>498.0</v>
      </c>
      <c r="C206" s="1">
        <v>1.49288444E9</v>
      </c>
      <c r="D206" s="1">
        <v>1.492885387E9</v>
      </c>
      <c r="E206" s="1">
        <v>10.0</v>
      </c>
      <c r="F206" s="1">
        <v>426.0</v>
      </c>
    </row>
    <row r="207">
      <c r="A207" s="1">
        <v>10200.0</v>
      </c>
      <c r="B207" s="1">
        <v>498.0</v>
      </c>
      <c r="C207" s="1">
        <v>1.492892078E9</v>
      </c>
      <c r="D207" s="1">
        <v>1.492893268E9</v>
      </c>
      <c r="E207" s="1">
        <v>10.0</v>
      </c>
      <c r="F207" s="1">
        <v>1188.0</v>
      </c>
    </row>
    <row r="208">
      <c r="A208" s="1">
        <v>10175.0</v>
      </c>
      <c r="B208" s="1">
        <v>498.0</v>
      </c>
      <c r="C208" s="1">
        <v>1.492984716E9</v>
      </c>
      <c r="D208" s="1">
        <v>1.492985216E9</v>
      </c>
      <c r="E208" s="1">
        <v>10.0</v>
      </c>
      <c r="F208" s="1">
        <v>496.0</v>
      </c>
    </row>
    <row r="209">
      <c r="A209" s="1">
        <v>10198.0</v>
      </c>
      <c r="B209" s="1">
        <v>498.0</v>
      </c>
      <c r="C209" s="1">
        <v>1.493071247E9</v>
      </c>
      <c r="D209" s="1">
        <v>1.493072595E9</v>
      </c>
      <c r="E209" s="1">
        <v>10.0</v>
      </c>
      <c r="F209" s="1">
        <v>1344.0</v>
      </c>
    </row>
    <row r="210">
      <c r="A210" s="1">
        <v>10192.0</v>
      </c>
      <c r="B210" s="1">
        <v>498.0</v>
      </c>
      <c r="C210" s="1">
        <v>1.493072087E9</v>
      </c>
      <c r="D210" s="1">
        <v>1.493075869E9</v>
      </c>
      <c r="E210" s="1">
        <v>10.0</v>
      </c>
      <c r="F210" s="1">
        <v>2465.0</v>
      </c>
    </row>
    <row r="211">
      <c r="A211" s="1">
        <v>10224.0</v>
      </c>
      <c r="B211" s="1">
        <v>498.0</v>
      </c>
      <c r="C211" s="1">
        <v>1.493085514E9</v>
      </c>
      <c r="D211" s="1">
        <v>1.493085997E9</v>
      </c>
      <c r="E211" s="1">
        <v>10.0</v>
      </c>
      <c r="F211" s="1">
        <v>479.0</v>
      </c>
    </row>
    <row r="212">
      <c r="A212" s="1">
        <v>10191.0</v>
      </c>
      <c r="B212" s="1">
        <v>498.0</v>
      </c>
      <c r="C212" s="1">
        <v>0.0</v>
      </c>
      <c r="F212" s="1">
        <v>0.0</v>
      </c>
    </row>
    <row r="213">
      <c r="A213" s="1">
        <v>10230.0</v>
      </c>
      <c r="B213" s="1">
        <v>498.0</v>
      </c>
      <c r="C213" s="1">
        <v>0.0</v>
      </c>
      <c r="F213" s="1">
        <v>0.0</v>
      </c>
    </row>
    <row r="214">
      <c r="A214" s="1">
        <v>10174.0</v>
      </c>
      <c r="B214" s="1">
        <v>498.0</v>
      </c>
      <c r="C214" s="1">
        <v>0.0</v>
      </c>
      <c r="F214" s="1">
        <v>0.0</v>
      </c>
    </row>
    <row r="215">
      <c r="A215" s="1">
        <v>10210.0</v>
      </c>
      <c r="B215" s="1">
        <v>498.0</v>
      </c>
      <c r="C215" s="1">
        <v>0.0</v>
      </c>
      <c r="F215" s="1">
        <v>0.0</v>
      </c>
    </row>
    <row r="216">
      <c r="A216" s="1">
        <v>10233.0</v>
      </c>
      <c r="B216" s="1">
        <v>498.0</v>
      </c>
      <c r="C216" s="1">
        <v>0.0</v>
      </c>
      <c r="F216" s="1">
        <v>0.0</v>
      </c>
    </row>
    <row r="217">
      <c r="A217" s="1">
        <v>10170.0</v>
      </c>
      <c r="B217" s="1">
        <v>498.0</v>
      </c>
      <c r="C217" s="1">
        <v>0.0</v>
      </c>
      <c r="F217" s="1">
        <v>0.0</v>
      </c>
    </row>
    <row r="218">
      <c r="A218" s="1">
        <v>10226.0</v>
      </c>
      <c r="B218" s="1">
        <v>498.0</v>
      </c>
      <c r="C218" s="1">
        <v>0.0</v>
      </c>
      <c r="F218" s="1">
        <v>0.0</v>
      </c>
    </row>
    <row r="219">
      <c r="A219" s="1">
        <v>10221.0</v>
      </c>
      <c r="B219" s="1">
        <v>498.0</v>
      </c>
      <c r="C219" s="1">
        <v>0.0</v>
      </c>
      <c r="F219" s="1">
        <v>0.0</v>
      </c>
    </row>
    <row r="220">
      <c r="A220" s="1">
        <v>10234.0</v>
      </c>
      <c r="B220" s="1">
        <v>498.0</v>
      </c>
      <c r="C220" s="1">
        <v>0.0</v>
      </c>
      <c r="F220" s="1">
        <v>0.0</v>
      </c>
    </row>
    <row r="221">
      <c r="A221" s="1">
        <v>10185.0</v>
      </c>
      <c r="B221" s="1">
        <v>498.0</v>
      </c>
      <c r="C221" s="1">
        <v>0.0</v>
      </c>
      <c r="F221" s="1">
        <v>0.0</v>
      </c>
    </row>
    <row r="222">
      <c r="A222" s="1">
        <v>10186.0</v>
      </c>
      <c r="B222" s="1">
        <v>498.0</v>
      </c>
      <c r="C222" s="1">
        <v>0.0</v>
      </c>
      <c r="F222" s="1">
        <v>0.0</v>
      </c>
    </row>
    <row r="223">
      <c r="A223" s="1">
        <v>10238.0</v>
      </c>
      <c r="B223" s="1">
        <v>498.0</v>
      </c>
      <c r="C223" s="1">
        <v>0.0</v>
      </c>
      <c r="F223" s="1">
        <v>0.0</v>
      </c>
    </row>
    <row r="224">
      <c r="A224" s="1">
        <v>10219.0</v>
      </c>
      <c r="B224" s="1">
        <v>498.0</v>
      </c>
      <c r="C224" s="1">
        <v>0.0</v>
      </c>
      <c r="F224" s="1">
        <v>0.0</v>
      </c>
    </row>
    <row r="225">
      <c r="A225" s="1">
        <v>10222.0</v>
      </c>
      <c r="B225" s="1">
        <v>498.0</v>
      </c>
      <c r="C225" s="1">
        <v>0.0</v>
      </c>
      <c r="F225" s="1">
        <v>0.0</v>
      </c>
    </row>
    <row r="226">
      <c r="A226" s="1">
        <v>10237.0</v>
      </c>
      <c r="B226" s="1">
        <v>498.0</v>
      </c>
      <c r="C226" s="1">
        <v>0.0</v>
      </c>
      <c r="F226" s="1">
        <v>0.0</v>
      </c>
    </row>
    <row r="227">
      <c r="A227" s="1">
        <v>10209.0</v>
      </c>
      <c r="B227" s="1">
        <v>498.0</v>
      </c>
      <c r="C227" s="1">
        <v>0.0</v>
      </c>
      <c r="F227" s="1">
        <v>0.0</v>
      </c>
    </row>
    <row r="228">
      <c r="A228" s="1">
        <v>10228.0</v>
      </c>
      <c r="B228" s="1">
        <v>498.0</v>
      </c>
      <c r="C228" s="1">
        <v>0.0</v>
      </c>
      <c r="F228" s="1">
        <v>0.0</v>
      </c>
    </row>
    <row r="229">
      <c r="A229" s="1">
        <v>10223.0</v>
      </c>
      <c r="B229" s="1">
        <v>498.0</v>
      </c>
      <c r="C229" s="1">
        <v>0.0</v>
      </c>
      <c r="F229" s="1">
        <v>0.0</v>
      </c>
    </row>
    <row r="230">
      <c r="A230" s="1">
        <v>10202.0</v>
      </c>
      <c r="B230" s="1">
        <v>498.0</v>
      </c>
      <c r="C230" s="1">
        <v>0.0</v>
      </c>
      <c r="F230" s="1">
        <v>0.0</v>
      </c>
    </row>
    <row r="231">
      <c r="A231" s="1">
        <v>10179.0</v>
      </c>
      <c r="B231" s="1">
        <v>498.0</v>
      </c>
      <c r="C231" s="1">
        <v>0.0</v>
      </c>
      <c r="F231" s="1">
        <v>0.0</v>
      </c>
    </row>
    <row r="232">
      <c r="A232" s="1">
        <v>10220.0</v>
      </c>
      <c r="B232" s="1">
        <v>498.0</v>
      </c>
      <c r="C232" s="1">
        <v>0.0</v>
      </c>
      <c r="F232" s="1">
        <v>0.0</v>
      </c>
    </row>
    <row r="233">
      <c r="A233" s="1">
        <v>10212.0</v>
      </c>
      <c r="B233" s="1">
        <v>498.0</v>
      </c>
      <c r="C233" s="1">
        <v>0.0</v>
      </c>
      <c r="F233" s="1">
        <v>0.0</v>
      </c>
    </row>
    <row r="234">
      <c r="A234" s="1">
        <v>2.0</v>
      </c>
      <c r="B234" s="1">
        <v>504.0</v>
      </c>
      <c r="C234" s="1">
        <v>0.0</v>
      </c>
      <c r="D234" s="1">
        <v>1.490709885E9</v>
      </c>
      <c r="E234" s="2">
        <v>10.0</v>
      </c>
      <c r="F234" s="1">
        <v>0.0</v>
      </c>
    </row>
    <row r="235">
      <c r="A235" s="1">
        <v>10187.0</v>
      </c>
      <c r="B235" s="1">
        <v>504.0</v>
      </c>
      <c r="C235" s="1">
        <v>1.490724656E9</v>
      </c>
      <c r="D235" s="1">
        <v>1.490725233E9</v>
      </c>
      <c r="E235" s="2">
        <v>10.0</v>
      </c>
      <c r="F235" s="1">
        <v>573.0</v>
      </c>
    </row>
    <row r="236">
      <c r="A236" s="1">
        <v>10217.0</v>
      </c>
      <c r="B236" s="1">
        <v>504.0</v>
      </c>
      <c r="C236" s="1">
        <v>1.490725764E9</v>
      </c>
      <c r="D236" s="1">
        <v>1.490883902E9</v>
      </c>
      <c r="E236" s="2">
        <v>10.0</v>
      </c>
      <c r="F236" s="1">
        <v>780.0</v>
      </c>
    </row>
    <row r="237">
      <c r="A237" s="1">
        <v>10211.0</v>
      </c>
      <c r="B237" s="1">
        <v>504.0</v>
      </c>
      <c r="C237" s="1">
        <v>1.490730339E9</v>
      </c>
      <c r="D237" s="1">
        <v>1.4907309E9</v>
      </c>
      <c r="E237" s="2">
        <v>10.0</v>
      </c>
      <c r="F237" s="1">
        <v>558.0</v>
      </c>
    </row>
    <row r="238">
      <c r="A238" s="1">
        <v>10210.0</v>
      </c>
      <c r="B238" s="1">
        <v>504.0</v>
      </c>
      <c r="C238" s="1">
        <v>1.490742967E9</v>
      </c>
      <c r="D238" s="1">
        <v>1.490749723E9</v>
      </c>
      <c r="E238" s="2">
        <v>10.0</v>
      </c>
      <c r="F238" s="1">
        <v>3315.0</v>
      </c>
    </row>
    <row r="239">
      <c r="A239" s="1">
        <v>10188.0</v>
      </c>
      <c r="B239" s="1">
        <v>504.0</v>
      </c>
      <c r="C239" s="1">
        <v>1.490745104E9</v>
      </c>
      <c r="D239" s="1">
        <v>1.490745961E9</v>
      </c>
      <c r="E239" s="2">
        <v>10.0</v>
      </c>
      <c r="F239" s="1">
        <v>853.0</v>
      </c>
    </row>
    <row r="240">
      <c r="A240" s="1">
        <v>10178.0</v>
      </c>
      <c r="B240" s="1">
        <v>504.0</v>
      </c>
      <c r="C240" s="1">
        <v>1.49072939E9</v>
      </c>
      <c r="D240" s="1">
        <v>1.490747838E9</v>
      </c>
      <c r="E240" s="2">
        <v>10.0</v>
      </c>
      <c r="F240" s="1">
        <v>5240.0</v>
      </c>
    </row>
    <row r="241">
      <c r="A241" s="1">
        <v>10172.0</v>
      </c>
      <c r="B241" s="1">
        <v>504.0</v>
      </c>
      <c r="C241" s="1">
        <v>1.490751193E9</v>
      </c>
      <c r="D241" s="1">
        <v>1.490752509E9</v>
      </c>
      <c r="E241" s="2">
        <v>10.0</v>
      </c>
      <c r="F241" s="1">
        <v>1314.0</v>
      </c>
    </row>
    <row r="242">
      <c r="A242" s="1">
        <v>10192.0</v>
      </c>
      <c r="B242" s="1">
        <v>504.0</v>
      </c>
      <c r="C242" s="1">
        <v>1.490751847E9</v>
      </c>
      <c r="D242" s="1">
        <v>1.490754086E9</v>
      </c>
      <c r="E242" s="2">
        <v>10.0</v>
      </c>
      <c r="F242" s="1">
        <v>2235.0</v>
      </c>
    </row>
    <row r="243">
      <c r="A243" s="1">
        <v>10201.0</v>
      </c>
      <c r="B243" s="1">
        <v>504.0</v>
      </c>
      <c r="C243" s="1">
        <v>1.490751803E9</v>
      </c>
      <c r="D243" s="1">
        <v>1.490752397E9</v>
      </c>
      <c r="E243" s="2">
        <v>10.0</v>
      </c>
      <c r="F243" s="1">
        <v>592.0</v>
      </c>
    </row>
    <row r="244">
      <c r="A244" s="1">
        <v>10206.0</v>
      </c>
      <c r="B244" s="1">
        <v>504.0</v>
      </c>
      <c r="C244" s="1">
        <v>1.490752209E9</v>
      </c>
      <c r="D244" s="1">
        <v>1.490753198E9</v>
      </c>
      <c r="E244" s="2">
        <v>10.0</v>
      </c>
      <c r="F244" s="1">
        <v>988.0</v>
      </c>
    </row>
    <row r="245">
      <c r="A245" s="1">
        <v>10202.0</v>
      </c>
      <c r="B245" s="1">
        <v>504.0</v>
      </c>
      <c r="C245" s="1">
        <v>1.490804478E9</v>
      </c>
      <c r="D245" s="1">
        <v>1.490952482E9</v>
      </c>
      <c r="E245" s="2">
        <v>10.0</v>
      </c>
      <c r="F245" s="1">
        <v>6258.0</v>
      </c>
    </row>
    <row r="246">
      <c r="A246" s="1">
        <v>10184.0</v>
      </c>
      <c r="B246" s="1">
        <v>504.0</v>
      </c>
      <c r="C246" s="1">
        <v>1.490808515E9</v>
      </c>
      <c r="D246" s="1">
        <v>1.490809251E9</v>
      </c>
      <c r="E246" s="2">
        <v>10.0</v>
      </c>
      <c r="F246" s="1">
        <v>734.0</v>
      </c>
    </row>
    <row r="247">
      <c r="A247" s="1">
        <v>10183.0</v>
      </c>
      <c r="B247" s="1">
        <v>504.0</v>
      </c>
      <c r="C247" s="1">
        <v>1.49083107E9</v>
      </c>
      <c r="D247" s="1">
        <v>1.490918115E9</v>
      </c>
      <c r="E247" s="2">
        <v>10.0</v>
      </c>
      <c r="F247" s="1">
        <v>4343.0</v>
      </c>
    </row>
    <row r="248">
      <c r="A248" s="1">
        <v>10218.0</v>
      </c>
      <c r="B248" s="1">
        <v>504.0</v>
      </c>
      <c r="C248" s="1">
        <v>1.49083368E9</v>
      </c>
      <c r="D248" s="1">
        <v>1.490834463E9</v>
      </c>
      <c r="E248" s="2">
        <v>10.0</v>
      </c>
      <c r="F248" s="1">
        <v>719.0</v>
      </c>
    </row>
    <row r="249">
      <c r="A249" s="1">
        <v>10215.0</v>
      </c>
      <c r="B249" s="1">
        <v>504.0</v>
      </c>
      <c r="C249" s="1">
        <v>1.490831849E9</v>
      </c>
      <c r="D249" s="1">
        <v>1.490832882E9</v>
      </c>
      <c r="E249" s="2">
        <v>10.0</v>
      </c>
      <c r="F249" s="1">
        <v>1029.0</v>
      </c>
    </row>
    <row r="250">
      <c r="A250" s="1">
        <v>10237.0</v>
      </c>
      <c r="B250" s="1">
        <v>504.0</v>
      </c>
      <c r="C250" s="1">
        <v>1.49083546E9</v>
      </c>
      <c r="D250" s="1">
        <v>1.490836482E9</v>
      </c>
      <c r="E250" s="2">
        <v>10.0</v>
      </c>
      <c r="F250" s="1">
        <v>1018.0</v>
      </c>
    </row>
    <row r="251">
      <c r="A251" s="1">
        <v>10227.0</v>
      </c>
      <c r="B251" s="1">
        <v>504.0</v>
      </c>
      <c r="C251" s="1">
        <v>1.490835329E9</v>
      </c>
      <c r="D251" s="1">
        <v>1.490838687E9</v>
      </c>
      <c r="E251" s="2">
        <v>10.0</v>
      </c>
      <c r="F251" s="1">
        <v>3355.0</v>
      </c>
    </row>
    <row r="252">
      <c r="A252" s="1">
        <v>10226.0</v>
      </c>
      <c r="B252" s="1">
        <v>504.0</v>
      </c>
      <c r="C252" s="1">
        <v>1.490835393E9</v>
      </c>
      <c r="D252" s="1">
        <v>1.490838479E9</v>
      </c>
      <c r="E252" s="2">
        <v>10.0</v>
      </c>
      <c r="F252" s="1">
        <v>3084.0</v>
      </c>
    </row>
    <row r="253">
      <c r="A253" s="1">
        <v>10196.0</v>
      </c>
      <c r="B253" s="1">
        <v>504.0</v>
      </c>
      <c r="C253" s="1">
        <v>1.490836901E9</v>
      </c>
      <c r="D253" s="1">
        <v>1.490839039E9</v>
      </c>
      <c r="E253" s="2">
        <v>10.0</v>
      </c>
      <c r="F253" s="1">
        <v>2136.0</v>
      </c>
    </row>
    <row r="254">
      <c r="A254" s="1">
        <v>10189.0</v>
      </c>
      <c r="B254" s="1">
        <v>504.0</v>
      </c>
      <c r="C254" s="1">
        <v>1.49083211E9</v>
      </c>
      <c r="D254" s="1">
        <v>1.490838033E9</v>
      </c>
      <c r="E254" s="2">
        <v>10.0</v>
      </c>
      <c r="F254" s="1">
        <v>5914.0</v>
      </c>
    </row>
    <row r="255">
      <c r="A255" s="1">
        <v>10200.0</v>
      </c>
      <c r="B255" s="1">
        <v>504.0</v>
      </c>
      <c r="C255" s="1">
        <v>1.490836953E9</v>
      </c>
      <c r="D255" s="1">
        <v>1.490842216E9</v>
      </c>
      <c r="E255" s="2">
        <v>10.0</v>
      </c>
      <c r="F255" s="1">
        <v>4854.0</v>
      </c>
    </row>
    <row r="256">
      <c r="A256" s="1">
        <v>10176.0</v>
      </c>
      <c r="B256" s="1">
        <v>504.0</v>
      </c>
      <c r="C256" s="1">
        <v>1.490838508E9</v>
      </c>
      <c r="D256" s="1">
        <v>1.490842531E9</v>
      </c>
      <c r="E256" s="2">
        <v>10.0</v>
      </c>
      <c r="F256" s="1">
        <v>3187.0</v>
      </c>
    </row>
    <row r="257">
      <c r="A257" s="1">
        <v>10198.0</v>
      </c>
      <c r="B257" s="1">
        <v>504.0</v>
      </c>
      <c r="C257" s="1">
        <v>1.49086659E9</v>
      </c>
      <c r="D257" s="1">
        <v>1.490955691E9</v>
      </c>
      <c r="E257" s="2">
        <v>10.0</v>
      </c>
      <c r="F257" s="1">
        <v>11162.0</v>
      </c>
    </row>
    <row r="258">
      <c r="A258" s="1">
        <v>10171.0</v>
      </c>
      <c r="B258" s="1">
        <v>504.0</v>
      </c>
      <c r="C258" s="1">
        <v>1.490868873E9</v>
      </c>
      <c r="D258" s="1">
        <v>1.490870446E9</v>
      </c>
      <c r="E258" s="2">
        <v>10.0</v>
      </c>
      <c r="F258" s="1">
        <v>1507.0</v>
      </c>
    </row>
    <row r="259">
      <c r="A259" s="1">
        <v>10203.0</v>
      </c>
      <c r="B259" s="1">
        <v>504.0</v>
      </c>
      <c r="C259" s="1">
        <v>1.490882556E9</v>
      </c>
      <c r="E259" s="7"/>
      <c r="F259" s="1">
        <v>6105.0</v>
      </c>
    </row>
    <row r="260">
      <c r="A260" s="1">
        <v>10224.0</v>
      </c>
      <c r="B260" s="1">
        <v>504.0</v>
      </c>
      <c r="C260" s="1">
        <v>1.490824247E9</v>
      </c>
      <c r="D260" s="1">
        <v>1.490894091E9</v>
      </c>
      <c r="E260" s="2">
        <v>10.0</v>
      </c>
      <c r="F260" s="1">
        <v>1127.0</v>
      </c>
    </row>
    <row r="261">
      <c r="A261" s="1">
        <v>10219.0</v>
      </c>
      <c r="B261" s="1">
        <v>504.0</v>
      </c>
      <c r="C261" s="1">
        <v>1.490912558E9</v>
      </c>
      <c r="E261" s="7"/>
      <c r="F261" s="1">
        <v>495.0</v>
      </c>
    </row>
    <row r="262">
      <c r="A262" s="1">
        <v>10193.0</v>
      </c>
      <c r="B262" s="1">
        <v>504.0</v>
      </c>
      <c r="C262" s="1">
        <v>1.490915569E9</v>
      </c>
      <c r="D262" s="1">
        <v>1.490916239E9</v>
      </c>
      <c r="E262" s="2">
        <v>10.0</v>
      </c>
      <c r="F262" s="1">
        <v>668.0</v>
      </c>
    </row>
    <row r="263">
      <c r="A263" s="1">
        <v>10170.0</v>
      </c>
      <c r="B263" s="1">
        <v>504.0</v>
      </c>
      <c r="C263" s="1">
        <v>0.0</v>
      </c>
      <c r="E263" s="7"/>
      <c r="F263" s="1">
        <v>0.0</v>
      </c>
    </row>
    <row r="264">
      <c r="A264" s="1">
        <v>10223.0</v>
      </c>
      <c r="B264" s="1">
        <v>504.0</v>
      </c>
      <c r="C264" s="1">
        <v>0.0</v>
      </c>
      <c r="E264" s="7"/>
      <c r="F264" s="1">
        <v>0.0</v>
      </c>
    </row>
    <row r="265">
      <c r="A265" s="1">
        <v>10175.0</v>
      </c>
      <c r="B265" s="1">
        <v>504.0</v>
      </c>
      <c r="C265" s="1">
        <v>0.0</v>
      </c>
      <c r="E265" s="7"/>
      <c r="F265" s="1">
        <v>0.0</v>
      </c>
    </row>
    <row r="266">
      <c r="A266" s="1">
        <v>10181.0</v>
      </c>
      <c r="B266" s="1">
        <v>504.0</v>
      </c>
      <c r="C266" s="1">
        <v>0.0</v>
      </c>
      <c r="E266" s="7"/>
      <c r="F266" s="1">
        <v>0.0</v>
      </c>
    </row>
    <row r="267">
      <c r="A267" s="1">
        <v>10191.0</v>
      </c>
      <c r="B267" s="1">
        <v>504.0</v>
      </c>
      <c r="C267" s="1">
        <v>0.0</v>
      </c>
      <c r="E267" s="7"/>
      <c r="F267" s="1">
        <v>0.0</v>
      </c>
    </row>
    <row r="268">
      <c r="A268" s="1">
        <v>10190.0</v>
      </c>
      <c r="B268" s="1">
        <v>504.0</v>
      </c>
      <c r="C268" s="1">
        <v>0.0</v>
      </c>
      <c r="E268" s="7"/>
      <c r="F268" s="1">
        <v>0.0</v>
      </c>
    </row>
    <row r="269">
      <c r="A269" s="1">
        <v>10199.0</v>
      </c>
      <c r="B269" s="1">
        <v>504.0</v>
      </c>
      <c r="C269" s="1">
        <v>0.0</v>
      </c>
      <c r="E269" s="7"/>
      <c r="F269" s="1">
        <v>0.0</v>
      </c>
    </row>
    <row r="270">
      <c r="A270" s="1">
        <v>10240.0</v>
      </c>
      <c r="B270" s="1">
        <v>504.0</v>
      </c>
      <c r="C270" s="1">
        <v>0.0</v>
      </c>
      <c r="E270" s="7"/>
      <c r="F270" s="1">
        <v>0.0</v>
      </c>
    </row>
    <row r="271">
      <c r="A271" s="1">
        <v>10216.0</v>
      </c>
      <c r="B271" s="1">
        <v>504.0</v>
      </c>
      <c r="C271" s="1">
        <v>0.0</v>
      </c>
      <c r="E271" s="7"/>
      <c r="F271" s="1">
        <v>0.0</v>
      </c>
    </row>
    <row r="272">
      <c r="A272" s="1">
        <v>10214.0</v>
      </c>
      <c r="B272" s="1">
        <v>504.0</v>
      </c>
      <c r="C272" s="1">
        <v>0.0</v>
      </c>
      <c r="E272" s="7"/>
      <c r="F272" s="1">
        <v>0.0</v>
      </c>
    </row>
    <row r="273">
      <c r="A273" s="1">
        <v>10208.0</v>
      </c>
      <c r="B273" s="1">
        <v>504.0</v>
      </c>
      <c r="C273" s="1">
        <v>0.0</v>
      </c>
      <c r="E273" s="7"/>
      <c r="F273" s="1">
        <v>0.0</v>
      </c>
    </row>
    <row r="274">
      <c r="A274" s="1">
        <v>10231.0</v>
      </c>
      <c r="B274" s="1">
        <v>504.0</v>
      </c>
      <c r="C274" s="1">
        <v>0.0</v>
      </c>
      <c r="E274" s="7"/>
      <c r="F274" s="1">
        <v>0.0</v>
      </c>
    </row>
    <row r="275">
      <c r="A275" s="1">
        <v>10204.0</v>
      </c>
      <c r="B275" s="1">
        <v>504.0</v>
      </c>
      <c r="C275" s="1">
        <v>0.0</v>
      </c>
      <c r="E275" s="7"/>
      <c r="F275" s="1">
        <v>0.0</v>
      </c>
    </row>
    <row r="276">
      <c r="A276" s="1">
        <v>10197.0</v>
      </c>
      <c r="B276" s="1">
        <v>504.0</v>
      </c>
      <c r="C276" s="1">
        <v>0.0</v>
      </c>
      <c r="E276" s="7"/>
      <c r="F276" s="1">
        <v>0.0</v>
      </c>
    </row>
    <row r="277">
      <c r="A277" s="1">
        <v>10212.0</v>
      </c>
      <c r="B277" s="1">
        <v>504.0</v>
      </c>
      <c r="C277" s="1">
        <v>0.0</v>
      </c>
      <c r="E277" s="7"/>
      <c r="F277" s="1">
        <v>0.0</v>
      </c>
    </row>
    <row r="278">
      <c r="A278" s="1">
        <v>10221.0</v>
      </c>
      <c r="B278" s="1">
        <v>504.0</v>
      </c>
      <c r="C278" s="1">
        <v>0.0</v>
      </c>
      <c r="E278" s="7"/>
      <c r="F278" s="1">
        <v>0.0</v>
      </c>
    </row>
    <row r="279">
      <c r="A279" s="1">
        <v>10222.0</v>
      </c>
      <c r="B279" s="1">
        <v>504.0</v>
      </c>
      <c r="C279" s="1">
        <v>0.0</v>
      </c>
      <c r="E279" s="7"/>
      <c r="F279" s="1">
        <v>0.0</v>
      </c>
    </row>
    <row r="280">
      <c r="A280" s="1">
        <v>10209.0</v>
      </c>
      <c r="B280" s="1">
        <v>504.0</v>
      </c>
      <c r="C280" s="1">
        <v>1.490977483E9</v>
      </c>
      <c r="E280" s="7"/>
      <c r="F280" s="1">
        <v>2368.0</v>
      </c>
    </row>
    <row r="281">
      <c r="A281" s="1">
        <v>10174.0</v>
      </c>
      <c r="B281" s="1">
        <v>504.0</v>
      </c>
      <c r="C281" s="1">
        <v>0.0</v>
      </c>
      <c r="E281" s="7"/>
      <c r="F281" s="1">
        <v>0.0</v>
      </c>
    </row>
    <row r="282">
      <c r="A282" s="1">
        <v>10169.0</v>
      </c>
      <c r="B282" s="1">
        <v>504.0</v>
      </c>
      <c r="C282" s="1">
        <v>0.0</v>
      </c>
      <c r="E282" s="7"/>
      <c r="F282" s="1">
        <v>0.0</v>
      </c>
    </row>
    <row r="283">
      <c r="A283" s="1">
        <v>10195.0</v>
      </c>
      <c r="B283" s="1">
        <v>504.0</v>
      </c>
      <c r="C283" s="1">
        <v>0.0</v>
      </c>
      <c r="E283" s="7"/>
      <c r="F283" s="1">
        <v>0.0</v>
      </c>
    </row>
    <row r="284">
      <c r="A284" s="1">
        <v>10232.0</v>
      </c>
      <c r="B284" s="1">
        <v>504.0</v>
      </c>
      <c r="C284" s="1">
        <v>0.0</v>
      </c>
      <c r="E284" s="7"/>
      <c r="F284" s="1">
        <v>0.0</v>
      </c>
    </row>
    <row r="285">
      <c r="A285" s="1">
        <v>10228.0</v>
      </c>
      <c r="B285" s="1">
        <v>504.0</v>
      </c>
      <c r="C285" s="1">
        <v>0.0</v>
      </c>
      <c r="E285" s="7"/>
      <c r="F285" s="1">
        <v>0.0</v>
      </c>
    </row>
    <row r="286">
      <c r="A286" s="1">
        <v>10213.0</v>
      </c>
      <c r="B286" s="1">
        <v>504.0</v>
      </c>
      <c r="C286" s="1">
        <v>0.0</v>
      </c>
      <c r="E286" s="7"/>
      <c r="F286" s="1">
        <v>0.0</v>
      </c>
    </row>
    <row r="287">
      <c r="A287" s="1">
        <v>10230.0</v>
      </c>
      <c r="B287" s="1">
        <v>504.0</v>
      </c>
      <c r="C287" s="1">
        <v>0.0</v>
      </c>
      <c r="E287" s="7"/>
      <c r="F287" s="1">
        <v>0.0</v>
      </c>
    </row>
    <row r="288">
      <c r="A288" s="1">
        <v>10233.0</v>
      </c>
      <c r="B288" s="1">
        <v>504.0</v>
      </c>
      <c r="C288" s="1">
        <v>0.0</v>
      </c>
      <c r="E288" s="7"/>
      <c r="F288" s="1">
        <v>0.0</v>
      </c>
    </row>
    <row r="289">
      <c r="A289" s="1">
        <v>10234.0</v>
      </c>
      <c r="B289" s="1">
        <v>504.0</v>
      </c>
      <c r="C289" s="1">
        <v>0.0</v>
      </c>
      <c r="E289" s="7"/>
      <c r="F289" s="1">
        <v>0.0</v>
      </c>
    </row>
    <row r="290">
      <c r="A290" s="1">
        <v>10185.0</v>
      </c>
      <c r="B290" s="1">
        <v>504.0</v>
      </c>
      <c r="C290" s="1">
        <v>0.0</v>
      </c>
      <c r="E290" s="7"/>
      <c r="F290" s="1">
        <v>0.0</v>
      </c>
    </row>
    <row r="291">
      <c r="A291" s="1">
        <v>10186.0</v>
      </c>
      <c r="B291" s="1">
        <v>504.0</v>
      </c>
      <c r="C291" s="1">
        <v>0.0</v>
      </c>
      <c r="E291" s="7"/>
      <c r="F291" s="1">
        <v>0.0</v>
      </c>
    </row>
    <row r="292">
      <c r="A292" s="1">
        <v>10238.0</v>
      </c>
      <c r="B292" s="1">
        <v>504.0</v>
      </c>
      <c r="C292" s="1">
        <v>0.0</v>
      </c>
      <c r="E292" s="7"/>
      <c r="F292" s="1">
        <v>0.0</v>
      </c>
    </row>
    <row r="293">
      <c r="A293" s="1">
        <v>10179.0</v>
      </c>
      <c r="B293" s="1">
        <v>504.0</v>
      </c>
      <c r="C293" s="1">
        <v>0.0</v>
      </c>
      <c r="E293" s="7"/>
      <c r="F293" s="1">
        <v>0.0</v>
      </c>
    </row>
    <row r="294">
      <c r="A294" s="1">
        <v>10220.0</v>
      </c>
      <c r="B294" s="1">
        <v>504.0</v>
      </c>
      <c r="C294" s="1">
        <v>1.49089271E9</v>
      </c>
      <c r="E294" s="7"/>
      <c r="F294" s="1">
        <v>514.0</v>
      </c>
    </row>
    <row r="295">
      <c r="A295" s="1">
        <v>2.0</v>
      </c>
      <c r="B295" s="1">
        <v>515.0</v>
      </c>
      <c r="C295" s="1">
        <v>0.0</v>
      </c>
      <c r="D295" s="1">
        <v>1.49239832E9</v>
      </c>
      <c r="E295" s="1">
        <v>10.0</v>
      </c>
      <c r="F295" s="1">
        <v>0.0</v>
      </c>
    </row>
    <row r="296">
      <c r="A296" s="1">
        <v>10201.0</v>
      </c>
      <c r="B296" s="1">
        <v>515.0</v>
      </c>
      <c r="C296" s="1">
        <v>1.492446217E9</v>
      </c>
      <c r="D296" s="1">
        <v>1.492447993E9</v>
      </c>
      <c r="E296" s="1">
        <v>10.0</v>
      </c>
      <c r="F296" s="1">
        <v>2478.0</v>
      </c>
    </row>
    <row r="297">
      <c r="A297" s="1">
        <v>10184.0</v>
      </c>
      <c r="B297" s="1">
        <v>515.0</v>
      </c>
      <c r="C297" s="1">
        <v>1.492446764E9</v>
      </c>
      <c r="D297" s="1">
        <v>1.49244743E9</v>
      </c>
      <c r="E297" s="1">
        <v>10.0</v>
      </c>
      <c r="F297" s="1">
        <v>664.0</v>
      </c>
    </row>
    <row r="298">
      <c r="A298" s="1">
        <v>10208.0</v>
      </c>
      <c r="B298" s="1">
        <v>515.0</v>
      </c>
      <c r="C298" s="1">
        <v>1.492447205E9</v>
      </c>
      <c r="D298" s="1">
        <v>1.492448177E9</v>
      </c>
      <c r="E298" s="1">
        <v>10.0</v>
      </c>
      <c r="F298" s="1">
        <v>968.0</v>
      </c>
    </row>
    <row r="299">
      <c r="A299" s="1">
        <v>10172.0</v>
      </c>
      <c r="B299" s="1">
        <v>515.0</v>
      </c>
      <c r="C299" s="1">
        <v>1.492456062E9</v>
      </c>
      <c r="D299" s="1">
        <v>1.492456296E9</v>
      </c>
      <c r="E299" s="1">
        <v>10.0</v>
      </c>
      <c r="F299" s="1">
        <v>231.0</v>
      </c>
    </row>
    <row r="300">
      <c r="A300" s="1">
        <v>10169.0</v>
      </c>
      <c r="B300" s="1">
        <v>515.0</v>
      </c>
      <c r="C300" s="1">
        <v>1.492462225E9</v>
      </c>
      <c r="D300" s="1">
        <v>1.492707801E9</v>
      </c>
      <c r="E300" s="1">
        <v>10.0</v>
      </c>
      <c r="F300" s="1">
        <v>7402.0</v>
      </c>
    </row>
    <row r="301">
      <c r="A301" s="1">
        <v>10195.0</v>
      </c>
      <c r="B301" s="1">
        <v>515.0</v>
      </c>
      <c r="C301" s="1">
        <v>1.492473514E9</v>
      </c>
      <c r="F301" s="1">
        <v>1855.0</v>
      </c>
    </row>
    <row r="302">
      <c r="A302" s="1">
        <v>10206.0</v>
      </c>
      <c r="B302" s="1">
        <v>515.0</v>
      </c>
      <c r="C302" s="1">
        <v>1.492476383E9</v>
      </c>
      <c r="D302" s="1">
        <v>1.492476943E9</v>
      </c>
      <c r="E302" s="1">
        <v>10.0</v>
      </c>
      <c r="F302" s="1">
        <v>555.0</v>
      </c>
    </row>
    <row r="303">
      <c r="A303" s="1">
        <v>10196.0</v>
      </c>
      <c r="B303" s="1">
        <v>515.0</v>
      </c>
      <c r="C303" s="1">
        <v>1.492477301E9</v>
      </c>
      <c r="D303" s="1">
        <v>1.492478982E9</v>
      </c>
      <c r="E303" s="1">
        <v>10.0</v>
      </c>
      <c r="F303" s="1">
        <v>1547.0</v>
      </c>
    </row>
    <row r="304">
      <c r="A304" s="1">
        <v>10187.0</v>
      </c>
      <c r="B304" s="1">
        <v>515.0</v>
      </c>
      <c r="C304" s="1">
        <v>1.492478707E9</v>
      </c>
      <c r="D304" s="1">
        <v>1.492480984E9</v>
      </c>
      <c r="E304" s="1">
        <v>10.0</v>
      </c>
      <c r="F304" s="1">
        <v>2266.0</v>
      </c>
    </row>
    <row r="305">
      <c r="A305" s="1">
        <v>10217.0</v>
      </c>
      <c r="B305" s="1">
        <v>515.0</v>
      </c>
      <c r="C305" s="1">
        <v>1.492533528E9</v>
      </c>
      <c r="D305" s="1">
        <v>1.492533966E9</v>
      </c>
      <c r="E305" s="1">
        <v>10.0</v>
      </c>
      <c r="F305" s="1">
        <v>436.0</v>
      </c>
    </row>
    <row r="306">
      <c r="A306" s="1">
        <v>10216.0</v>
      </c>
      <c r="B306" s="1">
        <v>515.0</v>
      </c>
      <c r="C306" s="1">
        <v>1.492533713E9</v>
      </c>
      <c r="D306" s="1">
        <v>1.492534161E9</v>
      </c>
      <c r="E306" s="1">
        <v>10.0</v>
      </c>
      <c r="F306" s="1">
        <v>445.0</v>
      </c>
    </row>
    <row r="307">
      <c r="A307" s="1">
        <v>10183.0</v>
      </c>
      <c r="B307" s="1">
        <v>515.0</v>
      </c>
      <c r="C307" s="1">
        <v>1.492558298E9</v>
      </c>
      <c r="D307" s="1">
        <v>1.492559533E9</v>
      </c>
      <c r="E307" s="1">
        <v>10.0</v>
      </c>
      <c r="F307" s="1">
        <v>1231.0</v>
      </c>
    </row>
    <row r="308">
      <c r="A308" s="1">
        <v>10214.0</v>
      </c>
      <c r="B308" s="1">
        <v>515.0</v>
      </c>
      <c r="C308" s="1">
        <v>1.492639168E9</v>
      </c>
      <c r="D308" s="1">
        <v>1.492708692E9</v>
      </c>
      <c r="E308" s="1">
        <v>10.0</v>
      </c>
      <c r="F308" s="1">
        <v>2437.0</v>
      </c>
    </row>
    <row r="309">
      <c r="A309" s="1">
        <v>10203.0</v>
      </c>
      <c r="B309" s="1">
        <v>515.0</v>
      </c>
      <c r="C309" s="1">
        <v>1.492646095E9</v>
      </c>
      <c r="F309" s="1">
        <v>4625.0</v>
      </c>
    </row>
    <row r="310">
      <c r="A310" s="1">
        <v>10204.0</v>
      </c>
      <c r="B310" s="1">
        <v>515.0</v>
      </c>
      <c r="C310" s="1">
        <v>1.492706259E9</v>
      </c>
      <c r="F310" s="1">
        <v>454.0</v>
      </c>
    </row>
    <row r="311">
      <c r="A311" s="1">
        <v>10215.0</v>
      </c>
      <c r="B311" s="1">
        <v>515.0</v>
      </c>
      <c r="C311" s="1">
        <v>1.492709443E9</v>
      </c>
      <c r="F311" s="1">
        <v>1545.0</v>
      </c>
    </row>
    <row r="312">
      <c r="A312" s="1">
        <v>10199.0</v>
      </c>
      <c r="B312" s="1">
        <v>515.0</v>
      </c>
      <c r="C312" s="1">
        <v>1.492710173E9</v>
      </c>
      <c r="D312" s="1">
        <v>1.492710867E9</v>
      </c>
      <c r="E312" s="1">
        <v>10.0</v>
      </c>
      <c r="F312" s="1">
        <v>691.0</v>
      </c>
    </row>
    <row r="313">
      <c r="A313" s="1">
        <v>10178.0</v>
      </c>
      <c r="B313" s="1">
        <v>515.0</v>
      </c>
      <c r="C313" s="1">
        <v>1.492718267E9</v>
      </c>
      <c r="D313" s="1">
        <v>1.49271907E9</v>
      </c>
      <c r="E313" s="1">
        <v>10.0</v>
      </c>
      <c r="F313" s="1">
        <v>794.0</v>
      </c>
    </row>
    <row r="314">
      <c r="A314" s="1">
        <v>10231.0</v>
      </c>
      <c r="B314" s="1">
        <v>515.0</v>
      </c>
      <c r="C314" s="1">
        <v>1.492782532E9</v>
      </c>
      <c r="D314" s="1">
        <v>1.492784515E9</v>
      </c>
      <c r="E314" s="1">
        <v>10.0</v>
      </c>
      <c r="F314" s="1">
        <v>1980.0</v>
      </c>
    </row>
    <row r="315">
      <c r="A315" s="1">
        <v>10171.0</v>
      </c>
      <c r="B315" s="1">
        <v>515.0</v>
      </c>
      <c r="C315" s="1">
        <v>1.492869256E9</v>
      </c>
      <c r="D315" s="1">
        <v>1.4928701E9</v>
      </c>
      <c r="E315" s="1">
        <v>10.0</v>
      </c>
      <c r="F315" s="1">
        <v>842.0</v>
      </c>
    </row>
    <row r="316">
      <c r="A316" s="1">
        <v>10211.0</v>
      </c>
      <c r="B316" s="1">
        <v>515.0</v>
      </c>
      <c r="C316" s="1">
        <v>1.492874734E9</v>
      </c>
      <c r="D316" s="1">
        <v>1.492875206E9</v>
      </c>
      <c r="E316" s="1">
        <v>10.0</v>
      </c>
      <c r="F316" s="1">
        <v>468.0</v>
      </c>
    </row>
    <row r="317">
      <c r="A317" s="1">
        <v>10176.0</v>
      </c>
      <c r="B317" s="1">
        <v>515.0</v>
      </c>
      <c r="C317" s="1">
        <v>1.49288389E9</v>
      </c>
      <c r="D317" s="1">
        <v>1.492884914E9</v>
      </c>
      <c r="E317" s="1">
        <v>10.0</v>
      </c>
      <c r="F317" s="1">
        <v>1023.0</v>
      </c>
    </row>
    <row r="318">
      <c r="A318" s="1">
        <v>10197.0</v>
      </c>
      <c r="B318" s="1">
        <v>515.0</v>
      </c>
      <c r="C318" s="1">
        <v>1.492946751E9</v>
      </c>
      <c r="D318" s="1">
        <v>1.492949805E9</v>
      </c>
      <c r="E318" s="1">
        <v>10.0</v>
      </c>
      <c r="F318" s="1">
        <v>3040.0</v>
      </c>
    </row>
    <row r="319">
      <c r="A319" s="1">
        <v>10175.0</v>
      </c>
      <c r="B319" s="1">
        <v>515.0</v>
      </c>
      <c r="C319" s="1">
        <v>1.492985291E9</v>
      </c>
      <c r="D319" s="1">
        <v>1.492986019E9</v>
      </c>
      <c r="E319" s="1">
        <v>10.0</v>
      </c>
      <c r="F319" s="1">
        <v>724.0</v>
      </c>
    </row>
    <row r="320">
      <c r="A320" s="1">
        <v>10189.0</v>
      </c>
      <c r="B320" s="1">
        <v>515.0</v>
      </c>
      <c r="C320" s="1">
        <v>1.492710779E9</v>
      </c>
      <c r="D320" s="1">
        <v>1.493070566E9</v>
      </c>
      <c r="E320" s="1">
        <v>10.0</v>
      </c>
      <c r="F320" s="1">
        <v>6795.0</v>
      </c>
    </row>
    <row r="321">
      <c r="A321" s="1">
        <v>10192.0</v>
      </c>
      <c r="B321" s="1">
        <v>515.0</v>
      </c>
      <c r="C321" s="1">
        <v>1.49307497E9</v>
      </c>
      <c r="D321" s="1">
        <v>1.493075832E9</v>
      </c>
      <c r="E321" s="1">
        <v>10.0</v>
      </c>
      <c r="F321" s="1">
        <v>780.0</v>
      </c>
    </row>
    <row r="322">
      <c r="A322" s="1">
        <v>10240.0</v>
      </c>
      <c r="B322" s="1">
        <v>515.0</v>
      </c>
      <c r="C322" s="1">
        <v>1.49252834E9</v>
      </c>
      <c r="D322" s="1">
        <v>1.493137279E9</v>
      </c>
      <c r="E322" s="1">
        <v>10.0</v>
      </c>
      <c r="F322" s="1">
        <v>3966.0</v>
      </c>
    </row>
    <row r="323">
      <c r="A323" s="1">
        <v>10188.0</v>
      </c>
      <c r="B323" s="1">
        <v>515.0</v>
      </c>
      <c r="C323" s="1">
        <v>1.492469366E9</v>
      </c>
      <c r="F323" s="1">
        <v>861.0</v>
      </c>
    </row>
    <row r="324">
      <c r="A324" s="1">
        <v>10224.0</v>
      </c>
      <c r="B324" s="1">
        <v>515.0</v>
      </c>
      <c r="C324" s="1">
        <v>0.0</v>
      </c>
      <c r="F324" s="1">
        <v>0.0</v>
      </c>
    </row>
    <row r="325">
      <c r="A325" s="1">
        <v>10227.0</v>
      </c>
      <c r="B325" s="1">
        <v>515.0</v>
      </c>
      <c r="C325" s="1">
        <v>0.0</v>
      </c>
      <c r="F325" s="1">
        <v>0.0</v>
      </c>
    </row>
    <row r="326">
      <c r="A326" s="1">
        <v>10230.0</v>
      </c>
      <c r="B326" s="1">
        <v>515.0</v>
      </c>
      <c r="C326" s="1">
        <v>0.0</v>
      </c>
      <c r="F326" s="1">
        <v>0.0</v>
      </c>
    </row>
    <row r="327">
      <c r="A327" s="1">
        <v>10191.0</v>
      </c>
      <c r="B327" s="1">
        <v>515.0</v>
      </c>
      <c r="C327" s="1">
        <v>0.0</v>
      </c>
      <c r="F327" s="1">
        <v>0.0</v>
      </c>
    </row>
    <row r="328">
      <c r="A328" s="1">
        <v>10210.0</v>
      </c>
      <c r="B328" s="1">
        <v>515.0</v>
      </c>
      <c r="C328" s="1">
        <v>0.0</v>
      </c>
      <c r="F328" s="1">
        <v>0.0</v>
      </c>
    </row>
    <row r="329">
      <c r="A329" s="1">
        <v>10233.0</v>
      </c>
      <c r="B329" s="1">
        <v>515.0</v>
      </c>
      <c r="C329" s="1">
        <v>0.0</v>
      </c>
      <c r="F329" s="1">
        <v>0.0</v>
      </c>
    </row>
    <row r="330">
      <c r="A330" s="1">
        <v>10181.0</v>
      </c>
      <c r="B330" s="1">
        <v>515.0</v>
      </c>
      <c r="C330" s="1">
        <v>1.492619186E9</v>
      </c>
      <c r="F330" s="1">
        <v>27.0</v>
      </c>
    </row>
    <row r="331">
      <c r="A331" s="1">
        <v>10198.0</v>
      </c>
      <c r="B331" s="1">
        <v>515.0</v>
      </c>
      <c r="C331" s="1">
        <v>0.0</v>
      </c>
      <c r="F331" s="1">
        <v>0.0</v>
      </c>
    </row>
    <row r="332">
      <c r="A332" s="1">
        <v>10200.0</v>
      </c>
      <c r="B332" s="1">
        <v>515.0</v>
      </c>
      <c r="C332" s="1">
        <v>0.0</v>
      </c>
      <c r="F332" s="1">
        <v>0.0</v>
      </c>
    </row>
    <row r="333">
      <c r="A333" s="1">
        <v>10226.0</v>
      </c>
      <c r="B333" s="1">
        <v>515.0</v>
      </c>
      <c r="C333" s="1">
        <v>0.0</v>
      </c>
      <c r="F333" s="1">
        <v>0.0</v>
      </c>
    </row>
    <row r="334">
      <c r="A334" s="1">
        <v>10221.0</v>
      </c>
      <c r="B334" s="1">
        <v>515.0</v>
      </c>
      <c r="C334" s="1">
        <v>0.0</v>
      </c>
      <c r="F334" s="1">
        <v>0.0</v>
      </c>
    </row>
    <row r="335">
      <c r="A335" s="1">
        <v>10170.0</v>
      </c>
      <c r="B335" s="1">
        <v>515.0</v>
      </c>
      <c r="C335" s="1">
        <v>0.0</v>
      </c>
      <c r="F335" s="1">
        <v>0.0</v>
      </c>
    </row>
    <row r="336">
      <c r="A336" s="1">
        <v>10234.0</v>
      </c>
      <c r="B336" s="1">
        <v>515.0</v>
      </c>
      <c r="C336" s="1">
        <v>0.0</v>
      </c>
      <c r="F336" s="1">
        <v>0.0</v>
      </c>
    </row>
    <row r="337">
      <c r="A337" s="1">
        <v>10186.0</v>
      </c>
      <c r="B337" s="1">
        <v>515.0</v>
      </c>
      <c r="C337" s="1">
        <v>0.0</v>
      </c>
      <c r="F337" s="1">
        <v>0.0</v>
      </c>
    </row>
    <row r="338">
      <c r="A338" s="1">
        <v>10238.0</v>
      </c>
      <c r="B338" s="1">
        <v>515.0</v>
      </c>
      <c r="C338" s="1">
        <v>0.0</v>
      </c>
      <c r="F338" s="1">
        <v>0.0</v>
      </c>
    </row>
    <row r="339">
      <c r="A339" s="1">
        <v>10174.0</v>
      </c>
      <c r="B339" s="1">
        <v>515.0</v>
      </c>
      <c r="C339" s="1">
        <v>0.0</v>
      </c>
      <c r="F339" s="1">
        <v>0.0</v>
      </c>
    </row>
    <row r="340">
      <c r="A340" s="1">
        <v>10213.0</v>
      </c>
      <c r="B340" s="1">
        <v>515.0</v>
      </c>
      <c r="C340" s="1">
        <v>0.0</v>
      </c>
      <c r="F340" s="1">
        <v>0.0</v>
      </c>
    </row>
    <row r="341">
      <c r="A341" s="1">
        <v>10232.0</v>
      </c>
      <c r="B341" s="1">
        <v>515.0</v>
      </c>
      <c r="C341" s="1">
        <v>0.0</v>
      </c>
      <c r="F341" s="1">
        <v>0.0</v>
      </c>
    </row>
    <row r="342">
      <c r="A342" s="1">
        <v>10218.0</v>
      </c>
      <c r="B342" s="1">
        <v>515.0</v>
      </c>
      <c r="C342" s="1">
        <v>0.0</v>
      </c>
      <c r="F342" s="1">
        <v>0.0</v>
      </c>
    </row>
    <row r="343">
      <c r="A343" s="1">
        <v>10190.0</v>
      </c>
      <c r="B343" s="1">
        <v>515.0</v>
      </c>
      <c r="C343" s="1">
        <v>0.0</v>
      </c>
      <c r="F343" s="1">
        <v>0.0</v>
      </c>
    </row>
    <row r="344">
      <c r="A344" s="1">
        <v>10222.0</v>
      </c>
      <c r="B344" s="1">
        <v>515.0</v>
      </c>
      <c r="C344" s="1">
        <v>0.0</v>
      </c>
      <c r="F344" s="1">
        <v>0.0</v>
      </c>
    </row>
    <row r="345">
      <c r="A345" s="1">
        <v>10237.0</v>
      </c>
      <c r="B345" s="1">
        <v>515.0</v>
      </c>
      <c r="C345" s="1">
        <v>0.0</v>
      </c>
      <c r="F345" s="1">
        <v>0.0</v>
      </c>
    </row>
    <row r="346">
      <c r="A346" s="1">
        <v>10185.0</v>
      </c>
      <c r="B346" s="1">
        <v>515.0</v>
      </c>
      <c r="C346" s="1">
        <v>0.0</v>
      </c>
      <c r="F346" s="1">
        <v>0.0</v>
      </c>
    </row>
    <row r="347">
      <c r="A347" s="1">
        <v>10209.0</v>
      </c>
      <c r="B347" s="1">
        <v>515.0</v>
      </c>
      <c r="C347" s="1">
        <v>0.0</v>
      </c>
      <c r="F347" s="1">
        <v>0.0</v>
      </c>
    </row>
    <row r="348">
      <c r="A348" s="1">
        <v>10223.0</v>
      </c>
      <c r="B348" s="1">
        <v>515.0</v>
      </c>
      <c r="C348" s="1">
        <v>0.0</v>
      </c>
      <c r="F348" s="1">
        <v>0.0</v>
      </c>
    </row>
    <row r="349">
      <c r="A349" s="1">
        <v>10219.0</v>
      </c>
      <c r="B349" s="1">
        <v>515.0</v>
      </c>
      <c r="C349" s="1">
        <v>0.0</v>
      </c>
      <c r="F349" s="1">
        <v>0.0</v>
      </c>
    </row>
    <row r="350">
      <c r="A350" s="1">
        <v>10202.0</v>
      </c>
      <c r="B350" s="1">
        <v>515.0</v>
      </c>
      <c r="C350" s="1">
        <v>0.0</v>
      </c>
      <c r="F350" s="1">
        <v>0.0</v>
      </c>
    </row>
    <row r="351">
      <c r="A351" s="1">
        <v>10193.0</v>
      </c>
      <c r="B351" s="1">
        <v>515.0</v>
      </c>
      <c r="C351" s="1">
        <v>1.49261718E9</v>
      </c>
      <c r="F351" s="1">
        <v>202.0</v>
      </c>
    </row>
    <row r="352">
      <c r="A352" s="1">
        <v>10228.0</v>
      </c>
      <c r="B352" s="1">
        <v>515.0</v>
      </c>
      <c r="C352" s="1">
        <v>0.0</v>
      </c>
      <c r="F352" s="1">
        <v>0.0</v>
      </c>
    </row>
    <row r="353">
      <c r="A353" s="1">
        <v>10179.0</v>
      </c>
      <c r="B353" s="1">
        <v>515.0</v>
      </c>
      <c r="C353" s="1">
        <v>0.0</v>
      </c>
      <c r="F353" s="1">
        <v>0.0</v>
      </c>
    </row>
    <row r="354">
      <c r="A354" s="1">
        <v>10212.0</v>
      </c>
      <c r="B354" s="1">
        <v>515.0</v>
      </c>
      <c r="C354" s="1">
        <v>0.0</v>
      </c>
      <c r="F354" s="1">
        <v>0.0</v>
      </c>
    </row>
    <row r="355">
      <c r="A355" s="1">
        <v>10220.0</v>
      </c>
      <c r="B355" s="1">
        <v>515.0</v>
      </c>
      <c r="C355" s="1">
        <v>0.0</v>
      </c>
      <c r="F355" s="1">
        <v>0.0</v>
      </c>
    </row>
    <row r="356">
      <c r="A356" s="1">
        <v>2.0</v>
      </c>
      <c r="B356" s="1">
        <v>524.0</v>
      </c>
      <c r="C356" s="1">
        <v>0.0</v>
      </c>
      <c r="D356" s="1">
        <v>1.494274143E9</v>
      </c>
      <c r="E356" s="1">
        <v>10.0</v>
      </c>
      <c r="F356" s="1">
        <v>0.0</v>
      </c>
    </row>
    <row r="357">
      <c r="A357" s="1">
        <v>10172.0</v>
      </c>
      <c r="B357" s="1">
        <v>524.0</v>
      </c>
      <c r="C357" s="1">
        <v>1.4943481E9</v>
      </c>
      <c r="D357" s="1">
        <v>1.494348375E9</v>
      </c>
      <c r="E357" s="1">
        <v>10.0</v>
      </c>
      <c r="F357" s="1">
        <v>272.0</v>
      </c>
    </row>
    <row r="358">
      <c r="A358" s="1">
        <v>10217.0</v>
      </c>
      <c r="B358" s="1">
        <v>524.0</v>
      </c>
      <c r="C358" s="1">
        <v>1.494355369E9</v>
      </c>
      <c r="D358" s="1">
        <v>1.494357382E9</v>
      </c>
      <c r="E358" s="1">
        <v>10.0</v>
      </c>
      <c r="F358" s="1">
        <v>1810.0</v>
      </c>
    </row>
    <row r="359">
      <c r="A359" s="1">
        <v>10208.0</v>
      </c>
      <c r="B359" s="1">
        <v>524.0</v>
      </c>
      <c r="C359" s="1">
        <v>1.494359065E9</v>
      </c>
      <c r="D359" s="1">
        <v>1.494432233E9</v>
      </c>
      <c r="E359" s="1">
        <v>10.0</v>
      </c>
      <c r="F359" s="1">
        <v>918.0</v>
      </c>
    </row>
    <row r="360">
      <c r="A360" s="1">
        <v>10240.0</v>
      </c>
      <c r="B360" s="1">
        <v>524.0</v>
      </c>
      <c r="C360" s="1">
        <v>1.494375257E9</v>
      </c>
      <c r="D360" s="1">
        <v>1.494532554E9</v>
      </c>
      <c r="E360" s="1">
        <v>10.0</v>
      </c>
      <c r="F360" s="1">
        <v>529.0</v>
      </c>
    </row>
    <row r="361">
      <c r="A361" s="1">
        <v>10184.0</v>
      </c>
      <c r="B361" s="1">
        <v>524.0</v>
      </c>
      <c r="C361" s="1">
        <v>1.494376886E9</v>
      </c>
      <c r="D361" s="1">
        <v>1.494378578E9</v>
      </c>
      <c r="E361" s="1">
        <v>10.0</v>
      </c>
      <c r="F361" s="1">
        <v>1681.0</v>
      </c>
    </row>
    <row r="362">
      <c r="A362" s="1">
        <v>10175.0</v>
      </c>
      <c r="B362" s="1">
        <v>524.0</v>
      </c>
      <c r="C362" s="1">
        <v>1.494443473E9</v>
      </c>
      <c r="D362" s="1">
        <v>1.494444545E9</v>
      </c>
      <c r="E362" s="1">
        <v>10.0</v>
      </c>
      <c r="F362" s="1">
        <v>1070.0</v>
      </c>
    </row>
    <row r="363">
      <c r="A363" s="1">
        <v>10226.0</v>
      </c>
      <c r="B363" s="1">
        <v>524.0</v>
      </c>
      <c r="C363" s="1">
        <v>1.494445675E9</v>
      </c>
      <c r="D363" s="1">
        <v>1.494459712E9</v>
      </c>
      <c r="E363" s="1">
        <v>10.0</v>
      </c>
      <c r="F363" s="1">
        <v>1981.0</v>
      </c>
    </row>
    <row r="364">
      <c r="A364" s="1">
        <v>10231.0</v>
      </c>
      <c r="B364" s="1">
        <v>524.0</v>
      </c>
      <c r="C364" s="1">
        <v>1.494521523E9</v>
      </c>
      <c r="D364" s="1">
        <v>1.49453239E9</v>
      </c>
      <c r="E364" s="1">
        <v>10.0</v>
      </c>
      <c r="F364" s="1">
        <v>1576.0</v>
      </c>
    </row>
    <row r="365">
      <c r="A365" s="1">
        <v>10210.0</v>
      </c>
      <c r="B365" s="1">
        <v>524.0</v>
      </c>
      <c r="C365" s="1">
        <v>1.494551994E9</v>
      </c>
      <c r="D365" s="1">
        <v>1.49488295E9</v>
      </c>
      <c r="E365" s="1">
        <v>10.0</v>
      </c>
      <c r="F365" s="1">
        <v>6177.0</v>
      </c>
    </row>
    <row r="366">
      <c r="A366" s="1">
        <v>10211.0</v>
      </c>
      <c r="B366" s="1">
        <v>524.0</v>
      </c>
      <c r="C366" s="1">
        <v>1.494592008E9</v>
      </c>
      <c r="D366" s="1">
        <v>1.494593067E9</v>
      </c>
      <c r="E366" s="1">
        <v>10.0</v>
      </c>
      <c r="F366" s="1">
        <v>1057.0</v>
      </c>
    </row>
    <row r="367">
      <c r="A367" s="1">
        <v>10171.0</v>
      </c>
      <c r="B367" s="1">
        <v>524.0</v>
      </c>
      <c r="C367" s="1">
        <v>1.494634346E9</v>
      </c>
      <c r="D367" s="1">
        <v>1.494635737E9</v>
      </c>
      <c r="E367" s="1">
        <v>10.0</v>
      </c>
      <c r="F367" s="1">
        <v>1390.0</v>
      </c>
    </row>
    <row r="368">
      <c r="A368" s="1">
        <v>10215.0</v>
      </c>
      <c r="B368" s="1">
        <v>524.0</v>
      </c>
      <c r="C368" s="1">
        <v>1.494698641E9</v>
      </c>
      <c r="D368" s="1">
        <v>1.494699923E9</v>
      </c>
      <c r="E368" s="1">
        <v>10.0</v>
      </c>
      <c r="F368" s="1">
        <v>1278.0</v>
      </c>
    </row>
    <row r="369">
      <c r="A369" s="1">
        <v>10198.0</v>
      </c>
      <c r="B369" s="1">
        <v>524.0</v>
      </c>
      <c r="C369" s="1">
        <v>1.494709639E9</v>
      </c>
      <c r="D369" s="1">
        <v>1.494715303E9</v>
      </c>
      <c r="E369" s="1">
        <v>10.0</v>
      </c>
      <c r="F369" s="1">
        <v>5387.0</v>
      </c>
    </row>
    <row r="370">
      <c r="A370" s="1">
        <v>10193.0</v>
      </c>
      <c r="B370" s="1">
        <v>524.0</v>
      </c>
      <c r="C370" s="1">
        <v>1.494724729E9</v>
      </c>
      <c r="D370" s="1">
        <v>1.494725546E9</v>
      </c>
      <c r="E370" s="1">
        <v>10.0</v>
      </c>
      <c r="F370" s="1">
        <v>767.0</v>
      </c>
    </row>
    <row r="371">
      <c r="A371" s="1">
        <v>10200.0</v>
      </c>
      <c r="B371" s="1">
        <v>524.0</v>
      </c>
      <c r="C371" s="1">
        <v>1.494783372E9</v>
      </c>
      <c r="D371" s="1">
        <v>1.494903519E9</v>
      </c>
      <c r="E371" s="1">
        <v>10.0</v>
      </c>
      <c r="F371" s="1">
        <v>3177.0</v>
      </c>
    </row>
    <row r="372">
      <c r="A372" s="1">
        <v>10202.0</v>
      </c>
      <c r="B372" s="1">
        <v>524.0</v>
      </c>
      <c r="C372" s="1">
        <v>1.494853765E9</v>
      </c>
      <c r="F372" s="1">
        <v>6559.0</v>
      </c>
    </row>
    <row r="373">
      <c r="A373" s="1">
        <v>10203.0</v>
      </c>
      <c r="B373" s="1">
        <v>524.0</v>
      </c>
      <c r="C373" s="1">
        <v>1.494861988E9</v>
      </c>
      <c r="D373" s="1">
        <v>1.494862967E9</v>
      </c>
      <c r="E373" s="1">
        <v>10.0</v>
      </c>
      <c r="F373" s="1">
        <v>977.0</v>
      </c>
    </row>
    <row r="374">
      <c r="A374" s="1">
        <v>10201.0</v>
      </c>
      <c r="B374" s="1">
        <v>524.0</v>
      </c>
      <c r="C374" s="1">
        <v>1.494861244E9</v>
      </c>
      <c r="D374" s="1">
        <v>1.494862722E9</v>
      </c>
      <c r="E374" s="1">
        <v>10.0</v>
      </c>
      <c r="F374" s="1">
        <v>1476.0</v>
      </c>
    </row>
    <row r="375">
      <c r="A375" s="1">
        <v>10214.0</v>
      </c>
      <c r="B375" s="1">
        <v>524.0</v>
      </c>
      <c r="C375" s="1">
        <v>1.494862418E9</v>
      </c>
      <c r="D375" s="1">
        <v>1.494863732E9</v>
      </c>
      <c r="E375" s="1">
        <v>10.0</v>
      </c>
      <c r="F375" s="1">
        <v>1311.0</v>
      </c>
    </row>
    <row r="376">
      <c r="A376" s="1">
        <v>10197.0</v>
      </c>
      <c r="B376" s="1">
        <v>524.0</v>
      </c>
      <c r="C376" s="1">
        <v>1.494877955E9</v>
      </c>
      <c r="D376" s="1">
        <v>1.494887145E9</v>
      </c>
      <c r="E376" s="1">
        <v>10.0</v>
      </c>
      <c r="F376" s="1">
        <v>2748.0</v>
      </c>
    </row>
    <row r="377">
      <c r="A377" s="1">
        <v>10230.0</v>
      </c>
      <c r="B377" s="1">
        <v>524.0</v>
      </c>
      <c r="C377" s="1">
        <v>1.494883329E9</v>
      </c>
      <c r="D377" s="1">
        <v>1.494884841E9</v>
      </c>
      <c r="E377" s="1">
        <v>10.0</v>
      </c>
      <c r="F377" s="1">
        <v>1506.0</v>
      </c>
    </row>
    <row r="378">
      <c r="A378" s="1">
        <v>10196.0</v>
      </c>
      <c r="B378" s="1">
        <v>524.0</v>
      </c>
      <c r="C378" s="1">
        <v>1.49488821E9</v>
      </c>
      <c r="D378" s="1">
        <v>1.494891125E9</v>
      </c>
      <c r="E378" s="1">
        <v>10.0</v>
      </c>
      <c r="F378" s="1">
        <v>2781.0</v>
      </c>
    </row>
    <row r="379">
      <c r="A379" s="1">
        <v>10218.0</v>
      </c>
      <c r="B379" s="1">
        <v>524.0</v>
      </c>
      <c r="C379" s="1">
        <v>1.494891071E9</v>
      </c>
      <c r="D379" s="1">
        <v>1.494891215E9</v>
      </c>
      <c r="E379" s="1">
        <v>10.0</v>
      </c>
      <c r="F379" s="1">
        <v>141.0</v>
      </c>
    </row>
    <row r="380">
      <c r="A380" s="1">
        <v>10206.0</v>
      </c>
      <c r="B380" s="1">
        <v>524.0</v>
      </c>
      <c r="C380" s="1">
        <v>1.494897883E9</v>
      </c>
      <c r="D380" s="1">
        <v>1.49489816E9</v>
      </c>
      <c r="E380" s="1">
        <v>10.0</v>
      </c>
      <c r="F380" s="1">
        <v>274.0</v>
      </c>
    </row>
    <row r="381">
      <c r="A381" s="1">
        <v>10183.0</v>
      </c>
      <c r="B381" s="1">
        <v>524.0</v>
      </c>
      <c r="C381" s="1">
        <v>1.494960349E9</v>
      </c>
      <c r="F381" s="1">
        <v>45.0</v>
      </c>
    </row>
    <row r="382">
      <c r="A382" s="1">
        <v>10216.0</v>
      </c>
      <c r="B382" s="1">
        <v>524.0</v>
      </c>
      <c r="C382" s="1">
        <v>1.49489697E9</v>
      </c>
      <c r="D382" s="1">
        <v>1.495126691E9</v>
      </c>
      <c r="E382" s="1">
        <v>10.0</v>
      </c>
      <c r="F382" s="1">
        <v>371.0</v>
      </c>
    </row>
    <row r="383">
      <c r="A383" s="1">
        <v>10204.0</v>
      </c>
      <c r="B383" s="1">
        <v>524.0</v>
      </c>
      <c r="C383" s="1">
        <v>1.495137271E9</v>
      </c>
      <c r="D383" s="1">
        <v>1.495137972E9</v>
      </c>
      <c r="E383" s="1">
        <v>10.0</v>
      </c>
      <c r="F383" s="1">
        <v>700.0</v>
      </c>
    </row>
    <row r="384">
      <c r="A384" s="1">
        <v>10188.0</v>
      </c>
      <c r="B384" s="1">
        <v>524.0</v>
      </c>
      <c r="C384" s="1">
        <v>0.0</v>
      </c>
      <c r="D384" s="1">
        <v>1.495153444E9</v>
      </c>
      <c r="E384" s="1">
        <v>10.0</v>
      </c>
      <c r="F384" s="1">
        <v>0.0</v>
      </c>
    </row>
    <row r="385">
      <c r="A385" s="1">
        <v>10174.0</v>
      </c>
      <c r="B385" s="1">
        <v>524.0</v>
      </c>
      <c r="C385" s="1">
        <v>1.495472651E9</v>
      </c>
      <c r="D385" s="1">
        <v>1.495473013E9</v>
      </c>
      <c r="E385" s="1">
        <v>10.0</v>
      </c>
      <c r="F385" s="1">
        <v>358.0</v>
      </c>
    </row>
    <row r="386">
      <c r="A386" s="1">
        <v>10227.0</v>
      </c>
      <c r="B386" s="1">
        <v>524.0</v>
      </c>
      <c r="C386" s="1">
        <v>1.495503269E9</v>
      </c>
      <c r="F386" s="1">
        <v>2122.0</v>
      </c>
    </row>
    <row r="387">
      <c r="A387" s="1">
        <v>10189.0</v>
      </c>
      <c r="B387" s="1">
        <v>524.0</v>
      </c>
      <c r="C387" s="1">
        <v>1.495660617E9</v>
      </c>
      <c r="F387" s="1">
        <v>801.0</v>
      </c>
    </row>
    <row r="388">
      <c r="A388" s="1">
        <v>10176.0</v>
      </c>
      <c r="B388" s="1">
        <v>524.0</v>
      </c>
      <c r="C388" s="1">
        <v>0.0</v>
      </c>
      <c r="F388" s="1">
        <v>0.0</v>
      </c>
    </row>
    <row r="389">
      <c r="A389" s="1">
        <v>10187.0</v>
      </c>
      <c r="B389" s="1">
        <v>524.0</v>
      </c>
      <c r="C389" s="1">
        <v>0.0</v>
      </c>
      <c r="F389" s="1">
        <v>0.0</v>
      </c>
    </row>
    <row r="390">
      <c r="A390" s="1">
        <v>10178.0</v>
      </c>
      <c r="B390" s="1">
        <v>524.0</v>
      </c>
      <c r="C390" s="1">
        <v>0.0</v>
      </c>
      <c r="F390" s="1">
        <v>0.0</v>
      </c>
    </row>
    <row r="391">
      <c r="A391" s="1">
        <v>10222.0</v>
      </c>
      <c r="B391" s="1">
        <v>524.0</v>
      </c>
      <c r="C391" s="1">
        <v>0.0</v>
      </c>
      <c r="F391" s="1">
        <v>0.0</v>
      </c>
    </row>
    <row r="392">
      <c r="A392" s="1">
        <v>10191.0</v>
      </c>
      <c r="B392" s="1">
        <v>524.0</v>
      </c>
      <c r="C392" s="1">
        <v>0.0</v>
      </c>
      <c r="F392" s="1">
        <v>0.0</v>
      </c>
    </row>
    <row r="393">
      <c r="A393" s="1">
        <v>10192.0</v>
      </c>
      <c r="B393" s="1">
        <v>524.0</v>
      </c>
      <c r="C393" s="1">
        <v>0.0</v>
      </c>
      <c r="F393" s="1">
        <v>0.0</v>
      </c>
    </row>
    <row r="394">
      <c r="A394" s="1">
        <v>10234.0</v>
      </c>
      <c r="B394" s="1">
        <v>524.0</v>
      </c>
      <c r="C394" s="1">
        <v>0.0</v>
      </c>
      <c r="F394" s="1">
        <v>0.0</v>
      </c>
    </row>
    <row r="395">
      <c r="A395" s="1">
        <v>10219.0</v>
      </c>
      <c r="B395" s="1">
        <v>524.0</v>
      </c>
      <c r="C395" s="1">
        <v>0.0</v>
      </c>
      <c r="F395" s="1">
        <v>0.0</v>
      </c>
    </row>
    <row r="396">
      <c r="A396" s="1">
        <v>10209.0</v>
      </c>
      <c r="B396" s="1">
        <v>524.0</v>
      </c>
      <c r="C396" s="1">
        <v>1.4957692E9</v>
      </c>
      <c r="F396" s="1">
        <v>3179.0</v>
      </c>
    </row>
    <row r="397">
      <c r="A397" s="1">
        <v>10238.0</v>
      </c>
      <c r="B397" s="1">
        <v>524.0</v>
      </c>
      <c r="C397" s="1">
        <v>1.494711845E9</v>
      </c>
      <c r="F397" s="1">
        <v>49.0</v>
      </c>
    </row>
    <row r="398">
      <c r="A398" s="1">
        <v>10223.0</v>
      </c>
      <c r="B398" s="1">
        <v>524.0</v>
      </c>
      <c r="C398" s="1">
        <v>0.0</v>
      </c>
      <c r="F398" s="1">
        <v>0.0</v>
      </c>
    </row>
    <row r="399">
      <c r="A399" s="1">
        <v>10190.0</v>
      </c>
      <c r="B399" s="1">
        <v>524.0</v>
      </c>
      <c r="C399" s="1">
        <v>0.0</v>
      </c>
      <c r="F399" s="1">
        <v>0.0</v>
      </c>
    </row>
    <row r="400">
      <c r="A400" s="1">
        <v>10186.0</v>
      </c>
      <c r="B400" s="1">
        <v>524.0</v>
      </c>
      <c r="C400" s="1">
        <v>0.0</v>
      </c>
      <c r="F400" s="1">
        <v>0.0</v>
      </c>
    </row>
    <row r="401">
      <c r="A401" s="1">
        <v>10213.0</v>
      </c>
      <c r="B401" s="1">
        <v>524.0</v>
      </c>
      <c r="C401" s="1">
        <v>0.0</v>
      </c>
      <c r="F401" s="1">
        <v>0.0</v>
      </c>
    </row>
    <row r="402">
      <c r="A402" s="1">
        <v>10169.0</v>
      </c>
      <c r="B402" s="1">
        <v>524.0</v>
      </c>
      <c r="C402" s="1">
        <v>0.0</v>
      </c>
      <c r="F402" s="1">
        <v>0.0</v>
      </c>
    </row>
    <row r="403">
      <c r="A403" s="1">
        <v>10228.0</v>
      </c>
      <c r="B403" s="1">
        <v>524.0</v>
      </c>
      <c r="C403" s="1">
        <v>0.0</v>
      </c>
      <c r="F403" s="1">
        <v>0.0</v>
      </c>
    </row>
    <row r="404">
      <c r="A404" s="1">
        <v>10179.0</v>
      </c>
      <c r="B404" s="1">
        <v>524.0</v>
      </c>
      <c r="C404" s="1">
        <v>0.0</v>
      </c>
      <c r="F404" s="1">
        <v>0.0</v>
      </c>
    </row>
    <row r="405">
      <c r="A405" s="1">
        <v>10185.0</v>
      </c>
      <c r="B405" s="1">
        <v>524.0</v>
      </c>
      <c r="C405" s="1">
        <v>0.0</v>
      </c>
      <c r="F405" s="1">
        <v>0.0</v>
      </c>
    </row>
    <row r="406">
      <c r="A406" s="1">
        <v>10237.0</v>
      </c>
      <c r="B406" s="1">
        <v>524.0</v>
      </c>
      <c r="C406" s="1">
        <v>0.0</v>
      </c>
      <c r="F406" s="1">
        <v>0.0</v>
      </c>
    </row>
    <row r="407">
      <c r="A407" s="1">
        <v>10181.0</v>
      </c>
      <c r="B407" s="1">
        <v>524.0</v>
      </c>
      <c r="C407" s="1">
        <v>0.0</v>
      </c>
      <c r="F407" s="1">
        <v>0.0</v>
      </c>
    </row>
    <row r="408">
      <c r="A408" s="1">
        <v>10232.0</v>
      </c>
      <c r="B408" s="1">
        <v>524.0</v>
      </c>
      <c r="C408" s="1">
        <v>1.494935657E9</v>
      </c>
      <c r="F408" s="1">
        <v>2641.0</v>
      </c>
    </row>
    <row r="409">
      <c r="A409" s="1">
        <v>10170.0</v>
      </c>
      <c r="B409" s="1">
        <v>524.0</v>
      </c>
      <c r="C409" s="1">
        <v>0.0</v>
      </c>
      <c r="F409" s="1">
        <v>0.0</v>
      </c>
    </row>
    <row r="410">
      <c r="A410" s="1">
        <v>10221.0</v>
      </c>
      <c r="B410" s="1">
        <v>524.0</v>
      </c>
      <c r="C410" s="1">
        <v>0.0</v>
      </c>
      <c r="F410" s="1">
        <v>0.0</v>
      </c>
    </row>
    <row r="411">
      <c r="A411" s="1">
        <v>10212.0</v>
      </c>
      <c r="B411" s="1">
        <v>524.0</v>
      </c>
      <c r="C411" s="1">
        <v>0.0</v>
      </c>
      <c r="F411" s="1">
        <v>0.0</v>
      </c>
    </row>
    <row r="412">
      <c r="A412" s="1">
        <v>2.0</v>
      </c>
      <c r="B412" s="1">
        <v>528.0</v>
      </c>
      <c r="C412" s="1">
        <v>0.0</v>
      </c>
      <c r="F412" s="1">
        <v>0.0</v>
      </c>
    </row>
    <row r="413">
      <c r="A413" s="1">
        <v>10172.0</v>
      </c>
      <c r="B413" s="1">
        <v>528.0</v>
      </c>
      <c r="C413" s="1">
        <v>1.494347608E9</v>
      </c>
      <c r="D413" s="1">
        <v>1.49434789E9</v>
      </c>
      <c r="E413" s="1">
        <v>10.0</v>
      </c>
      <c r="F413" s="1">
        <v>277.0</v>
      </c>
    </row>
    <row r="414">
      <c r="A414" s="1">
        <v>10203.0</v>
      </c>
      <c r="B414" s="1">
        <v>528.0</v>
      </c>
      <c r="C414" s="1">
        <v>1.494352639E9</v>
      </c>
      <c r="D414" s="1">
        <v>1.494616055E9</v>
      </c>
      <c r="E414" s="1">
        <v>10.0</v>
      </c>
      <c r="F414" s="1">
        <v>1078.0</v>
      </c>
    </row>
    <row r="415">
      <c r="A415" s="1">
        <v>10217.0</v>
      </c>
      <c r="B415" s="1">
        <v>528.0</v>
      </c>
      <c r="C415" s="1">
        <v>1.494354773E9</v>
      </c>
      <c r="D415" s="1">
        <v>1.494355278E9</v>
      </c>
      <c r="E415" s="1">
        <v>10.0</v>
      </c>
      <c r="F415" s="1">
        <v>494.0</v>
      </c>
    </row>
    <row r="416">
      <c r="A416" s="1">
        <v>10208.0</v>
      </c>
      <c r="B416" s="1">
        <v>528.0</v>
      </c>
      <c r="C416" s="1">
        <v>1.494358372E9</v>
      </c>
      <c r="D416" s="1">
        <v>1.494432179E9</v>
      </c>
      <c r="E416" s="1">
        <v>10.0</v>
      </c>
      <c r="F416" s="1">
        <v>751.0</v>
      </c>
    </row>
    <row r="417">
      <c r="A417" s="1">
        <v>10240.0</v>
      </c>
      <c r="B417" s="1">
        <v>528.0</v>
      </c>
      <c r="C417" s="1">
        <v>1.494368599E9</v>
      </c>
      <c r="D417" s="1">
        <v>1.494369145E9</v>
      </c>
      <c r="E417" s="1">
        <v>10.0</v>
      </c>
      <c r="F417" s="1">
        <v>545.0</v>
      </c>
    </row>
    <row r="418">
      <c r="A418" s="1">
        <v>10183.0</v>
      </c>
      <c r="B418" s="1">
        <v>528.0</v>
      </c>
      <c r="C418" s="1">
        <v>1.494374899E9</v>
      </c>
      <c r="F418" s="1">
        <v>1337.0</v>
      </c>
    </row>
    <row r="419">
      <c r="A419" s="1">
        <v>10184.0</v>
      </c>
      <c r="B419" s="1">
        <v>528.0</v>
      </c>
      <c r="C419" s="1">
        <v>1.494376546E9</v>
      </c>
      <c r="D419" s="1">
        <v>1.494376702E9</v>
      </c>
      <c r="E419" s="1">
        <v>10.0</v>
      </c>
      <c r="F419" s="1">
        <v>154.0</v>
      </c>
    </row>
    <row r="420">
      <c r="A420" s="1">
        <v>10215.0</v>
      </c>
      <c r="B420" s="1">
        <v>528.0</v>
      </c>
      <c r="C420" s="1">
        <v>1.494383777E9</v>
      </c>
      <c r="D420" s="1">
        <v>1.49438482E9</v>
      </c>
      <c r="E420" s="1">
        <v>10.0</v>
      </c>
      <c r="F420" s="1">
        <v>1039.0</v>
      </c>
    </row>
    <row r="421">
      <c r="A421" s="1">
        <v>10175.0</v>
      </c>
      <c r="B421" s="1">
        <v>528.0</v>
      </c>
      <c r="C421" s="1">
        <v>1.494442932E9</v>
      </c>
      <c r="D421" s="1">
        <v>1.494443444E9</v>
      </c>
      <c r="E421" s="1">
        <v>10.0</v>
      </c>
      <c r="F421" s="1">
        <v>642.0</v>
      </c>
    </row>
    <row r="422">
      <c r="A422" s="1">
        <v>10206.0</v>
      </c>
      <c r="B422" s="1">
        <v>528.0</v>
      </c>
      <c r="C422" s="1">
        <v>1.494444735E9</v>
      </c>
      <c r="D422" s="1">
        <v>1.494445355E9</v>
      </c>
      <c r="E422" s="1">
        <v>10.0</v>
      </c>
      <c r="F422" s="1">
        <v>618.0</v>
      </c>
    </row>
    <row r="423">
      <c r="A423" s="1">
        <v>10224.0</v>
      </c>
      <c r="B423" s="1">
        <v>528.0</v>
      </c>
      <c r="C423" s="1">
        <v>1.494472122E9</v>
      </c>
      <c r="D423" s="1">
        <v>1.49447226E9</v>
      </c>
      <c r="E423" s="1">
        <v>10.0</v>
      </c>
      <c r="F423" s="1">
        <v>135.0</v>
      </c>
    </row>
    <row r="424">
      <c r="A424" s="1">
        <v>10231.0</v>
      </c>
      <c r="B424" s="1">
        <v>528.0</v>
      </c>
      <c r="C424" s="1">
        <v>1.494499987E9</v>
      </c>
      <c r="D424" s="1">
        <v>1.494520865E9</v>
      </c>
      <c r="E424" s="1">
        <v>10.0</v>
      </c>
      <c r="F424" s="1">
        <v>1062.0</v>
      </c>
    </row>
    <row r="425">
      <c r="A425" s="1">
        <v>10204.0</v>
      </c>
      <c r="B425" s="1">
        <v>528.0</v>
      </c>
      <c r="C425" s="1">
        <v>1.494514768E9</v>
      </c>
      <c r="D425" s="1">
        <v>1.494524133E9</v>
      </c>
      <c r="E425" s="1">
        <v>10.0</v>
      </c>
      <c r="F425" s="1">
        <v>3937.0</v>
      </c>
    </row>
    <row r="426">
      <c r="A426" s="1">
        <v>10201.0</v>
      </c>
      <c r="B426" s="1">
        <v>528.0</v>
      </c>
      <c r="C426" s="1">
        <v>1.494520579E9</v>
      </c>
      <c r="D426" s="1">
        <v>1.494521058E9</v>
      </c>
      <c r="E426" s="1">
        <v>10.0</v>
      </c>
      <c r="F426" s="1">
        <v>476.0</v>
      </c>
    </row>
    <row r="427">
      <c r="A427" s="1">
        <v>10214.0</v>
      </c>
      <c r="B427" s="1">
        <v>528.0</v>
      </c>
      <c r="C427" s="1">
        <v>1.494522046E9</v>
      </c>
      <c r="D427" s="1">
        <v>1.494559302E9</v>
      </c>
      <c r="E427" s="1">
        <v>10.0</v>
      </c>
      <c r="F427" s="1">
        <v>2123.0</v>
      </c>
    </row>
    <row r="428">
      <c r="A428" s="1">
        <v>10210.0</v>
      </c>
      <c r="B428" s="1">
        <v>528.0</v>
      </c>
      <c r="C428" s="1">
        <v>1.49455078E9</v>
      </c>
      <c r="D428" s="1">
        <v>1.494551287E9</v>
      </c>
      <c r="E428" s="1">
        <v>10.0</v>
      </c>
      <c r="F428" s="1">
        <v>506.0</v>
      </c>
    </row>
    <row r="429">
      <c r="A429" s="1">
        <v>10211.0</v>
      </c>
      <c r="B429" s="1">
        <v>528.0</v>
      </c>
      <c r="C429" s="1">
        <v>1.494591625E9</v>
      </c>
      <c r="D429" s="1">
        <v>1.494591737E9</v>
      </c>
      <c r="E429" s="1">
        <v>10.0</v>
      </c>
      <c r="F429" s="1">
        <v>110.0</v>
      </c>
    </row>
    <row r="430">
      <c r="A430" s="1">
        <v>10188.0</v>
      </c>
      <c r="B430" s="1">
        <v>528.0</v>
      </c>
      <c r="C430" s="1">
        <v>1.494602798E9</v>
      </c>
      <c r="F430" s="1">
        <v>7234.0</v>
      </c>
    </row>
    <row r="431">
      <c r="A431" s="1">
        <v>10171.0</v>
      </c>
      <c r="B431" s="1">
        <v>528.0</v>
      </c>
      <c r="C431" s="1">
        <v>1.494633914E9</v>
      </c>
      <c r="D431" s="1">
        <v>1.494634222E9</v>
      </c>
      <c r="E431" s="1">
        <v>10.0</v>
      </c>
      <c r="F431" s="1">
        <v>306.0</v>
      </c>
    </row>
    <row r="432">
      <c r="A432" s="1">
        <v>10200.0</v>
      </c>
      <c r="B432" s="1">
        <v>528.0</v>
      </c>
      <c r="C432" s="1">
        <v>1.494701103E9</v>
      </c>
      <c r="D432" s="1">
        <v>1.494865686E9</v>
      </c>
      <c r="E432" s="1">
        <v>10.0</v>
      </c>
      <c r="F432" s="1">
        <v>4156.0</v>
      </c>
    </row>
    <row r="433">
      <c r="A433" s="1">
        <v>10198.0</v>
      </c>
      <c r="B433" s="1">
        <v>528.0</v>
      </c>
      <c r="C433" s="1">
        <v>1.494708227E9</v>
      </c>
      <c r="D433" s="1">
        <v>1.494709338E9</v>
      </c>
      <c r="E433" s="1">
        <v>10.0</v>
      </c>
      <c r="F433" s="1">
        <v>1405.0</v>
      </c>
    </row>
    <row r="434">
      <c r="A434" s="1">
        <v>10193.0</v>
      </c>
      <c r="B434" s="1">
        <v>528.0</v>
      </c>
      <c r="C434" s="1">
        <v>1.494723576E9</v>
      </c>
      <c r="D434" s="1">
        <v>1.494724259E9</v>
      </c>
      <c r="E434" s="1">
        <v>10.0</v>
      </c>
      <c r="F434" s="1">
        <v>680.0</v>
      </c>
    </row>
    <row r="435">
      <c r="A435" s="1">
        <v>10176.0</v>
      </c>
      <c r="B435" s="1">
        <v>528.0</v>
      </c>
      <c r="C435" s="1">
        <v>1.494802838E9</v>
      </c>
      <c r="F435" s="1">
        <v>1598.0</v>
      </c>
    </row>
    <row r="436">
      <c r="A436" s="1">
        <v>10202.0</v>
      </c>
      <c r="B436" s="1">
        <v>528.0</v>
      </c>
      <c r="C436" s="1">
        <v>1.494817462E9</v>
      </c>
      <c r="D436" s="1">
        <v>1.494821896E9</v>
      </c>
      <c r="E436" s="1">
        <v>10.0</v>
      </c>
      <c r="F436" s="1">
        <v>4431.0</v>
      </c>
    </row>
    <row r="437">
      <c r="A437" s="1">
        <v>10197.0</v>
      </c>
      <c r="B437" s="1">
        <v>528.0</v>
      </c>
      <c r="C437" s="1">
        <v>1.494865832E9</v>
      </c>
      <c r="D437" s="1">
        <v>1.49487787E9</v>
      </c>
      <c r="E437" s="1">
        <v>10.0</v>
      </c>
      <c r="F437" s="1">
        <v>3406.0</v>
      </c>
    </row>
    <row r="438">
      <c r="A438" s="1">
        <v>10216.0</v>
      </c>
      <c r="B438" s="1">
        <v>528.0</v>
      </c>
      <c r="C438" s="1">
        <v>1.494866836E9</v>
      </c>
      <c r="D438" s="1">
        <v>1.494867149E9</v>
      </c>
      <c r="E438" s="1">
        <v>10.0</v>
      </c>
      <c r="F438" s="1">
        <v>309.0</v>
      </c>
    </row>
    <row r="439">
      <c r="A439" s="1">
        <v>10230.0</v>
      </c>
      <c r="B439" s="1">
        <v>528.0</v>
      </c>
      <c r="C439" s="1">
        <v>1.494882547E9</v>
      </c>
      <c r="D439" s="1">
        <v>1.494882899E9</v>
      </c>
      <c r="E439" s="1">
        <v>10.0</v>
      </c>
      <c r="F439" s="1">
        <v>351.0</v>
      </c>
    </row>
    <row r="440">
      <c r="A440" s="1">
        <v>10196.0</v>
      </c>
      <c r="B440" s="1">
        <v>528.0</v>
      </c>
      <c r="C440" s="1">
        <v>1.494887088E9</v>
      </c>
      <c r="D440" s="1">
        <v>1.494887622E9</v>
      </c>
      <c r="E440" s="1">
        <v>10.0</v>
      </c>
      <c r="F440" s="1">
        <v>531.0</v>
      </c>
    </row>
    <row r="441">
      <c r="A441" s="1">
        <v>10191.0</v>
      </c>
      <c r="B441" s="1">
        <v>528.0</v>
      </c>
      <c r="C441" s="1">
        <v>1.494891187E9</v>
      </c>
      <c r="D441" s="1">
        <v>1.4948918E9</v>
      </c>
      <c r="E441" s="1">
        <v>10.0</v>
      </c>
      <c r="F441" s="1">
        <v>556.0</v>
      </c>
    </row>
    <row r="442">
      <c r="A442" s="1">
        <v>10232.0</v>
      </c>
      <c r="B442" s="1">
        <v>528.0</v>
      </c>
      <c r="C442" s="1">
        <v>1.494894258E9</v>
      </c>
      <c r="D442" s="1">
        <v>1.494895953E9</v>
      </c>
      <c r="E442" s="1">
        <v>10.0</v>
      </c>
      <c r="F442" s="1">
        <v>1691.0</v>
      </c>
    </row>
    <row r="443">
      <c r="A443" s="1">
        <v>10227.0</v>
      </c>
      <c r="B443" s="1">
        <v>528.0</v>
      </c>
      <c r="C443" s="1">
        <v>1.494937632E9</v>
      </c>
      <c r="D443" s="1">
        <v>1.494939262E9</v>
      </c>
      <c r="E443" s="1">
        <v>10.0</v>
      </c>
      <c r="F443" s="1">
        <v>1629.0</v>
      </c>
    </row>
    <row r="444">
      <c r="A444" s="1">
        <v>10174.0</v>
      </c>
      <c r="B444" s="1">
        <v>528.0</v>
      </c>
      <c r="C444" s="1">
        <v>1.494938049E9</v>
      </c>
      <c r="D444" s="1">
        <v>1.494950496E9</v>
      </c>
      <c r="E444" s="1">
        <v>10.0</v>
      </c>
      <c r="F444" s="1">
        <v>2309.0</v>
      </c>
    </row>
    <row r="445">
      <c r="A445" s="1">
        <v>10209.0</v>
      </c>
      <c r="B445" s="1">
        <v>528.0</v>
      </c>
      <c r="C445" s="1">
        <v>1.494979854E9</v>
      </c>
      <c r="D445" s="1">
        <v>1.494981807E9</v>
      </c>
      <c r="E445" s="1">
        <v>10.0</v>
      </c>
      <c r="F445" s="1">
        <v>1946.0</v>
      </c>
    </row>
    <row r="446">
      <c r="A446" s="1">
        <v>10189.0</v>
      </c>
      <c r="B446" s="1">
        <v>528.0</v>
      </c>
      <c r="C446" s="1">
        <v>1.495403539E9</v>
      </c>
      <c r="D446" s="1">
        <v>1.495404323E9</v>
      </c>
      <c r="E446" s="1">
        <v>10.0</v>
      </c>
      <c r="F446" s="1">
        <v>782.0</v>
      </c>
    </row>
    <row r="447">
      <c r="A447" s="1">
        <v>10170.0</v>
      </c>
      <c r="B447" s="1">
        <v>528.0</v>
      </c>
      <c r="C447" s="1">
        <v>1.49550345E9</v>
      </c>
      <c r="D447" s="1">
        <v>1.495506769E9</v>
      </c>
      <c r="E447" s="1">
        <v>10.0</v>
      </c>
      <c r="F447" s="1">
        <v>172.0</v>
      </c>
    </row>
    <row r="448">
      <c r="A448" s="1">
        <v>10192.0</v>
      </c>
      <c r="B448" s="1">
        <v>528.0</v>
      </c>
      <c r="C448" s="1">
        <v>1.495660639E9</v>
      </c>
      <c r="D448" s="1">
        <v>1.495661493E9</v>
      </c>
      <c r="E448" s="1">
        <v>10.0</v>
      </c>
      <c r="F448" s="1">
        <v>690.0</v>
      </c>
    </row>
    <row r="449">
      <c r="A449" s="1">
        <v>10178.0</v>
      </c>
      <c r="B449" s="1">
        <v>528.0</v>
      </c>
      <c r="C449" s="1">
        <v>0.0</v>
      </c>
      <c r="F449" s="1">
        <v>0.0</v>
      </c>
    </row>
    <row r="450">
      <c r="A450" s="1">
        <v>10187.0</v>
      </c>
      <c r="B450" s="1">
        <v>528.0</v>
      </c>
      <c r="C450" s="1">
        <v>0.0</v>
      </c>
      <c r="F450" s="1">
        <v>0.0</v>
      </c>
    </row>
    <row r="451">
      <c r="A451" s="1">
        <v>10222.0</v>
      </c>
      <c r="B451" s="1">
        <v>528.0</v>
      </c>
      <c r="C451" s="1">
        <v>0.0</v>
      </c>
      <c r="F451" s="1">
        <v>0.0</v>
      </c>
    </row>
    <row r="452">
      <c r="A452" s="1">
        <v>10234.0</v>
      </c>
      <c r="B452" s="1">
        <v>528.0</v>
      </c>
      <c r="C452" s="1">
        <v>0.0</v>
      </c>
      <c r="F452" s="1">
        <v>0.0</v>
      </c>
    </row>
    <row r="453">
      <c r="A453" s="1">
        <v>10219.0</v>
      </c>
      <c r="B453" s="1">
        <v>528.0</v>
      </c>
      <c r="C453" s="1">
        <v>0.0</v>
      </c>
      <c r="F453" s="1">
        <v>0.0</v>
      </c>
    </row>
    <row r="454">
      <c r="A454" s="1">
        <v>10186.0</v>
      </c>
      <c r="B454" s="1">
        <v>528.0</v>
      </c>
      <c r="C454" s="1">
        <v>0.0</v>
      </c>
      <c r="F454" s="1">
        <v>0.0</v>
      </c>
    </row>
    <row r="455">
      <c r="A455" s="1">
        <v>10223.0</v>
      </c>
      <c r="B455" s="1">
        <v>528.0</v>
      </c>
      <c r="C455" s="1">
        <v>0.0</v>
      </c>
      <c r="F455" s="1">
        <v>0.0</v>
      </c>
    </row>
    <row r="456">
      <c r="A456" s="1">
        <v>10169.0</v>
      </c>
      <c r="B456" s="1">
        <v>528.0</v>
      </c>
      <c r="C456" s="1">
        <v>0.0</v>
      </c>
      <c r="F456" s="1">
        <v>0.0</v>
      </c>
    </row>
    <row r="457">
      <c r="A457" s="1">
        <v>10221.0</v>
      </c>
      <c r="B457" s="1">
        <v>528.0</v>
      </c>
      <c r="C457" s="1">
        <v>0.0</v>
      </c>
      <c r="F457" s="1">
        <v>0.0</v>
      </c>
    </row>
    <row r="458">
      <c r="A458" s="1">
        <v>10190.0</v>
      </c>
      <c r="B458" s="1">
        <v>528.0</v>
      </c>
      <c r="C458" s="1">
        <v>0.0</v>
      </c>
      <c r="F458" s="1">
        <v>0.0</v>
      </c>
    </row>
    <row r="459">
      <c r="A459" s="1">
        <v>10213.0</v>
      </c>
      <c r="B459" s="1">
        <v>528.0</v>
      </c>
      <c r="C459" s="1">
        <v>0.0</v>
      </c>
      <c r="F459" s="1">
        <v>0.0</v>
      </c>
    </row>
    <row r="460">
      <c r="A460" s="1">
        <v>10228.0</v>
      </c>
      <c r="B460" s="1">
        <v>528.0</v>
      </c>
      <c r="C460" s="1">
        <v>0.0</v>
      </c>
      <c r="F460" s="1">
        <v>0.0</v>
      </c>
    </row>
    <row r="461">
      <c r="A461" s="1">
        <v>10237.0</v>
      </c>
      <c r="B461" s="1">
        <v>528.0</v>
      </c>
      <c r="C461" s="1">
        <v>0.0</v>
      </c>
      <c r="F461" s="1">
        <v>0.0</v>
      </c>
    </row>
    <row r="462">
      <c r="A462" s="1">
        <v>10179.0</v>
      </c>
      <c r="B462" s="1">
        <v>528.0</v>
      </c>
      <c r="C462" s="1">
        <v>0.0</v>
      </c>
      <c r="F462" s="1">
        <v>0.0</v>
      </c>
    </row>
    <row r="463">
      <c r="A463" s="1">
        <v>10185.0</v>
      </c>
      <c r="B463" s="1">
        <v>528.0</v>
      </c>
      <c r="C463" s="1">
        <v>0.0</v>
      </c>
      <c r="F463" s="1">
        <v>0.0</v>
      </c>
    </row>
    <row r="464">
      <c r="A464" s="1">
        <v>10181.0</v>
      </c>
      <c r="B464" s="1">
        <v>528.0</v>
      </c>
      <c r="C464" s="1">
        <v>0.0</v>
      </c>
      <c r="F464" s="1">
        <v>0.0</v>
      </c>
    </row>
    <row r="465">
      <c r="A465" s="1">
        <v>10238.0</v>
      </c>
      <c r="B465" s="1">
        <v>528.0</v>
      </c>
      <c r="C465" s="1">
        <v>0.0</v>
      </c>
      <c r="F465" s="1">
        <v>0.0</v>
      </c>
    </row>
    <row r="466">
      <c r="A466" s="1">
        <v>10226.0</v>
      </c>
      <c r="B466" s="1">
        <v>528.0</v>
      </c>
      <c r="C466" s="1">
        <v>0.0</v>
      </c>
      <c r="F466" s="1">
        <v>0.0</v>
      </c>
    </row>
    <row r="467">
      <c r="A467" s="1">
        <v>10212.0</v>
      </c>
      <c r="B467" s="1">
        <v>528.0</v>
      </c>
      <c r="C467" s="1">
        <v>0.0</v>
      </c>
      <c r="F467" s="1">
        <v>0.0</v>
      </c>
    </row>
    <row r="468">
      <c r="A468" s="1">
        <v>10218.0</v>
      </c>
      <c r="B468" s="1">
        <v>528.0</v>
      </c>
      <c r="C468" s="1">
        <v>0.0</v>
      </c>
      <c r="F468" s="1">
        <v>0.0</v>
      </c>
    </row>
    <row r="469">
      <c r="A469" s="1">
        <v>2.0</v>
      </c>
      <c r="B469" s="1">
        <v>534.0</v>
      </c>
      <c r="C469" s="1">
        <v>0.0</v>
      </c>
      <c r="D469" s="1">
        <v>1.49551796E9</v>
      </c>
      <c r="E469" s="2">
        <v>100.0</v>
      </c>
      <c r="F469" s="1">
        <v>0.0</v>
      </c>
    </row>
    <row r="470">
      <c r="A470" s="1">
        <v>10188.0</v>
      </c>
      <c r="B470" s="1">
        <v>534.0</v>
      </c>
      <c r="C470" s="1">
        <v>1.495570337E9</v>
      </c>
      <c r="D470" s="1">
        <v>1.49558127E9</v>
      </c>
      <c r="E470" s="2">
        <v>10.0</v>
      </c>
      <c r="F470" s="1">
        <v>10931.0</v>
      </c>
    </row>
    <row r="471">
      <c r="A471" s="1">
        <v>10184.0</v>
      </c>
      <c r="B471" s="1">
        <v>534.0</v>
      </c>
      <c r="C471" s="1">
        <v>1.49557942E9</v>
      </c>
      <c r="D471" s="1">
        <v>1.495583038E9</v>
      </c>
      <c r="E471" s="2">
        <v>10.0</v>
      </c>
      <c r="F471" s="1">
        <v>9838.0</v>
      </c>
    </row>
    <row r="472">
      <c r="A472" s="1">
        <v>10197.0</v>
      </c>
      <c r="B472" s="1">
        <v>534.0</v>
      </c>
      <c r="C472" s="1">
        <v>1.495579898E9</v>
      </c>
      <c r="D472" s="1">
        <v>1.495672421E9</v>
      </c>
      <c r="E472" s="2">
        <v>10.0</v>
      </c>
      <c r="F472" s="1">
        <v>8693.0</v>
      </c>
    </row>
    <row r="473">
      <c r="A473" s="1">
        <v>10204.0</v>
      </c>
      <c r="B473" s="1">
        <v>534.0</v>
      </c>
      <c r="C473" s="1">
        <v>1.495631033E9</v>
      </c>
      <c r="E473" s="7"/>
      <c r="F473" s="1">
        <v>6317.0</v>
      </c>
    </row>
    <row r="474">
      <c r="A474" s="1">
        <v>10219.0</v>
      </c>
      <c r="B474" s="1">
        <v>534.0</v>
      </c>
      <c r="C474" s="1">
        <v>1.495644508E9</v>
      </c>
      <c r="E474" s="7"/>
      <c r="F474" s="1">
        <v>1964.0</v>
      </c>
    </row>
    <row r="475">
      <c r="A475" s="1">
        <v>10200.0</v>
      </c>
      <c r="B475" s="1">
        <v>534.0</v>
      </c>
      <c r="C475" s="1">
        <v>1.495645952E9</v>
      </c>
      <c r="E475" s="7"/>
      <c r="F475" s="1">
        <v>20554.0</v>
      </c>
    </row>
    <row r="476">
      <c r="A476" s="1">
        <v>10208.0</v>
      </c>
      <c r="B476" s="1">
        <v>534.0</v>
      </c>
      <c r="C476" s="1">
        <v>1.495649875E9</v>
      </c>
      <c r="D476" s="1">
        <v>1.495654095E9</v>
      </c>
      <c r="E476" s="2">
        <v>10.0</v>
      </c>
      <c r="F476" s="1">
        <v>4218.0</v>
      </c>
    </row>
    <row r="477">
      <c r="A477" s="1">
        <v>10171.0</v>
      </c>
      <c r="B477" s="1">
        <v>534.0</v>
      </c>
      <c r="C477" s="1">
        <v>1.495670139E9</v>
      </c>
      <c r="D477" s="1">
        <v>1.495759268E9</v>
      </c>
      <c r="E477" s="2">
        <v>10.0</v>
      </c>
      <c r="F477" s="1">
        <v>9869.0</v>
      </c>
    </row>
    <row r="478">
      <c r="A478" s="1">
        <v>10231.0</v>
      </c>
      <c r="B478" s="1">
        <v>534.0</v>
      </c>
      <c r="C478" s="1">
        <v>0.0</v>
      </c>
      <c r="E478" s="7"/>
      <c r="F478" s="1">
        <v>0.0</v>
      </c>
    </row>
    <row r="479">
      <c r="A479" s="1">
        <v>10211.0</v>
      </c>
      <c r="B479" s="1">
        <v>534.0</v>
      </c>
      <c r="C479" s="1">
        <v>0.0</v>
      </c>
      <c r="E479" s="7"/>
      <c r="F479" s="1">
        <v>0.0</v>
      </c>
    </row>
    <row r="480">
      <c r="A480" s="1">
        <v>10227.0</v>
      </c>
      <c r="B480" s="1">
        <v>534.0</v>
      </c>
      <c r="C480" s="1">
        <v>0.0</v>
      </c>
      <c r="E480" s="7"/>
      <c r="F480" s="1">
        <v>0.0</v>
      </c>
    </row>
    <row r="481">
      <c r="A481" s="1">
        <v>10214.0</v>
      </c>
      <c r="B481" s="1">
        <v>534.0</v>
      </c>
      <c r="C481" s="1">
        <v>0.0</v>
      </c>
      <c r="E481" s="7"/>
      <c r="F481" s="1">
        <v>0.0</v>
      </c>
    </row>
    <row r="482">
      <c r="A482" s="1">
        <v>10187.0</v>
      </c>
      <c r="B482" s="1">
        <v>534.0</v>
      </c>
      <c r="C482" s="1">
        <v>0.0</v>
      </c>
      <c r="E482" s="7"/>
      <c r="F482" s="1">
        <v>0.0</v>
      </c>
    </row>
    <row r="483">
      <c r="A483" s="1">
        <v>10217.0</v>
      </c>
      <c r="B483" s="1">
        <v>534.0</v>
      </c>
      <c r="C483" s="1">
        <v>0.0</v>
      </c>
      <c r="E483" s="7"/>
      <c r="F483" s="1">
        <v>0.0</v>
      </c>
    </row>
    <row r="484">
      <c r="A484" s="1">
        <v>10175.0</v>
      </c>
      <c r="B484" s="1">
        <v>534.0</v>
      </c>
      <c r="C484" s="1">
        <v>0.0</v>
      </c>
      <c r="E484" s="7"/>
      <c r="F484" s="1">
        <v>0.0</v>
      </c>
    </row>
    <row r="485">
      <c r="A485" s="1">
        <v>10223.0</v>
      </c>
      <c r="B485" s="1">
        <v>534.0</v>
      </c>
      <c r="C485" s="1">
        <v>0.0</v>
      </c>
      <c r="E485" s="7"/>
      <c r="F485" s="1">
        <v>0.0</v>
      </c>
    </row>
    <row r="486">
      <c r="A486" s="1">
        <v>10191.0</v>
      </c>
      <c r="B486" s="1">
        <v>534.0</v>
      </c>
      <c r="C486" s="1">
        <v>0.0</v>
      </c>
      <c r="E486" s="7"/>
      <c r="F486" s="1">
        <v>0.0</v>
      </c>
    </row>
    <row r="487">
      <c r="A487" s="1">
        <v>10210.0</v>
      </c>
      <c r="B487" s="1">
        <v>534.0</v>
      </c>
      <c r="C487" s="1">
        <v>0.0</v>
      </c>
      <c r="E487" s="7"/>
      <c r="F487" s="1">
        <v>0.0</v>
      </c>
    </row>
    <row r="488">
      <c r="A488" s="1">
        <v>10192.0</v>
      </c>
      <c r="B488" s="1">
        <v>534.0</v>
      </c>
      <c r="C488" s="1">
        <v>0.0</v>
      </c>
      <c r="E488" s="7"/>
      <c r="F488" s="1">
        <v>0.0</v>
      </c>
    </row>
    <row r="489">
      <c r="A489" s="1">
        <v>10206.0</v>
      </c>
      <c r="B489" s="1">
        <v>534.0</v>
      </c>
      <c r="C489" s="1">
        <v>0.0</v>
      </c>
      <c r="E489" s="7"/>
      <c r="F489" s="1">
        <v>0.0</v>
      </c>
    </row>
    <row r="490">
      <c r="A490" s="1">
        <v>10172.0</v>
      </c>
      <c r="B490" s="1">
        <v>534.0</v>
      </c>
      <c r="C490" s="1">
        <v>0.0</v>
      </c>
      <c r="E490" s="7"/>
      <c r="F490" s="1">
        <v>0.0</v>
      </c>
    </row>
    <row r="491">
      <c r="A491" s="1">
        <v>10215.0</v>
      </c>
      <c r="B491" s="1">
        <v>534.0</v>
      </c>
      <c r="C491" s="1">
        <v>0.0</v>
      </c>
      <c r="E491" s="7"/>
      <c r="F491" s="1">
        <v>0.0</v>
      </c>
    </row>
    <row r="492">
      <c r="A492" s="1">
        <v>10201.0</v>
      </c>
      <c r="B492" s="1">
        <v>534.0</v>
      </c>
      <c r="C492" s="1">
        <v>0.0</v>
      </c>
      <c r="E492" s="7"/>
      <c r="F492" s="1">
        <v>0.0</v>
      </c>
    </row>
    <row r="493">
      <c r="A493" s="1">
        <v>10198.0</v>
      </c>
      <c r="B493" s="1">
        <v>534.0</v>
      </c>
      <c r="C493" s="1">
        <v>0.0</v>
      </c>
      <c r="E493" s="7"/>
      <c r="F493" s="1">
        <v>0.0</v>
      </c>
    </row>
    <row r="494">
      <c r="A494" s="1">
        <v>10220.0</v>
      </c>
      <c r="B494" s="1">
        <v>534.0</v>
      </c>
      <c r="C494" s="1">
        <v>0.0</v>
      </c>
      <c r="E494" s="7"/>
      <c r="F494" s="1">
        <v>0.0</v>
      </c>
    </row>
    <row r="495">
      <c r="A495" s="1">
        <v>10174.0</v>
      </c>
      <c r="B495" s="1">
        <v>534.0</v>
      </c>
      <c r="C495" s="1">
        <v>0.0</v>
      </c>
      <c r="E495" s="7"/>
      <c r="F495" s="1">
        <v>0.0</v>
      </c>
    </row>
    <row r="496">
      <c r="A496" s="1">
        <v>10230.0</v>
      </c>
      <c r="B496" s="1">
        <v>534.0</v>
      </c>
      <c r="C496" s="1">
        <v>0.0</v>
      </c>
      <c r="E496" s="7"/>
      <c r="F496" s="1">
        <v>0.0</v>
      </c>
    </row>
    <row r="497">
      <c r="A497" s="1">
        <v>10183.0</v>
      </c>
      <c r="B497" s="1">
        <v>534.0</v>
      </c>
      <c r="C497" s="1">
        <v>0.0</v>
      </c>
      <c r="E497" s="7"/>
      <c r="F497" s="1">
        <v>0.0</v>
      </c>
    </row>
    <row r="498">
      <c r="A498" s="1">
        <v>10181.0</v>
      </c>
      <c r="B498" s="1">
        <v>534.0</v>
      </c>
      <c r="C498" s="1">
        <v>0.0</v>
      </c>
      <c r="E498" s="7"/>
      <c r="F498" s="1">
        <v>0.0</v>
      </c>
    </row>
    <row r="499">
      <c r="A499" s="1">
        <v>10240.0</v>
      </c>
      <c r="B499" s="1">
        <v>534.0</v>
      </c>
      <c r="C499" s="1">
        <v>0.0</v>
      </c>
      <c r="E499" s="7"/>
      <c r="F499" s="1">
        <v>0.0</v>
      </c>
    </row>
    <row r="500">
      <c r="A500" s="1">
        <v>10196.0</v>
      </c>
      <c r="B500" s="1">
        <v>534.0</v>
      </c>
      <c r="C500" s="1">
        <v>0.0</v>
      </c>
      <c r="E500" s="7"/>
      <c r="F500" s="1">
        <v>0.0</v>
      </c>
    </row>
    <row r="501">
      <c r="A501" s="1">
        <v>10176.0</v>
      </c>
      <c r="B501" s="1">
        <v>534.0</v>
      </c>
      <c r="C501" s="1">
        <v>0.0</v>
      </c>
      <c r="E501" s="7"/>
      <c r="F501" s="1">
        <v>0.0</v>
      </c>
    </row>
    <row r="502">
      <c r="A502" s="1">
        <v>10189.0</v>
      </c>
      <c r="B502" s="1">
        <v>534.0</v>
      </c>
      <c r="C502" s="1">
        <v>0.0</v>
      </c>
      <c r="E502" s="7"/>
      <c r="F502" s="1">
        <v>0.0</v>
      </c>
    </row>
    <row r="503">
      <c r="A503" s="1">
        <v>10202.0</v>
      </c>
      <c r="B503" s="1">
        <v>534.0</v>
      </c>
      <c r="C503" s="1">
        <v>0.0</v>
      </c>
      <c r="E503" s="7"/>
      <c r="F503" s="1">
        <v>0.0</v>
      </c>
    </row>
    <row r="504">
      <c r="A504" s="1">
        <v>10178.0</v>
      </c>
      <c r="B504" s="1">
        <v>534.0</v>
      </c>
      <c r="C504" s="1">
        <v>0.0</v>
      </c>
      <c r="E504" s="7"/>
      <c r="F504" s="1">
        <v>0.0</v>
      </c>
    </row>
    <row r="505">
      <c r="A505" s="1">
        <v>10234.0</v>
      </c>
      <c r="B505" s="1">
        <v>534.0</v>
      </c>
      <c r="C505" s="1">
        <v>0.0</v>
      </c>
      <c r="E505" s="7"/>
      <c r="F505" s="1">
        <v>0.0</v>
      </c>
    </row>
    <row r="506">
      <c r="A506" s="1">
        <v>10190.0</v>
      </c>
      <c r="B506" s="1">
        <v>534.0</v>
      </c>
      <c r="C506" s="1">
        <v>0.0</v>
      </c>
      <c r="E506" s="7"/>
      <c r="F506" s="1">
        <v>0.0</v>
      </c>
    </row>
    <row r="507">
      <c r="A507" s="1">
        <v>10216.0</v>
      </c>
      <c r="B507" s="1">
        <v>534.0</v>
      </c>
      <c r="C507" s="1">
        <v>0.0</v>
      </c>
      <c r="E507" s="7"/>
      <c r="F507" s="1">
        <v>0.0</v>
      </c>
    </row>
    <row r="508">
      <c r="A508" s="1">
        <v>10193.0</v>
      </c>
      <c r="B508" s="1">
        <v>534.0</v>
      </c>
      <c r="C508" s="1">
        <v>0.0</v>
      </c>
      <c r="E508" s="7"/>
      <c r="F508" s="1">
        <v>0.0</v>
      </c>
    </row>
    <row r="509">
      <c r="A509" s="1">
        <v>10199.0</v>
      </c>
      <c r="B509" s="1">
        <v>534.0</v>
      </c>
      <c r="C509" s="1">
        <v>0.0</v>
      </c>
      <c r="E509" s="7"/>
      <c r="F509" s="1">
        <v>0.0</v>
      </c>
    </row>
    <row r="510">
      <c r="A510" s="1">
        <v>10186.0</v>
      </c>
      <c r="B510" s="1">
        <v>534.0</v>
      </c>
      <c r="C510" s="1">
        <v>0.0</v>
      </c>
      <c r="E510" s="7"/>
      <c r="F510" s="1">
        <v>0.0</v>
      </c>
    </row>
    <row r="511">
      <c r="A511" s="1">
        <v>10209.0</v>
      </c>
      <c r="B511" s="1">
        <v>534.0</v>
      </c>
      <c r="C511" s="1">
        <v>0.0</v>
      </c>
      <c r="E511" s="7"/>
      <c r="F511" s="1">
        <v>0.0</v>
      </c>
    </row>
    <row r="512">
      <c r="A512" s="1">
        <v>10232.0</v>
      </c>
      <c r="B512" s="1">
        <v>534.0</v>
      </c>
      <c r="C512" s="1">
        <v>0.0</v>
      </c>
      <c r="E512" s="7"/>
      <c r="F512" s="1">
        <v>0.0</v>
      </c>
    </row>
    <row r="513">
      <c r="A513" s="1">
        <v>10228.0</v>
      </c>
      <c r="B513" s="1">
        <v>534.0</v>
      </c>
      <c r="C513" s="1">
        <v>0.0</v>
      </c>
      <c r="E513" s="7"/>
      <c r="F513" s="1">
        <v>0.0</v>
      </c>
    </row>
    <row r="514">
      <c r="A514" s="1">
        <v>10169.0</v>
      </c>
      <c r="B514" s="1">
        <v>534.0</v>
      </c>
      <c r="C514" s="1">
        <v>0.0</v>
      </c>
      <c r="E514" s="7"/>
      <c r="F514" s="1">
        <v>0.0</v>
      </c>
    </row>
    <row r="515">
      <c r="A515" s="1">
        <v>10179.0</v>
      </c>
      <c r="B515" s="1">
        <v>534.0</v>
      </c>
      <c r="C515" s="1">
        <v>0.0</v>
      </c>
      <c r="E515" s="7"/>
      <c r="F515" s="1">
        <v>0.0</v>
      </c>
    </row>
    <row r="516">
      <c r="A516" s="1">
        <v>10185.0</v>
      </c>
      <c r="B516" s="1">
        <v>534.0</v>
      </c>
      <c r="C516" s="1">
        <v>0.0</v>
      </c>
      <c r="E516" s="7"/>
      <c r="F516" s="1">
        <v>0.0</v>
      </c>
    </row>
    <row r="517">
      <c r="A517" s="1">
        <v>10237.0</v>
      </c>
      <c r="B517" s="1">
        <v>534.0</v>
      </c>
      <c r="C517" s="1">
        <v>0.0</v>
      </c>
      <c r="E517" s="7"/>
      <c r="F517" s="1">
        <v>0.0</v>
      </c>
    </row>
    <row r="518">
      <c r="A518" s="1">
        <v>10170.0</v>
      </c>
      <c r="B518" s="1">
        <v>534.0</v>
      </c>
      <c r="C518" s="1">
        <v>0.0</v>
      </c>
      <c r="E518" s="7"/>
      <c r="F518" s="1">
        <v>0.0</v>
      </c>
    </row>
    <row r="519">
      <c r="A519" s="1">
        <v>10221.0</v>
      </c>
      <c r="B519" s="1">
        <v>534.0</v>
      </c>
      <c r="C519" s="1">
        <v>0.0</v>
      </c>
      <c r="E519" s="7"/>
      <c r="F519" s="1">
        <v>0.0</v>
      </c>
    </row>
    <row r="520">
      <c r="A520" s="1">
        <v>10226.0</v>
      </c>
      <c r="B520" s="1">
        <v>534.0</v>
      </c>
      <c r="C520" s="1">
        <v>0.0</v>
      </c>
      <c r="E520" s="7"/>
      <c r="F520" s="1">
        <v>0.0</v>
      </c>
    </row>
    <row r="521">
      <c r="A521" s="1">
        <v>10213.0</v>
      </c>
      <c r="B521" s="1">
        <v>534.0</v>
      </c>
      <c r="C521" s="1">
        <v>0.0</v>
      </c>
      <c r="E521" s="7"/>
      <c r="F521" s="1">
        <v>0.0</v>
      </c>
    </row>
    <row r="522">
      <c r="A522" s="1">
        <v>10231.0</v>
      </c>
      <c r="B522" s="1">
        <v>542.0</v>
      </c>
      <c r="C522" s="1">
        <v>1.497579276E9</v>
      </c>
      <c r="D522" s="1">
        <v>1.497626941E9</v>
      </c>
      <c r="E522" s="2">
        <v>10.0</v>
      </c>
      <c r="F522" s="1">
        <v>3000.0</v>
      </c>
    </row>
    <row r="523">
      <c r="A523" s="1">
        <v>10184.0</v>
      </c>
      <c r="B523" s="1">
        <v>542.0</v>
      </c>
      <c r="C523" s="1">
        <v>1.49765577E9</v>
      </c>
      <c r="D523" s="1">
        <v>1.497657376E9</v>
      </c>
      <c r="E523" s="2">
        <v>10.0</v>
      </c>
      <c r="F523" s="1">
        <v>1602.0</v>
      </c>
    </row>
    <row r="524">
      <c r="A524" s="1">
        <v>10217.0</v>
      </c>
      <c r="B524" s="1">
        <v>542.0</v>
      </c>
      <c r="C524" s="1">
        <v>1.497668059E9</v>
      </c>
      <c r="D524" s="1">
        <v>1.49766948E9</v>
      </c>
      <c r="E524" s="2">
        <v>10.0</v>
      </c>
      <c r="F524" s="1">
        <v>1418.0</v>
      </c>
    </row>
    <row r="525">
      <c r="A525" s="1">
        <v>10175.0</v>
      </c>
      <c r="B525" s="1">
        <v>542.0</v>
      </c>
      <c r="C525" s="1">
        <v>1.497729459E9</v>
      </c>
      <c r="D525" s="1">
        <v>1.497731334E9</v>
      </c>
      <c r="E525" s="2">
        <v>10.0</v>
      </c>
      <c r="F525" s="1">
        <v>1872.0</v>
      </c>
    </row>
    <row r="526">
      <c r="A526" s="1">
        <v>10208.0</v>
      </c>
      <c r="B526" s="1">
        <v>542.0</v>
      </c>
      <c r="C526" s="1">
        <v>1.497728706E9</v>
      </c>
      <c r="D526" s="1">
        <v>1.49798479E9</v>
      </c>
      <c r="E526" s="2">
        <v>10.0</v>
      </c>
      <c r="F526" s="1">
        <v>10732.0</v>
      </c>
    </row>
    <row r="527">
      <c r="A527" s="1">
        <v>10214.0</v>
      </c>
      <c r="B527" s="1">
        <v>542.0</v>
      </c>
      <c r="C527" s="1">
        <v>1.497901745E9</v>
      </c>
      <c r="D527" s="1">
        <v>1.49790487E9</v>
      </c>
      <c r="E527" s="2">
        <v>10.0</v>
      </c>
      <c r="F527" s="1">
        <v>3122.0</v>
      </c>
    </row>
    <row r="528">
      <c r="A528" s="1">
        <v>10188.0</v>
      </c>
      <c r="B528" s="1">
        <v>542.0</v>
      </c>
      <c r="C528" s="1">
        <v>1.497908595E9</v>
      </c>
      <c r="D528" s="1">
        <v>1.497911293E9</v>
      </c>
      <c r="E528" s="2">
        <v>10.0</v>
      </c>
      <c r="F528" s="1">
        <v>2416.0</v>
      </c>
    </row>
    <row r="529">
      <c r="A529" s="1">
        <v>10197.0</v>
      </c>
      <c r="B529" s="1">
        <v>542.0</v>
      </c>
      <c r="C529" s="1">
        <v>1.49799054E9</v>
      </c>
      <c r="D529" s="1">
        <v>1.497993952E9</v>
      </c>
      <c r="E529" s="2">
        <v>10.0</v>
      </c>
      <c r="F529" s="1">
        <v>3020.0</v>
      </c>
    </row>
    <row r="530">
      <c r="A530" s="1">
        <v>10171.0</v>
      </c>
      <c r="B530" s="1">
        <v>542.0</v>
      </c>
      <c r="C530" s="1">
        <v>1.498085984E9</v>
      </c>
      <c r="D530" s="1">
        <v>1.498087442E9</v>
      </c>
      <c r="E530" s="2">
        <v>10.0</v>
      </c>
      <c r="F530" s="1">
        <v>1456.0</v>
      </c>
    </row>
    <row r="531">
      <c r="A531" s="1">
        <v>10206.0</v>
      </c>
      <c r="B531" s="1">
        <v>542.0</v>
      </c>
      <c r="C531" s="1">
        <v>1.498128966E9</v>
      </c>
      <c r="D531" s="1">
        <v>1.498135719E9</v>
      </c>
      <c r="E531" s="2">
        <v>10.0</v>
      </c>
      <c r="F531" s="1">
        <v>1969.0</v>
      </c>
    </row>
    <row r="532">
      <c r="A532" s="1">
        <v>10215.0</v>
      </c>
      <c r="B532" s="1">
        <v>542.0</v>
      </c>
      <c r="C532" s="1">
        <v>1.498193227E9</v>
      </c>
      <c r="D532" s="1">
        <v>1.498193519E9</v>
      </c>
      <c r="E532" s="2">
        <v>10.0</v>
      </c>
      <c r="F532" s="1">
        <v>288.0</v>
      </c>
    </row>
    <row r="533">
      <c r="A533" s="1">
        <v>10198.0</v>
      </c>
      <c r="B533" s="1">
        <v>542.0</v>
      </c>
      <c r="C533" s="1">
        <v>1.498358079E9</v>
      </c>
      <c r="D533" s="1">
        <v>1.498362198E9</v>
      </c>
      <c r="E533" s="2">
        <v>10.0</v>
      </c>
      <c r="F533" s="1">
        <v>2420.0</v>
      </c>
    </row>
    <row r="534">
      <c r="A534" s="1">
        <v>10230.0</v>
      </c>
      <c r="B534" s="1">
        <v>542.0</v>
      </c>
      <c r="C534" s="1">
        <v>1.498447348E9</v>
      </c>
      <c r="E534" s="7"/>
      <c r="F534" s="1">
        <v>9368.0</v>
      </c>
    </row>
    <row r="535">
      <c r="A535" s="1">
        <v>10174.0</v>
      </c>
      <c r="B535" s="1">
        <v>542.0</v>
      </c>
      <c r="C535" s="1">
        <v>1.498600534E9</v>
      </c>
      <c r="D535" s="1">
        <v>1.498609867E9</v>
      </c>
      <c r="E535" s="2">
        <v>10.0</v>
      </c>
      <c r="F535" s="1">
        <v>17513.0</v>
      </c>
    </row>
    <row r="536">
      <c r="A536" s="1">
        <v>10196.0</v>
      </c>
      <c r="B536" s="1">
        <v>542.0</v>
      </c>
      <c r="C536" s="1">
        <v>0.0</v>
      </c>
      <c r="D536" s="1">
        <v>1.498931447E9</v>
      </c>
      <c r="E536" s="2">
        <v>10.0</v>
      </c>
      <c r="F536" s="1">
        <v>0.0</v>
      </c>
    </row>
    <row r="537">
      <c r="A537" s="1">
        <v>10191.0</v>
      </c>
      <c r="B537" s="1">
        <v>542.0</v>
      </c>
      <c r="C537" s="1">
        <v>1.49895387E9</v>
      </c>
      <c r="D537" s="1">
        <v>1.499387733E9</v>
      </c>
      <c r="E537" s="2">
        <v>10.0</v>
      </c>
      <c r="F537" s="1">
        <v>3026.0</v>
      </c>
    </row>
    <row r="538">
      <c r="A538" s="1">
        <v>10189.0</v>
      </c>
      <c r="B538" s="1">
        <v>542.0</v>
      </c>
      <c r="C538" s="1">
        <v>1.499027343E9</v>
      </c>
      <c r="D538" s="1">
        <v>1.499028294E9</v>
      </c>
      <c r="E538" s="2">
        <v>10.0</v>
      </c>
      <c r="F538" s="1">
        <v>948.0</v>
      </c>
    </row>
    <row r="539">
      <c r="A539" s="1">
        <v>10219.0</v>
      </c>
      <c r="B539" s="1">
        <v>542.0</v>
      </c>
      <c r="C539" s="1">
        <v>1.499182995E9</v>
      </c>
      <c r="D539" s="1">
        <v>1.499394214E9</v>
      </c>
      <c r="E539" s="2">
        <v>10.0</v>
      </c>
      <c r="F539" s="1">
        <v>1049.0</v>
      </c>
    </row>
    <row r="540">
      <c r="A540" s="1">
        <v>10192.0</v>
      </c>
      <c r="B540" s="1">
        <v>542.0</v>
      </c>
      <c r="C540" s="1">
        <v>1.499187742E9</v>
      </c>
      <c r="D540" s="1">
        <v>1.499385756E9</v>
      </c>
      <c r="E540" s="2">
        <v>10.0</v>
      </c>
      <c r="F540" s="1">
        <v>7302.0</v>
      </c>
    </row>
    <row r="541">
      <c r="A541" s="1">
        <v>10201.0</v>
      </c>
      <c r="B541" s="1">
        <v>542.0</v>
      </c>
      <c r="C541" s="1">
        <v>1.499266696E9</v>
      </c>
      <c r="D541" s="1">
        <v>1.499383185E9</v>
      </c>
      <c r="E541" s="2">
        <v>10.0</v>
      </c>
      <c r="F541" s="1">
        <v>2117.0</v>
      </c>
    </row>
    <row r="542">
      <c r="A542" s="1">
        <v>10234.0</v>
      </c>
      <c r="B542" s="1">
        <v>542.0</v>
      </c>
      <c r="C542" s="1">
        <v>1.499305258E9</v>
      </c>
      <c r="D542" s="1">
        <v>1.499386565E9</v>
      </c>
      <c r="E542" s="2">
        <v>10.0</v>
      </c>
      <c r="F542" s="1">
        <v>1433.0</v>
      </c>
    </row>
    <row r="543">
      <c r="A543" s="1">
        <v>10178.0</v>
      </c>
      <c r="B543" s="1">
        <v>542.0</v>
      </c>
      <c r="C543" s="1">
        <v>1.499306185E9</v>
      </c>
      <c r="E543" s="7"/>
      <c r="F543" s="1">
        <v>1424.0</v>
      </c>
    </row>
    <row r="544">
      <c r="A544" s="1">
        <v>10176.0</v>
      </c>
      <c r="B544" s="1">
        <v>542.0</v>
      </c>
      <c r="C544" s="1">
        <v>1.499314559E9</v>
      </c>
      <c r="D544" s="1">
        <v>1.499453505E9</v>
      </c>
      <c r="E544" s="2">
        <v>10.0</v>
      </c>
      <c r="F544" s="1">
        <v>667.0</v>
      </c>
    </row>
    <row r="545">
      <c r="A545" s="1">
        <v>10190.0</v>
      </c>
      <c r="B545" s="1">
        <v>542.0</v>
      </c>
      <c r="C545" s="1">
        <v>1.499373305E9</v>
      </c>
      <c r="D545" s="1">
        <v>1.499482429E9</v>
      </c>
      <c r="E545" s="2">
        <v>10.0</v>
      </c>
      <c r="F545" s="1">
        <v>1454.0</v>
      </c>
    </row>
    <row r="546">
      <c r="A546" s="1">
        <v>10210.0</v>
      </c>
      <c r="B546" s="1">
        <v>542.0</v>
      </c>
      <c r="C546" s="1">
        <v>1.499376991E9</v>
      </c>
      <c r="D546" s="1">
        <v>1.499378011E9</v>
      </c>
      <c r="E546" s="2">
        <v>10.0</v>
      </c>
      <c r="F546" s="1">
        <v>1018.0</v>
      </c>
    </row>
    <row r="547">
      <c r="A547" s="1">
        <v>10199.0</v>
      </c>
      <c r="B547" s="1">
        <v>542.0</v>
      </c>
      <c r="C547" s="1">
        <v>1.49938632E9</v>
      </c>
      <c r="D547" s="1">
        <v>1.499386762E9</v>
      </c>
      <c r="E547" s="2">
        <v>10.0</v>
      </c>
      <c r="F547" s="1">
        <v>440.0</v>
      </c>
    </row>
    <row r="548">
      <c r="A548" s="1">
        <v>10209.0</v>
      </c>
      <c r="B548" s="1">
        <v>542.0</v>
      </c>
      <c r="C548" s="1">
        <v>1.499389334E9</v>
      </c>
      <c r="D548" s="1">
        <v>1.499393733E9</v>
      </c>
      <c r="E548" s="2">
        <v>10.0</v>
      </c>
      <c r="F548" s="1">
        <v>2865.0</v>
      </c>
    </row>
    <row r="549">
      <c r="A549" s="1">
        <v>10186.0</v>
      </c>
      <c r="B549" s="1">
        <v>542.0</v>
      </c>
      <c r="C549" s="1">
        <v>1.499390861E9</v>
      </c>
      <c r="D549" s="1">
        <v>1.499391202E9</v>
      </c>
      <c r="E549" s="2">
        <v>10.0</v>
      </c>
      <c r="F549" s="1">
        <v>339.0</v>
      </c>
    </row>
    <row r="550">
      <c r="A550" s="1">
        <v>10193.0</v>
      </c>
      <c r="B550" s="1">
        <v>542.0</v>
      </c>
      <c r="C550" s="1">
        <v>1.499397098E9</v>
      </c>
      <c r="D550" s="1">
        <v>1.499398288E9</v>
      </c>
      <c r="E550" s="2">
        <v>10.0</v>
      </c>
      <c r="F550" s="1">
        <v>1182.0</v>
      </c>
    </row>
    <row r="551">
      <c r="A551" s="1">
        <v>10169.0</v>
      </c>
      <c r="B551" s="1">
        <v>542.0</v>
      </c>
      <c r="C551" s="1">
        <v>1.49940116E9</v>
      </c>
      <c r="D551" s="1">
        <v>1.499401878E9</v>
      </c>
      <c r="E551" s="2">
        <v>10.0</v>
      </c>
      <c r="F551" s="1">
        <v>714.0</v>
      </c>
    </row>
    <row r="552">
      <c r="A552" s="1">
        <v>10179.0</v>
      </c>
      <c r="B552" s="1">
        <v>542.0</v>
      </c>
      <c r="C552" s="1">
        <v>1.499402582E9</v>
      </c>
      <c r="D552" s="1">
        <v>1.49941578E9</v>
      </c>
      <c r="E552" s="2">
        <v>10.0</v>
      </c>
      <c r="F552" s="1">
        <v>1572.0</v>
      </c>
    </row>
    <row r="553">
      <c r="A553" s="1">
        <v>10228.0</v>
      </c>
      <c r="B553" s="1">
        <v>542.0</v>
      </c>
      <c r="C553" s="1">
        <v>1.499402767E9</v>
      </c>
      <c r="D553" s="1">
        <v>1.499403767E9</v>
      </c>
      <c r="E553" s="2">
        <v>10.0</v>
      </c>
      <c r="F553" s="1">
        <v>996.0</v>
      </c>
    </row>
    <row r="554">
      <c r="A554" s="1">
        <v>10237.0</v>
      </c>
      <c r="B554" s="1">
        <v>542.0</v>
      </c>
      <c r="C554" s="1">
        <v>1.499413324E9</v>
      </c>
      <c r="D554" s="1">
        <v>1.499414197E9</v>
      </c>
      <c r="E554" s="2">
        <v>10.0</v>
      </c>
      <c r="F554" s="1">
        <v>871.0</v>
      </c>
    </row>
    <row r="555">
      <c r="A555" s="1">
        <v>10185.0</v>
      </c>
      <c r="B555" s="1">
        <v>542.0</v>
      </c>
      <c r="C555" s="1">
        <v>1.49941522E9</v>
      </c>
      <c r="D555" s="1">
        <v>1.499415431E9</v>
      </c>
      <c r="E555" s="2">
        <v>10.0</v>
      </c>
      <c r="F555" s="1">
        <v>207.0</v>
      </c>
    </row>
    <row r="556">
      <c r="A556" s="1">
        <v>10213.0</v>
      </c>
      <c r="B556" s="1">
        <v>542.0</v>
      </c>
      <c r="C556" s="1">
        <v>1.499438872E9</v>
      </c>
      <c r="D556" s="1">
        <v>1.499452094E9</v>
      </c>
      <c r="E556" s="2">
        <v>10.0</v>
      </c>
      <c r="F556" s="1">
        <v>538.0</v>
      </c>
    </row>
    <row r="557">
      <c r="A557" s="1">
        <v>10240.0</v>
      </c>
      <c r="B557" s="1">
        <v>542.0</v>
      </c>
      <c r="C557" s="1">
        <v>1.499443878E9</v>
      </c>
      <c r="D557" s="1">
        <v>1.49944417E9</v>
      </c>
      <c r="E557" s="2">
        <v>10.0</v>
      </c>
      <c r="F557" s="1">
        <v>291.0</v>
      </c>
    </row>
    <row r="558">
      <c r="A558" s="1">
        <v>10170.0</v>
      </c>
      <c r="B558" s="1">
        <v>542.0</v>
      </c>
      <c r="C558" s="1">
        <v>1.499448179E9</v>
      </c>
      <c r="D558" s="1">
        <v>1.499457966E9</v>
      </c>
      <c r="E558" s="2">
        <v>10.0</v>
      </c>
      <c r="F558" s="1">
        <v>1247.0</v>
      </c>
    </row>
    <row r="559">
      <c r="A559" s="1">
        <v>10181.0</v>
      </c>
      <c r="B559" s="1">
        <v>542.0</v>
      </c>
      <c r="C559" s="1">
        <v>1.499453118E9</v>
      </c>
      <c r="D559" s="1">
        <v>1.499453647E9</v>
      </c>
      <c r="E559" s="2">
        <v>10.0</v>
      </c>
      <c r="F559" s="1">
        <v>526.0</v>
      </c>
    </row>
    <row r="560">
      <c r="A560" s="1">
        <v>10232.0</v>
      </c>
      <c r="B560" s="1">
        <v>542.0</v>
      </c>
      <c r="C560" s="1">
        <v>1.499457375E9</v>
      </c>
      <c r="D560" s="1">
        <v>1.499457886E9</v>
      </c>
      <c r="E560" s="2">
        <v>10.0</v>
      </c>
      <c r="F560" s="1">
        <v>508.0</v>
      </c>
    </row>
    <row r="561">
      <c r="A561" s="1">
        <v>10221.0</v>
      </c>
      <c r="B561" s="1">
        <v>542.0</v>
      </c>
      <c r="C561" s="1">
        <v>1.499463897E9</v>
      </c>
      <c r="D561" s="1">
        <v>1.499464614E9</v>
      </c>
      <c r="E561" s="2">
        <v>10.0</v>
      </c>
      <c r="F561" s="1">
        <v>716.0</v>
      </c>
    </row>
    <row r="562">
      <c r="A562" s="1">
        <v>10204.0</v>
      </c>
      <c r="B562" s="1">
        <v>542.0</v>
      </c>
      <c r="C562" s="1">
        <v>1.49947666E9</v>
      </c>
      <c r="D562" s="1">
        <v>1.499477881E9</v>
      </c>
      <c r="E562" s="2">
        <v>10.0</v>
      </c>
      <c r="F562" s="1">
        <v>1209.0</v>
      </c>
    </row>
    <row r="563">
      <c r="A563" s="1">
        <v>10226.0</v>
      </c>
      <c r="B563" s="1">
        <v>542.0</v>
      </c>
      <c r="C563" s="1">
        <v>1.499482167E9</v>
      </c>
      <c r="D563" s="1">
        <v>1.499482718E9</v>
      </c>
      <c r="E563" s="2">
        <v>10.0</v>
      </c>
      <c r="F563" s="1">
        <v>549.0</v>
      </c>
    </row>
    <row r="564">
      <c r="A564" s="1">
        <v>10172.0</v>
      </c>
      <c r="B564" s="1">
        <v>542.0</v>
      </c>
      <c r="C564" s="1">
        <v>1.499476055E9</v>
      </c>
      <c r="D564" s="1">
        <v>1.499483383E9</v>
      </c>
      <c r="E564" s="2">
        <v>10.0</v>
      </c>
      <c r="F564" s="1">
        <v>1586.0</v>
      </c>
    </row>
    <row r="565">
      <c r="A565" s="1">
        <v>10218.0</v>
      </c>
      <c r="B565" s="1">
        <v>542.0</v>
      </c>
      <c r="C565" s="1">
        <v>0.0</v>
      </c>
      <c r="D565" s="1">
        <v>1.499563913E9</v>
      </c>
      <c r="E565" s="2">
        <v>10.0</v>
      </c>
      <c r="F565" s="1">
        <v>0.0</v>
      </c>
    </row>
    <row r="566">
      <c r="A566">
        <v>2.0</v>
      </c>
      <c r="B566">
        <v>544.0</v>
      </c>
      <c r="C566">
        <v>0.0</v>
      </c>
      <c r="D566">
        <v>1.497509091E9</v>
      </c>
      <c r="E566" s="7">
        <v>10.0</v>
      </c>
      <c r="F566">
        <v>0.0</v>
      </c>
    </row>
    <row r="567">
      <c r="A567">
        <v>10231.0</v>
      </c>
      <c r="B567">
        <v>544.0</v>
      </c>
      <c r="C567">
        <v>1.497627488E9</v>
      </c>
      <c r="D567">
        <v>1.497633382E9</v>
      </c>
      <c r="E567" s="7">
        <v>10.0</v>
      </c>
      <c r="F567">
        <v>5638.0</v>
      </c>
    </row>
    <row r="568">
      <c r="A568">
        <v>10184.0</v>
      </c>
      <c r="B568">
        <v>544.0</v>
      </c>
      <c r="C568">
        <v>1.497672202E9</v>
      </c>
      <c r="D568">
        <v>1.497675606E9</v>
      </c>
      <c r="E568" s="7">
        <v>10.0</v>
      </c>
      <c r="F568">
        <v>3400.0</v>
      </c>
    </row>
    <row r="569">
      <c r="A569">
        <v>10217.0</v>
      </c>
      <c r="B569">
        <v>544.0</v>
      </c>
      <c r="C569">
        <v>1.49767001E9</v>
      </c>
      <c r="D569">
        <v>1.497673013E9</v>
      </c>
      <c r="E569" s="7">
        <v>10.0</v>
      </c>
      <c r="F569">
        <v>999.0</v>
      </c>
    </row>
    <row r="570">
      <c r="A570">
        <v>10188.0</v>
      </c>
      <c r="B570">
        <v>544.0</v>
      </c>
      <c r="C570">
        <v>1.497914959E9</v>
      </c>
      <c r="D570">
        <v>1.498164251E9</v>
      </c>
      <c r="E570" s="7">
        <v>10.0</v>
      </c>
      <c r="F570">
        <v>29950.0</v>
      </c>
    </row>
    <row r="571">
      <c r="A571">
        <v>10208.0</v>
      </c>
      <c r="B571">
        <v>544.0</v>
      </c>
      <c r="C571">
        <v>1.497986819E9</v>
      </c>
      <c r="D571">
        <v>1.498063438E9</v>
      </c>
      <c r="E571" s="7">
        <v>10.0</v>
      </c>
      <c r="F571">
        <v>8676.0</v>
      </c>
    </row>
    <row r="572">
      <c r="A572">
        <v>10198.0</v>
      </c>
      <c r="B572">
        <v>544.0</v>
      </c>
      <c r="C572">
        <v>1.498074935E9</v>
      </c>
      <c r="D572">
        <v>1.498079414E9</v>
      </c>
      <c r="E572" s="7">
        <v>10.0</v>
      </c>
      <c r="F572">
        <v>2795.0</v>
      </c>
    </row>
    <row r="573">
      <c r="A573">
        <v>10175.0</v>
      </c>
      <c r="B573">
        <v>544.0</v>
      </c>
      <c r="C573">
        <v>1.497731423E9</v>
      </c>
      <c r="D573">
        <v>1.498079543E9</v>
      </c>
      <c r="E573" s="7">
        <v>10.0</v>
      </c>
      <c r="F573">
        <v>2980.0</v>
      </c>
    </row>
    <row r="574">
      <c r="A574">
        <v>10171.0</v>
      </c>
      <c r="B574">
        <v>544.0</v>
      </c>
      <c r="C574">
        <v>1.498088009E9</v>
      </c>
      <c r="D574">
        <v>1.49809362E9</v>
      </c>
      <c r="E574" s="7">
        <v>10.0</v>
      </c>
      <c r="F574">
        <v>5514.0</v>
      </c>
    </row>
    <row r="575">
      <c r="A575">
        <v>10206.0</v>
      </c>
      <c r="B575">
        <v>544.0</v>
      </c>
      <c r="C575">
        <v>1.498092283E9</v>
      </c>
      <c r="D575">
        <v>1.499446978E9</v>
      </c>
      <c r="E575" s="7">
        <v>10.0</v>
      </c>
      <c r="F575">
        <v>3314.0</v>
      </c>
    </row>
    <row r="576">
      <c r="A576">
        <v>10201.0</v>
      </c>
      <c r="B576">
        <v>544.0</v>
      </c>
      <c r="C576">
        <v>1.499271074E9</v>
      </c>
      <c r="D576">
        <v>1.499385525E9</v>
      </c>
      <c r="E576" s="7">
        <v>10.0</v>
      </c>
      <c r="F576">
        <v>3182.0</v>
      </c>
    </row>
    <row r="577">
      <c r="A577">
        <v>10209.0</v>
      </c>
      <c r="B577">
        <v>544.0</v>
      </c>
      <c r="C577">
        <v>1.499394168E9</v>
      </c>
      <c r="D577">
        <v>1.499403019E9</v>
      </c>
      <c r="E577" s="7">
        <v>10.0</v>
      </c>
      <c r="F577">
        <v>7333.0</v>
      </c>
    </row>
    <row r="578">
      <c r="A578">
        <v>10169.0</v>
      </c>
      <c r="B578">
        <v>544.0</v>
      </c>
      <c r="C578">
        <v>1.499401931E9</v>
      </c>
      <c r="D578">
        <v>1.499459718E9</v>
      </c>
      <c r="E578" s="7">
        <v>10.0</v>
      </c>
      <c r="F578">
        <v>1492.0</v>
      </c>
    </row>
    <row r="579">
      <c r="A579">
        <v>10193.0</v>
      </c>
      <c r="B579">
        <v>544.0</v>
      </c>
      <c r="C579">
        <v>1.499404115E9</v>
      </c>
      <c r="D579">
        <v>1.499405822E9</v>
      </c>
      <c r="E579" s="7">
        <v>10.0</v>
      </c>
      <c r="F579">
        <v>4282.0</v>
      </c>
    </row>
    <row r="580">
      <c r="A580">
        <v>10174.0</v>
      </c>
      <c r="B580">
        <v>544.0</v>
      </c>
      <c r="C580">
        <v>1.499439477E9</v>
      </c>
      <c r="E580" s="7"/>
      <c r="F580">
        <v>1358.0</v>
      </c>
    </row>
    <row r="581">
      <c r="A581">
        <v>10210.0</v>
      </c>
      <c r="B581">
        <v>544.0</v>
      </c>
      <c r="C581">
        <v>1.499440927E9</v>
      </c>
      <c r="D581">
        <v>1.499441517E9</v>
      </c>
      <c r="E581" s="7">
        <v>10.0</v>
      </c>
      <c r="F581">
        <v>588.0</v>
      </c>
    </row>
    <row r="582">
      <c r="A582">
        <v>10176.0</v>
      </c>
      <c r="B582">
        <v>544.0</v>
      </c>
      <c r="C582">
        <v>1.499451831E9</v>
      </c>
      <c r="D582">
        <v>1.499453121E9</v>
      </c>
      <c r="E582" s="7">
        <v>10.0</v>
      </c>
      <c r="F582">
        <v>1286.0</v>
      </c>
    </row>
    <row r="583">
      <c r="A583">
        <v>10215.0</v>
      </c>
      <c r="B583">
        <v>544.0</v>
      </c>
      <c r="C583">
        <v>1.499454603E9</v>
      </c>
      <c r="D583">
        <v>1.499455103E9</v>
      </c>
      <c r="E583" s="7">
        <v>10.0</v>
      </c>
      <c r="F583">
        <v>497.0</v>
      </c>
    </row>
    <row r="584">
      <c r="A584">
        <v>10170.0</v>
      </c>
      <c r="B584">
        <v>544.0</v>
      </c>
      <c r="C584">
        <v>1.499456003E9</v>
      </c>
      <c r="D584">
        <v>1.499457012E9</v>
      </c>
      <c r="E584" s="7">
        <v>10.0</v>
      </c>
      <c r="F584">
        <v>1006.0</v>
      </c>
    </row>
    <row r="585">
      <c r="A585">
        <v>10232.0</v>
      </c>
      <c r="B585">
        <v>544.0</v>
      </c>
      <c r="C585">
        <v>1.499457976E9</v>
      </c>
      <c r="D585">
        <v>1.499459545E9</v>
      </c>
      <c r="E585" s="7">
        <v>10.0</v>
      </c>
      <c r="F585">
        <v>1566.0</v>
      </c>
    </row>
    <row r="586">
      <c r="A586">
        <v>10186.0</v>
      </c>
      <c r="B586">
        <v>544.0</v>
      </c>
      <c r="C586">
        <v>1.499458121E9</v>
      </c>
      <c r="D586">
        <v>1.4994589E9</v>
      </c>
      <c r="E586" s="7">
        <v>10.0</v>
      </c>
      <c r="F586">
        <v>776.0</v>
      </c>
    </row>
    <row r="587">
      <c r="A587">
        <v>10234.0</v>
      </c>
      <c r="B587">
        <v>544.0</v>
      </c>
      <c r="C587">
        <v>1.499458895E9</v>
      </c>
      <c r="D587">
        <v>1.499471576E9</v>
      </c>
      <c r="E587" s="7">
        <v>10.0</v>
      </c>
      <c r="F587">
        <v>2743.0</v>
      </c>
    </row>
    <row r="588">
      <c r="A588">
        <v>10181.0</v>
      </c>
      <c r="B588">
        <v>544.0</v>
      </c>
      <c r="C588">
        <v>1.499459504E9</v>
      </c>
      <c r="D588">
        <v>1.499480611E9</v>
      </c>
      <c r="E588" s="7">
        <v>10.0</v>
      </c>
      <c r="F588">
        <v>4172.0</v>
      </c>
    </row>
    <row r="589">
      <c r="A589">
        <v>10191.0</v>
      </c>
      <c r="B589">
        <v>544.0</v>
      </c>
      <c r="C589">
        <v>1.499457999E9</v>
      </c>
      <c r="D589">
        <v>1.499461108E9</v>
      </c>
      <c r="E589" s="7">
        <v>10.0</v>
      </c>
      <c r="F589">
        <v>853.0</v>
      </c>
    </row>
    <row r="590">
      <c r="A590">
        <v>10213.0</v>
      </c>
      <c r="B590">
        <v>544.0</v>
      </c>
      <c r="C590">
        <v>1.499438722E9</v>
      </c>
      <c r="D590">
        <v>1.499461587E9</v>
      </c>
      <c r="E590" s="7">
        <v>10.0</v>
      </c>
      <c r="F590">
        <v>1202.0</v>
      </c>
    </row>
    <row r="591">
      <c r="A591">
        <v>10227.0</v>
      </c>
      <c r="B591">
        <v>544.0</v>
      </c>
      <c r="C591">
        <v>1.499296071E9</v>
      </c>
      <c r="E591" s="7"/>
      <c r="F591">
        <v>6271.0</v>
      </c>
    </row>
    <row r="592">
      <c r="A592">
        <v>10221.0</v>
      </c>
      <c r="B592">
        <v>544.0</v>
      </c>
      <c r="C592">
        <v>1.499464652E9</v>
      </c>
      <c r="D592">
        <v>1.499465484E9</v>
      </c>
      <c r="E592" s="7">
        <v>10.0</v>
      </c>
      <c r="F592">
        <v>831.0</v>
      </c>
    </row>
    <row r="593">
      <c r="A593">
        <v>10178.0</v>
      </c>
      <c r="B593">
        <v>544.0</v>
      </c>
      <c r="C593">
        <v>1.499471692E9</v>
      </c>
      <c r="D593">
        <v>1.499472934E9</v>
      </c>
      <c r="E593" s="7">
        <v>10.0</v>
      </c>
      <c r="F593">
        <v>1213.0</v>
      </c>
    </row>
    <row r="594">
      <c r="A594">
        <v>10196.0</v>
      </c>
      <c r="B594">
        <v>544.0</v>
      </c>
      <c r="C594">
        <v>1.499472635E9</v>
      </c>
      <c r="D594">
        <v>1.499473775E9</v>
      </c>
      <c r="E594" s="7">
        <v>10.0</v>
      </c>
      <c r="F594">
        <v>1137.0</v>
      </c>
    </row>
    <row r="595">
      <c r="A595">
        <v>10172.0</v>
      </c>
      <c r="B595">
        <v>544.0</v>
      </c>
      <c r="C595">
        <v>1.499477045E9</v>
      </c>
      <c r="D595">
        <v>1.499481738E9</v>
      </c>
      <c r="E595" s="7">
        <v>10.0</v>
      </c>
      <c r="F595">
        <v>1483.0</v>
      </c>
    </row>
    <row r="596">
      <c r="A596">
        <v>10204.0</v>
      </c>
      <c r="B596">
        <v>544.0</v>
      </c>
      <c r="C596">
        <v>1.499477961E9</v>
      </c>
      <c r="D596">
        <v>1.499480481E9</v>
      </c>
      <c r="E596" s="7">
        <v>10.0</v>
      </c>
      <c r="F596">
        <v>2517.0</v>
      </c>
    </row>
    <row r="597">
      <c r="A597">
        <v>10190.0</v>
      </c>
      <c r="B597">
        <v>544.0</v>
      </c>
      <c r="C597">
        <v>1.499475384E9</v>
      </c>
      <c r="E597" s="7"/>
      <c r="F597">
        <v>5676.0</v>
      </c>
    </row>
    <row r="598">
      <c r="A598">
        <v>10218.0</v>
      </c>
      <c r="B598">
        <v>544.0</v>
      </c>
      <c r="C598">
        <v>1.49946353E9</v>
      </c>
      <c r="D598">
        <v>1.499563372E9</v>
      </c>
      <c r="E598" s="7">
        <v>10.0</v>
      </c>
      <c r="F598">
        <v>7.0</v>
      </c>
    </row>
    <row r="599">
      <c r="A599" s="1">
        <v>2.0</v>
      </c>
      <c r="B599" s="1">
        <v>545.0</v>
      </c>
      <c r="C599" s="1">
        <v>0.0</v>
      </c>
      <c r="D599" s="1">
        <v>1.497552092E9</v>
      </c>
      <c r="E599" s="1">
        <v>10.0</v>
      </c>
      <c r="F599" s="1">
        <v>0.0</v>
      </c>
    </row>
    <row r="600">
      <c r="A600" s="1">
        <v>10231.0</v>
      </c>
      <c r="B600" s="1">
        <v>545.0</v>
      </c>
      <c r="C600" s="1">
        <v>1.497635431E9</v>
      </c>
      <c r="F600" s="1">
        <v>29022.0</v>
      </c>
    </row>
    <row r="601">
      <c r="A601" s="1">
        <v>10217.0</v>
      </c>
      <c r="B601" s="1">
        <v>545.0</v>
      </c>
      <c r="C601" s="1">
        <v>1.497673296E9</v>
      </c>
      <c r="D601" s="1">
        <v>1.497677912E9</v>
      </c>
      <c r="E601" s="1">
        <v>10.0</v>
      </c>
      <c r="F601" s="1">
        <v>4327.0</v>
      </c>
    </row>
    <row r="602">
      <c r="A602" s="1">
        <v>10184.0</v>
      </c>
      <c r="B602" s="1">
        <v>545.0</v>
      </c>
      <c r="C602" s="1">
        <v>1.49767642E9</v>
      </c>
      <c r="D602" s="1">
        <v>1.49773531E9</v>
      </c>
      <c r="E602" s="1">
        <v>10.0</v>
      </c>
      <c r="F602" s="1">
        <v>10830.0</v>
      </c>
    </row>
    <row r="603">
      <c r="A603" s="1">
        <v>10215.0</v>
      </c>
      <c r="B603" s="1">
        <v>545.0</v>
      </c>
      <c r="C603" s="1">
        <v>1.497997065E9</v>
      </c>
      <c r="D603" s="1">
        <v>1.497997452E9</v>
      </c>
      <c r="E603" s="1">
        <v>10.0</v>
      </c>
      <c r="F603" s="1">
        <v>383.0</v>
      </c>
    </row>
    <row r="604">
      <c r="A604" s="1">
        <v>10208.0</v>
      </c>
      <c r="B604" s="1">
        <v>545.0</v>
      </c>
      <c r="C604" s="1">
        <v>1.498081788E9</v>
      </c>
      <c r="D604" s="1">
        <v>1.498087907E9</v>
      </c>
      <c r="E604" s="1">
        <v>10.0</v>
      </c>
      <c r="F604" s="1">
        <v>6115.0</v>
      </c>
    </row>
    <row r="605">
      <c r="A605" s="1">
        <v>10171.0</v>
      </c>
      <c r="B605" s="1">
        <v>545.0</v>
      </c>
      <c r="C605" s="1">
        <v>1.498094174E9</v>
      </c>
      <c r="D605" s="1">
        <v>1.498105776E9</v>
      </c>
      <c r="E605" s="1">
        <v>10.0</v>
      </c>
      <c r="F605" s="1">
        <v>9967.0</v>
      </c>
    </row>
    <row r="606">
      <c r="A606" s="1">
        <v>10203.0</v>
      </c>
      <c r="B606" s="1">
        <v>545.0</v>
      </c>
      <c r="C606" s="1">
        <v>1.499100092E9</v>
      </c>
      <c r="F606" s="1">
        <v>3551.0</v>
      </c>
    </row>
    <row r="607">
      <c r="A607" s="1">
        <v>10227.0</v>
      </c>
      <c r="B607" s="1">
        <v>545.0</v>
      </c>
      <c r="C607" s="1">
        <v>1.499288842E9</v>
      </c>
      <c r="D607" s="1">
        <v>1.499464835E9</v>
      </c>
      <c r="E607" s="1">
        <v>10.0</v>
      </c>
      <c r="F607" s="1">
        <v>15965.0</v>
      </c>
    </row>
    <row r="608">
      <c r="A608" s="1">
        <v>10201.0</v>
      </c>
      <c r="B608" s="1">
        <v>545.0</v>
      </c>
      <c r="C608" s="1">
        <v>1.499362793E9</v>
      </c>
      <c r="F608" s="1">
        <v>5374.0</v>
      </c>
    </row>
    <row r="609">
      <c r="A609" s="1">
        <v>10188.0</v>
      </c>
      <c r="B609" s="1">
        <v>545.0</v>
      </c>
      <c r="C609" s="1">
        <v>1.499373227E9</v>
      </c>
      <c r="D609" s="1">
        <v>1.499397019E9</v>
      </c>
      <c r="E609" s="1">
        <v>10.0</v>
      </c>
      <c r="F609" s="1">
        <v>23790.0</v>
      </c>
    </row>
    <row r="610">
      <c r="A610" s="1">
        <v>10175.0</v>
      </c>
      <c r="B610" s="1">
        <v>545.0</v>
      </c>
      <c r="C610" s="1">
        <v>1.49801544E9</v>
      </c>
      <c r="D610" s="1">
        <v>1.499390736E9</v>
      </c>
      <c r="E610" s="1">
        <v>10.0</v>
      </c>
      <c r="F610" s="1">
        <v>2226.0</v>
      </c>
    </row>
    <row r="611">
      <c r="A611" s="1">
        <v>10193.0</v>
      </c>
      <c r="B611" s="1">
        <v>545.0</v>
      </c>
      <c r="C611" s="1">
        <v>1.499392111E9</v>
      </c>
      <c r="F611" s="1">
        <v>10110.0</v>
      </c>
    </row>
    <row r="612">
      <c r="A612" s="1">
        <v>10209.0</v>
      </c>
      <c r="B612" s="1">
        <v>545.0</v>
      </c>
      <c r="C612" s="1">
        <v>1.499403255E9</v>
      </c>
      <c r="F612" s="1">
        <v>2453.0</v>
      </c>
    </row>
    <row r="613">
      <c r="A613" s="1">
        <v>10169.0</v>
      </c>
      <c r="B613" s="1">
        <v>545.0</v>
      </c>
      <c r="C613" s="1">
        <v>1.499403242E9</v>
      </c>
      <c r="D613" s="1">
        <v>1.499403709E9</v>
      </c>
      <c r="E613" s="1">
        <v>10.0</v>
      </c>
      <c r="F613" s="1">
        <v>465.0</v>
      </c>
    </row>
    <row r="614">
      <c r="A614" s="1">
        <v>10213.0</v>
      </c>
      <c r="B614" s="1">
        <v>545.0</v>
      </c>
      <c r="C614" s="1">
        <v>1.499392169E9</v>
      </c>
      <c r="D614" s="1">
        <v>1.499438639E9</v>
      </c>
      <c r="E614" s="1">
        <v>10.0</v>
      </c>
      <c r="F614" s="1">
        <v>844.0</v>
      </c>
    </row>
    <row r="615">
      <c r="A615" s="1">
        <v>10206.0</v>
      </c>
      <c r="B615" s="1">
        <v>545.0</v>
      </c>
      <c r="C615" s="1">
        <v>1.499300529E9</v>
      </c>
      <c r="D615" s="1">
        <v>1.499456329E9</v>
      </c>
      <c r="E615" s="1">
        <v>10.0</v>
      </c>
      <c r="F615" s="1">
        <v>2064.0</v>
      </c>
    </row>
    <row r="616">
      <c r="A616" s="1">
        <v>10176.0</v>
      </c>
      <c r="B616" s="1">
        <v>545.0</v>
      </c>
      <c r="C616" s="1">
        <v>1.499451338E9</v>
      </c>
      <c r="D616" s="1">
        <v>1.499451754E9</v>
      </c>
      <c r="E616" s="1">
        <v>10.0</v>
      </c>
      <c r="F616" s="1">
        <v>414.0</v>
      </c>
    </row>
    <row r="617">
      <c r="A617" s="1">
        <v>10191.0</v>
      </c>
      <c r="B617" s="1">
        <v>545.0</v>
      </c>
      <c r="C617" s="1">
        <v>1.499458076E9</v>
      </c>
      <c r="D617" s="1">
        <v>1.499458632E9</v>
      </c>
      <c r="E617" s="1">
        <v>10.0</v>
      </c>
      <c r="F617" s="1">
        <v>553.0</v>
      </c>
    </row>
    <row r="618">
      <c r="A618" s="1">
        <v>10186.0</v>
      </c>
      <c r="B618" s="1">
        <v>545.0</v>
      </c>
      <c r="C618" s="1">
        <v>1.499459069E9</v>
      </c>
      <c r="D618" s="1">
        <v>1.499459509E9</v>
      </c>
      <c r="E618" s="1">
        <v>10.0</v>
      </c>
      <c r="F618" s="1">
        <v>438.0</v>
      </c>
    </row>
    <row r="619">
      <c r="A619" s="1">
        <v>10170.0</v>
      </c>
      <c r="B619" s="1">
        <v>545.0</v>
      </c>
      <c r="C619" s="1">
        <v>1.499450338E9</v>
      </c>
      <c r="D619" s="1">
        <v>1.499459791E9</v>
      </c>
      <c r="E619" s="1">
        <v>10.0</v>
      </c>
      <c r="F619" s="1">
        <v>-5189.0</v>
      </c>
    </row>
    <row r="620">
      <c r="A620" s="1">
        <v>10232.0</v>
      </c>
      <c r="B620" s="1">
        <v>545.0</v>
      </c>
      <c r="C620" s="1">
        <v>1.4994596E9</v>
      </c>
      <c r="D620" s="1">
        <v>1.499460487E9</v>
      </c>
      <c r="E620" s="1">
        <v>10.0</v>
      </c>
      <c r="F620" s="1">
        <v>885.0</v>
      </c>
    </row>
    <row r="621">
      <c r="A621" s="1">
        <v>10234.0</v>
      </c>
      <c r="B621" s="1">
        <v>545.0</v>
      </c>
      <c r="C621" s="1">
        <v>1.49946011E9</v>
      </c>
      <c r="D621" s="1">
        <v>1.499460643E9</v>
      </c>
      <c r="E621" s="1">
        <v>10.0</v>
      </c>
      <c r="F621" s="1">
        <v>531.0</v>
      </c>
    </row>
    <row r="622">
      <c r="A622" s="1">
        <v>10221.0</v>
      </c>
      <c r="B622" s="1">
        <v>545.0</v>
      </c>
      <c r="C622" s="1">
        <v>1.499458633E9</v>
      </c>
      <c r="F622" s="1">
        <v>3112.0</v>
      </c>
    </row>
    <row r="623">
      <c r="A623" s="1">
        <v>10178.0</v>
      </c>
      <c r="B623" s="1">
        <v>545.0</v>
      </c>
      <c r="C623" s="1">
        <v>1.499464857E9</v>
      </c>
      <c r="D623" s="1">
        <v>1.499473098E9</v>
      </c>
      <c r="E623" s="1">
        <v>10.0</v>
      </c>
      <c r="F623" s="1">
        <v>6677.0</v>
      </c>
    </row>
    <row r="624">
      <c r="A624" s="1">
        <v>10196.0</v>
      </c>
      <c r="B624" s="1">
        <v>545.0</v>
      </c>
      <c r="C624" s="1">
        <v>1.499474089E9</v>
      </c>
      <c r="D624" s="1">
        <v>1.499474969E9</v>
      </c>
      <c r="E624" s="1">
        <v>10.0</v>
      </c>
      <c r="F624" s="1">
        <v>878.0</v>
      </c>
    </row>
    <row r="625">
      <c r="A625" s="1">
        <v>10199.0</v>
      </c>
      <c r="B625" s="1">
        <v>545.0</v>
      </c>
      <c r="C625" s="1">
        <v>1.499477704E9</v>
      </c>
      <c r="D625" s="1">
        <v>1.499479036E9</v>
      </c>
      <c r="E625" s="1">
        <v>10.0</v>
      </c>
      <c r="F625" s="1">
        <v>1330.0</v>
      </c>
    </row>
    <row r="626">
      <c r="A626" s="1">
        <v>10181.0</v>
      </c>
      <c r="B626" s="1">
        <v>545.0</v>
      </c>
      <c r="C626" s="1">
        <v>1.499479403E9</v>
      </c>
      <c r="D626" s="1">
        <v>1.49948009E9</v>
      </c>
      <c r="E626" s="1">
        <v>10.0</v>
      </c>
      <c r="F626" s="1">
        <v>683.0</v>
      </c>
    </row>
    <row r="627">
      <c r="A627" s="1">
        <v>10204.0</v>
      </c>
      <c r="B627" s="1">
        <v>545.0</v>
      </c>
      <c r="C627" s="1">
        <v>1.499384809E9</v>
      </c>
      <c r="D627" s="1">
        <v>1.499481451E9</v>
      </c>
      <c r="E627" s="1">
        <v>10.0</v>
      </c>
      <c r="F627" s="1">
        <v>1649.0</v>
      </c>
    </row>
    <row r="628">
      <c r="A628" s="1">
        <v>10172.0</v>
      </c>
      <c r="B628" s="1">
        <v>545.0</v>
      </c>
      <c r="C628" s="1">
        <v>1.499481825E9</v>
      </c>
      <c r="D628" s="1">
        <v>1.499482501E9</v>
      </c>
      <c r="E628" s="1">
        <v>10.0</v>
      </c>
      <c r="F628" s="1">
        <v>675.0</v>
      </c>
    </row>
    <row r="629">
      <c r="A629" s="1">
        <v>10210.0</v>
      </c>
      <c r="B629" s="1">
        <v>545.0</v>
      </c>
      <c r="C629" s="1">
        <v>1.499482482E9</v>
      </c>
      <c r="F629" s="1">
        <v>741.0</v>
      </c>
    </row>
    <row r="630">
      <c r="A630" s="1">
        <v>10226.0</v>
      </c>
      <c r="B630" s="1">
        <v>545.0</v>
      </c>
      <c r="C630" s="1">
        <v>1.499482834E9</v>
      </c>
      <c r="D630" s="1">
        <v>1.499485697E9</v>
      </c>
      <c r="E630" s="1">
        <v>10.0</v>
      </c>
      <c r="F630" s="1">
        <v>2386.0</v>
      </c>
    </row>
    <row r="631">
      <c r="A631" s="1">
        <v>10190.0</v>
      </c>
      <c r="B631" s="1">
        <v>545.0</v>
      </c>
      <c r="C631" s="1">
        <v>1.499483387E9</v>
      </c>
      <c r="D631" s="1">
        <v>1.499483823E9</v>
      </c>
      <c r="E631" s="1">
        <v>10.0</v>
      </c>
      <c r="F631" s="1">
        <v>431.0</v>
      </c>
    </row>
    <row r="632">
      <c r="A632" s="1">
        <v>10198.0</v>
      </c>
      <c r="B632" s="1">
        <v>545.0</v>
      </c>
      <c r="C632" s="1">
        <v>1.499481813E9</v>
      </c>
      <c r="D632" s="1">
        <v>1.499484244E9</v>
      </c>
      <c r="E632" s="1">
        <v>10.0</v>
      </c>
      <c r="F632" s="1">
        <v>2427.0</v>
      </c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5.14"/>
    <col customWidth="1" min="3" max="5" width="10.86"/>
    <col customWidth="1" min="6" max="14" width="4.86"/>
    <col customWidth="1" min="15" max="15" width="10.86"/>
    <col customWidth="1" min="16" max="19" width="8.71"/>
  </cols>
  <sheetData>
    <row r="1" ht="12.75" customHeight="1">
      <c r="A1" s="8" t="s">
        <v>93</v>
      </c>
      <c r="B1" s="9" t="s">
        <v>94</v>
      </c>
      <c r="C1" s="8" t="s">
        <v>95</v>
      </c>
      <c r="D1" s="8" t="s">
        <v>96</v>
      </c>
      <c r="E1" s="8" t="s">
        <v>97</v>
      </c>
      <c r="F1" s="10" t="s">
        <v>98</v>
      </c>
      <c r="G1" s="10" t="s">
        <v>99</v>
      </c>
      <c r="H1" s="10" t="s">
        <v>100</v>
      </c>
      <c r="I1" s="10" t="s">
        <v>101</v>
      </c>
      <c r="J1" s="10" t="s">
        <v>102</v>
      </c>
      <c r="K1" s="10" t="s">
        <v>103</v>
      </c>
      <c r="L1" s="10" t="s">
        <v>104</v>
      </c>
      <c r="M1" s="10" t="s">
        <v>105</v>
      </c>
      <c r="N1" s="10" t="s">
        <v>106</v>
      </c>
      <c r="O1" s="11" t="s">
        <v>107</v>
      </c>
      <c r="P1" s="12"/>
      <c r="Q1" s="12"/>
      <c r="R1" s="12"/>
      <c r="S1" s="12"/>
    </row>
    <row r="2" ht="12.75" customHeight="1">
      <c r="A2" s="12"/>
      <c r="B2" s="12"/>
      <c r="C2" s="13">
        <v>20.0</v>
      </c>
      <c r="D2" s="14" t="s">
        <v>97</v>
      </c>
      <c r="E2" s="15"/>
      <c r="F2" s="16">
        <v>1.0</v>
      </c>
      <c r="G2" s="16">
        <v>8.0</v>
      </c>
      <c r="H2" s="16">
        <v>6.0</v>
      </c>
      <c r="I2" s="16">
        <v>10.0</v>
      </c>
      <c r="J2" s="16">
        <v>12.0</v>
      </c>
      <c r="K2" s="16">
        <v>40.0</v>
      </c>
      <c r="L2" s="16">
        <v>60.0</v>
      </c>
      <c r="M2" s="16">
        <v>6.0</v>
      </c>
      <c r="N2" s="16">
        <v>18.0</v>
      </c>
      <c r="O2" s="12"/>
      <c r="P2" s="12"/>
      <c r="Q2" s="12"/>
      <c r="R2" s="12"/>
      <c r="S2" s="12"/>
    </row>
    <row r="3" ht="12.75" customHeight="1">
      <c r="A3" s="12"/>
      <c r="B3" s="12"/>
      <c r="C3" s="13">
        <f>AVERAGE(C7:C69)</f>
        <v>16.00793651</v>
      </c>
      <c r="D3" s="14" t="s">
        <v>108</v>
      </c>
      <c r="E3" s="15"/>
      <c r="F3" s="17">
        <f t="shared" ref="F3:N3" si="1">AVERAGE(F7:F69)/F2</f>
        <v>0.619047619</v>
      </c>
      <c r="G3" s="17">
        <f t="shared" si="1"/>
        <v>0.6329365079</v>
      </c>
      <c r="H3" s="17">
        <f t="shared" si="1"/>
        <v>0.9021164021</v>
      </c>
      <c r="I3" s="17">
        <f t="shared" si="1"/>
        <v>0.5603174603</v>
      </c>
      <c r="J3" s="17">
        <f t="shared" si="1"/>
        <v>0.8148148148</v>
      </c>
      <c r="K3" s="17">
        <f t="shared" si="1"/>
        <v>0.8214285714</v>
      </c>
      <c r="L3" s="17">
        <f t="shared" si="1"/>
        <v>0.8867724868</v>
      </c>
      <c r="M3" s="17">
        <f t="shared" si="1"/>
        <v>0.5396825397</v>
      </c>
      <c r="N3" s="17">
        <f t="shared" si="1"/>
        <v>0.8306878307</v>
      </c>
      <c r="O3" s="12"/>
      <c r="P3" s="12"/>
      <c r="Q3" s="12"/>
      <c r="R3" s="12"/>
      <c r="S3" s="12"/>
    </row>
    <row r="4" ht="12.75" customHeight="1">
      <c r="A4" s="18"/>
      <c r="B4" s="19" t="s">
        <v>109</v>
      </c>
      <c r="C4" s="20" t="s">
        <v>110</v>
      </c>
      <c r="D4" s="21">
        <f t="shared" ref="D4:D6" si="2">SUM(A4)</f>
        <v>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12"/>
      <c r="Q4" s="12"/>
      <c r="R4" s="12"/>
      <c r="S4" s="12"/>
    </row>
    <row r="5" ht="12.75" customHeight="1">
      <c r="A5" s="18"/>
      <c r="B5" s="19" t="s">
        <v>111</v>
      </c>
      <c r="C5" s="20" t="s">
        <v>110</v>
      </c>
      <c r="D5" s="21">
        <f t="shared" si="2"/>
        <v>0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12"/>
      <c r="Q5" s="12"/>
      <c r="R5" s="12"/>
      <c r="S5" s="12"/>
    </row>
    <row r="6" ht="12.75" customHeight="1">
      <c r="A6" s="18"/>
      <c r="B6" s="19" t="s">
        <v>112</v>
      </c>
      <c r="C6" s="20" t="s">
        <v>110</v>
      </c>
      <c r="D6" s="21">
        <f t="shared" si="2"/>
        <v>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12"/>
      <c r="Q6" s="12"/>
      <c r="R6" s="12"/>
      <c r="S6" s="12"/>
    </row>
    <row r="7" ht="12.75" customHeight="1">
      <c r="A7" s="18" t="s">
        <v>113</v>
      </c>
      <c r="B7" s="19" t="s">
        <v>114</v>
      </c>
      <c r="C7" s="13">
        <f t="shared" ref="C7:C69" si="3">IF($C$2&gt;0,MIN($C$2,ROUNDDOWN(D7/E7*$C$2/0.5,0)*0.5),ROUNDDOWN(D7/0.5,0)*0.5)</f>
        <v>5.5</v>
      </c>
      <c r="D7" s="16">
        <f t="shared" ref="D7:D69" si="4">SUM(F7:N7)</f>
        <v>46</v>
      </c>
      <c r="E7" s="16">
        <v>161.0</v>
      </c>
      <c r="F7" s="23">
        <v>0.0</v>
      </c>
      <c r="G7" s="16">
        <v>8.0</v>
      </c>
      <c r="H7" s="23">
        <v>0.0</v>
      </c>
      <c r="I7" s="23">
        <v>0.0</v>
      </c>
      <c r="J7" s="23">
        <v>0.0</v>
      </c>
      <c r="K7" s="16">
        <v>32.0</v>
      </c>
      <c r="L7" s="16">
        <v>0.0</v>
      </c>
      <c r="M7" s="23">
        <v>0.0</v>
      </c>
      <c r="N7" s="16">
        <v>6.0</v>
      </c>
      <c r="O7" s="22" t="s">
        <v>115</v>
      </c>
      <c r="P7" s="12"/>
      <c r="Q7" s="12"/>
      <c r="R7" s="12"/>
      <c r="S7" s="12"/>
    </row>
    <row r="8" ht="12.75" customHeight="1">
      <c r="A8" s="18" t="s">
        <v>116</v>
      </c>
      <c r="B8" s="19" t="s">
        <v>117</v>
      </c>
      <c r="C8" s="13">
        <f t="shared" si="3"/>
        <v>8.5</v>
      </c>
      <c r="D8" s="16">
        <f t="shared" si="4"/>
        <v>71</v>
      </c>
      <c r="E8" s="16">
        <v>161.0</v>
      </c>
      <c r="F8" s="16">
        <v>0.0</v>
      </c>
      <c r="G8" s="16">
        <v>0.0</v>
      </c>
      <c r="H8" s="16">
        <v>2.0</v>
      </c>
      <c r="I8" s="16">
        <v>10.0</v>
      </c>
      <c r="J8" s="16">
        <v>0.0</v>
      </c>
      <c r="K8" s="16">
        <v>4.0</v>
      </c>
      <c r="L8" s="16">
        <v>43.0</v>
      </c>
      <c r="M8" s="16">
        <v>0.0</v>
      </c>
      <c r="N8" s="16">
        <v>12.0</v>
      </c>
      <c r="O8" s="22" t="s">
        <v>118</v>
      </c>
      <c r="P8" s="12"/>
      <c r="Q8" s="12"/>
      <c r="R8" s="12"/>
      <c r="S8" s="12"/>
    </row>
    <row r="9" ht="12.75" customHeight="1">
      <c r="A9" s="18" t="s">
        <v>119</v>
      </c>
      <c r="B9" s="19" t="s">
        <v>120</v>
      </c>
      <c r="C9" s="13">
        <f t="shared" si="3"/>
        <v>9</v>
      </c>
      <c r="D9" s="16">
        <f t="shared" si="4"/>
        <v>75</v>
      </c>
      <c r="E9" s="16">
        <v>161.0</v>
      </c>
      <c r="F9" s="16">
        <v>1.0</v>
      </c>
      <c r="G9" s="16">
        <v>3.0</v>
      </c>
      <c r="H9" s="16">
        <v>6.0</v>
      </c>
      <c r="I9" s="16">
        <v>5.0</v>
      </c>
      <c r="J9" s="16">
        <v>3.0</v>
      </c>
      <c r="K9" s="16">
        <v>31.0</v>
      </c>
      <c r="L9" s="16">
        <v>11.0</v>
      </c>
      <c r="M9" s="16">
        <v>3.0</v>
      </c>
      <c r="N9" s="16">
        <v>12.0</v>
      </c>
      <c r="O9" s="22" t="s">
        <v>121</v>
      </c>
      <c r="P9" s="12"/>
      <c r="Q9" s="12"/>
      <c r="R9" s="12"/>
      <c r="S9" s="12"/>
    </row>
    <row r="10" ht="12.75" customHeight="1">
      <c r="A10" s="18" t="s">
        <v>122</v>
      </c>
      <c r="B10" s="19" t="s">
        <v>123</v>
      </c>
      <c r="C10" s="13">
        <f t="shared" si="3"/>
        <v>10</v>
      </c>
      <c r="D10" s="16">
        <f t="shared" si="4"/>
        <v>84</v>
      </c>
      <c r="E10" s="16">
        <v>161.0</v>
      </c>
      <c r="F10" s="16">
        <v>1.0</v>
      </c>
      <c r="G10" s="16">
        <v>3.0</v>
      </c>
      <c r="H10" s="16">
        <v>6.0</v>
      </c>
      <c r="I10" s="16">
        <v>10.0</v>
      </c>
      <c r="J10" s="16">
        <v>8.0</v>
      </c>
      <c r="K10" s="16">
        <v>13.0</v>
      </c>
      <c r="L10" s="16">
        <v>23.0</v>
      </c>
      <c r="M10" s="16">
        <v>3.0</v>
      </c>
      <c r="N10" s="16">
        <v>17.0</v>
      </c>
      <c r="O10" s="22" t="s">
        <v>123</v>
      </c>
      <c r="P10" s="12"/>
      <c r="Q10" s="12"/>
      <c r="R10" s="12"/>
      <c r="S10" s="12"/>
    </row>
    <row r="11" ht="12.75" customHeight="1">
      <c r="A11" s="18" t="s">
        <v>124</v>
      </c>
      <c r="B11" s="19" t="s">
        <v>125</v>
      </c>
      <c r="C11" s="13">
        <f t="shared" si="3"/>
        <v>11.5</v>
      </c>
      <c r="D11" s="16">
        <f t="shared" si="4"/>
        <v>96</v>
      </c>
      <c r="E11" s="16">
        <v>161.0</v>
      </c>
      <c r="F11" s="16">
        <v>0.0</v>
      </c>
      <c r="G11" s="23">
        <v>0.0</v>
      </c>
      <c r="H11" s="16">
        <v>3.0</v>
      </c>
      <c r="I11" s="16">
        <v>0.0</v>
      </c>
      <c r="J11" s="16">
        <v>8.0</v>
      </c>
      <c r="K11" s="16">
        <v>22.0</v>
      </c>
      <c r="L11" s="16">
        <v>48.0</v>
      </c>
      <c r="M11" s="16">
        <v>3.0</v>
      </c>
      <c r="N11" s="16">
        <v>12.0</v>
      </c>
      <c r="O11" s="22" t="s">
        <v>126</v>
      </c>
      <c r="P11" s="12"/>
      <c r="Q11" s="12"/>
      <c r="R11" s="12"/>
      <c r="S11" s="12"/>
    </row>
    <row r="12" ht="12.75" customHeight="1">
      <c r="A12" s="18" t="s">
        <v>127</v>
      </c>
      <c r="B12" s="19" t="s">
        <v>128</v>
      </c>
      <c r="C12" s="13">
        <f t="shared" si="3"/>
        <v>13</v>
      </c>
      <c r="D12" s="16">
        <f t="shared" si="4"/>
        <v>105</v>
      </c>
      <c r="E12" s="16">
        <v>161.0</v>
      </c>
      <c r="F12" s="16">
        <v>0.0</v>
      </c>
      <c r="G12" s="16">
        <v>4.0</v>
      </c>
      <c r="H12" s="16">
        <v>6.0</v>
      </c>
      <c r="I12" s="16">
        <v>4.0</v>
      </c>
      <c r="J12" s="16">
        <v>12.0</v>
      </c>
      <c r="K12" s="16">
        <v>30.0</v>
      </c>
      <c r="L12" s="16">
        <v>31.0</v>
      </c>
      <c r="M12" s="16">
        <v>6.0</v>
      </c>
      <c r="N12" s="16">
        <v>12.0</v>
      </c>
      <c r="O12" s="22" t="s">
        <v>129</v>
      </c>
      <c r="P12" s="12"/>
      <c r="Q12" s="12"/>
      <c r="R12" s="12"/>
      <c r="S12" s="12"/>
    </row>
    <row r="13" ht="12.75" customHeight="1">
      <c r="A13" s="18" t="s">
        <v>130</v>
      </c>
      <c r="B13" s="19" t="s">
        <v>131</v>
      </c>
      <c r="C13" s="13">
        <f t="shared" si="3"/>
        <v>13.5</v>
      </c>
      <c r="D13" s="16">
        <f t="shared" si="4"/>
        <v>111</v>
      </c>
      <c r="E13" s="16">
        <v>161.0</v>
      </c>
      <c r="F13" s="16">
        <v>1.0</v>
      </c>
      <c r="G13" s="16">
        <v>3.0</v>
      </c>
      <c r="H13" s="16">
        <v>6.0</v>
      </c>
      <c r="I13" s="16">
        <v>10.0</v>
      </c>
      <c r="J13" s="16">
        <v>12.0</v>
      </c>
      <c r="K13" s="16">
        <v>12.0</v>
      </c>
      <c r="L13" s="16">
        <v>46.0</v>
      </c>
      <c r="M13" s="16">
        <v>4.0</v>
      </c>
      <c r="N13" s="16">
        <v>17.0</v>
      </c>
      <c r="O13" s="22" t="s">
        <v>131</v>
      </c>
      <c r="P13" s="12"/>
      <c r="Q13" s="12"/>
      <c r="R13" s="12"/>
      <c r="S13" s="12"/>
    </row>
    <row r="14" ht="12.75" customHeight="1">
      <c r="A14" s="18" t="s">
        <v>132</v>
      </c>
      <c r="B14" s="19" t="s">
        <v>133</v>
      </c>
      <c r="C14" s="13">
        <f t="shared" si="3"/>
        <v>13.5</v>
      </c>
      <c r="D14" s="16">
        <f t="shared" si="4"/>
        <v>110</v>
      </c>
      <c r="E14" s="16">
        <v>161.0</v>
      </c>
      <c r="F14" s="16">
        <v>0.0</v>
      </c>
      <c r="G14" s="16">
        <v>0.0</v>
      </c>
      <c r="H14" s="16">
        <v>0.0</v>
      </c>
      <c r="I14" s="16">
        <v>4.0</v>
      </c>
      <c r="J14" s="16">
        <v>3.0</v>
      </c>
      <c r="K14" s="16">
        <v>31.0</v>
      </c>
      <c r="L14" s="16">
        <v>60.0</v>
      </c>
      <c r="M14" s="16">
        <v>0.0</v>
      </c>
      <c r="N14" s="16">
        <v>12.0</v>
      </c>
      <c r="O14" s="22" t="s">
        <v>134</v>
      </c>
      <c r="P14" s="12"/>
      <c r="Q14" s="12"/>
      <c r="R14" s="12"/>
      <c r="S14" s="12"/>
    </row>
    <row r="15" ht="12.75" customHeight="1">
      <c r="A15" s="18" t="s">
        <v>135</v>
      </c>
      <c r="B15" s="19" t="s">
        <v>136</v>
      </c>
      <c r="C15" s="13">
        <f t="shared" si="3"/>
        <v>14</v>
      </c>
      <c r="D15" s="16">
        <f t="shared" si="4"/>
        <v>113</v>
      </c>
      <c r="E15" s="16">
        <v>161.0</v>
      </c>
      <c r="F15" s="23">
        <v>0.0</v>
      </c>
      <c r="G15" s="16">
        <v>3.0</v>
      </c>
      <c r="H15" s="16">
        <v>6.0</v>
      </c>
      <c r="I15" s="16">
        <v>5.0</v>
      </c>
      <c r="J15" s="16">
        <v>8.0</v>
      </c>
      <c r="K15" s="16">
        <v>21.0</v>
      </c>
      <c r="L15" s="16">
        <v>56.0</v>
      </c>
      <c r="M15" s="16">
        <v>3.0</v>
      </c>
      <c r="N15" s="16">
        <v>11.0</v>
      </c>
      <c r="O15" s="22" t="s">
        <v>136</v>
      </c>
      <c r="P15" s="12"/>
      <c r="Q15" s="12"/>
      <c r="R15" s="12"/>
      <c r="S15" s="12"/>
    </row>
    <row r="16" ht="12.75" customHeight="1">
      <c r="A16" s="18" t="s">
        <v>137</v>
      </c>
      <c r="B16" s="19" t="s">
        <v>138</v>
      </c>
      <c r="C16" s="13">
        <f t="shared" si="3"/>
        <v>14</v>
      </c>
      <c r="D16" s="16">
        <f t="shared" si="4"/>
        <v>115</v>
      </c>
      <c r="E16" s="16">
        <v>161.0</v>
      </c>
      <c r="F16" s="24">
        <v>0.0</v>
      </c>
      <c r="G16" s="16">
        <v>4.0</v>
      </c>
      <c r="H16" s="16">
        <v>6.0</v>
      </c>
      <c r="I16" s="16">
        <v>5.0</v>
      </c>
      <c r="J16" s="16">
        <v>8.0</v>
      </c>
      <c r="K16" s="16">
        <v>31.0</v>
      </c>
      <c r="L16" s="16">
        <v>47.0</v>
      </c>
      <c r="M16" s="16">
        <v>3.0</v>
      </c>
      <c r="N16" s="16">
        <v>11.0</v>
      </c>
      <c r="O16" s="22" t="s">
        <v>138</v>
      </c>
      <c r="P16" s="12"/>
      <c r="Q16" s="12"/>
      <c r="R16" s="12"/>
      <c r="S16" s="12"/>
    </row>
    <row r="17" ht="12.75" customHeight="1">
      <c r="A17" s="18" t="s">
        <v>139</v>
      </c>
      <c r="B17" s="19" t="s">
        <v>140</v>
      </c>
      <c r="C17" s="13">
        <f t="shared" si="3"/>
        <v>14.5</v>
      </c>
      <c r="D17" s="16">
        <f t="shared" si="4"/>
        <v>120</v>
      </c>
      <c r="E17" s="16">
        <v>161.0</v>
      </c>
      <c r="F17" s="16">
        <v>0.0</v>
      </c>
      <c r="G17" s="16">
        <v>4.0</v>
      </c>
      <c r="H17" s="16">
        <v>6.0</v>
      </c>
      <c r="I17" s="16">
        <v>10.0</v>
      </c>
      <c r="J17" s="16">
        <v>12.0</v>
      </c>
      <c r="K17" s="16">
        <v>32.0</v>
      </c>
      <c r="L17" s="16">
        <v>35.0</v>
      </c>
      <c r="M17" s="16">
        <v>3.0</v>
      </c>
      <c r="N17" s="16">
        <v>18.0</v>
      </c>
      <c r="O17" s="22" t="s">
        <v>140</v>
      </c>
      <c r="P17" s="12"/>
      <c r="Q17" s="12"/>
      <c r="R17" s="12"/>
      <c r="S17" s="12"/>
    </row>
    <row r="18" ht="12.75" customHeight="1">
      <c r="A18" s="18" t="s">
        <v>141</v>
      </c>
      <c r="B18" s="19" t="s">
        <v>142</v>
      </c>
      <c r="C18" s="13">
        <f t="shared" si="3"/>
        <v>14.5</v>
      </c>
      <c r="D18" s="16">
        <f t="shared" si="4"/>
        <v>117</v>
      </c>
      <c r="E18" s="16">
        <v>161.0</v>
      </c>
      <c r="F18" s="16">
        <v>1.0</v>
      </c>
      <c r="G18" s="16">
        <v>8.0</v>
      </c>
      <c r="H18" s="16">
        <v>6.0</v>
      </c>
      <c r="I18" s="16">
        <v>4.0</v>
      </c>
      <c r="J18" s="16">
        <v>12.0</v>
      </c>
      <c r="K18" s="16">
        <v>15.0</v>
      </c>
      <c r="L18" s="16">
        <v>48.0</v>
      </c>
      <c r="M18" s="16">
        <v>6.0</v>
      </c>
      <c r="N18" s="16">
        <v>17.0</v>
      </c>
      <c r="O18" s="22" t="s">
        <v>142</v>
      </c>
      <c r="P18" s="12"/>
      <c r="Q18" s="12"/>
      <c r="R18" s="12"/>
      <c r="S18" s="12"/>
    </row>
    <row r="19" ht="12.75" customHeight="1">
      <c r="A19" s="18" t="s">
        <v>143</v>
      </c>
      <c r="B19" s="19" t="s">
        <v>144</v>
      </c>
      <c r="C19" s="13">
        <f t="shared" si="3"/>
        <v>14.5</v>
      </c>
      <c r="D19" s="16">
        <f t="shared" si="4"/>
        <v>118</v>
      </c>
      <c r="E19" s="16">
        <v>161.0</v>
      </c>
      <c r="F19" s="16">
        <v>1.0</v>
      </c>
      <c r="G19" s="16">
        <v>8.0</v>
      </c>
      <c r="H19" s="16">
        <v>6.0</v>
      </c>
      <c r="I19" s="16">
        <v>0.0</v>
      </c>
      <c r="J19" s="16">
        <v>12.0</v>
      </c>
      <c r="K19" s="16">
        <v>16.0</v>
      </c>
      <c r="L19" s="16">
        <v>60.0</v>
      </c>
      <c r="M19" s="16">
        <v>3.0</v>
      </c>
      <c r="N19" s="16">
        <v>12.0</v>
      </c>
      <c r="O19" s="22" t="s">
        <v>145</v>
      </c>
      <c r="P19" s="12"/>
      <c r="Q19" s="12"/>
      <c r="R19" s="12"/>
      <c r="S19" s="12"/>
    </row>
    <row r="20" ht="12.75" customHeight="1">
      <c r="A20" s="18" t="s">
        <v>146</v>
      </c>
      <c r="B20" s="19" t="s">
        <v>147</v>
      </c>
      <c r="C20" s="13">
        <f t="shared" si="3"/>
        <v>14.5</v>
      </c>
      <c r="D20" s="16">
        <f t="shared" si="4"/>
        <v>118</v>
      </c>
      <c r="E20" s="16">
        <v>161.0</v>
      </c>
      <c r="F20" s="16">
        <v>1.0</v>
      </c>
      <c r="G20" s="16">
        <v>8.0</v>
      </c>
      <c r="H20" s="16">
        <v>6.0</v>
      </c>
      <c r="I20" s="16">
        <v>5.0</v>
      </c>
      <c r="J20" s="16">
        <v>0.0</v>
      </c>
      <c r="K20" s="16">
        <v>29.0</v>
      </c>
      <c r="L20" s="16">
        <v>54.0</v>
      </c>
      <c r="M20" s="16">
        <v>3.0</v>
      </c>
      <c r="N20" s="16">
        <v>12.0</v>
      </c>
      <c r="O20" s="22" t="s">
        <v>148</v>
      </c>
      <c r="P20" s="12"/>
      <c r="Q20" s="12"/>
      <c r="R20" s="12"/>
      <c r="S20" s="12"/>
    </row>
    <row r="21" ht="12.75" customHeight="1">
      <c r="A21" s="18" t="s">
        <v>149</v>
      </c>
      <c r="B21" s="19" t="s">
        <v>150</v>
      </c>
      <c r="C21" s="13">
        <f t="shared" si="3"/>
        <v>14.5</v>
      </c>
      <c r="D21" s="16">
        <f t="shared" si="4"/>
        <v>120</v>
      </c>
      <c r="E21" s="16">
        <v>161.0</v>
      </c>
      <c r="F21" s="16">
        <v>0.0</v>
      </c>
      <c r="G21" s="16">
        <v>3.0</v>
      </c>
      <c r="H21" s="16">
        <v>6.0</v>
      </c>
      <c r="I21" s="16">
        <v>4.0</v>
      </c>
      <c r="J21" s="16">
        <v>12.0</v>
      </c>
      <c r="K21" s="16">
        <v>24.0</v>
      </c>
      <c r="L21" s="16">
        <v>48.0</v>
      </c>
      <c r="M21" s="16">
        <v>6.0</v>
      </c>
      <c r="N21" s="16">
        <v>17.0</v>
      </c>
      <c r="O21" s="22" t="s">
        <v>150</v>
      </c>
      <c r="P21" s="12"/>
      <c r="Q21" s="12"/>
      <c r="R21" s="12"/>
      <c r="S21" s="12"/>
    </row>
    <row r="22" ht="12.75" customHeight="1">
      <c r="A22" s="18" t="s">
        <v>151</v>
      </c>
      <c r="B22" s="19" t="s">
        <v>152</v>
      </c>
      <c r="C22" s="13">
        <f t="shared" si="3"/>
        <v>15</v>
      </c>
      <c r="D22" s="16">
        <f t="shared" si="4"/>
        <v>121</v>
      </c>
      <c r="E22" s="16">
        <v>161.0</v>
      </c>
      <c r="F22" s="16">
        <v>1.0</v>
      </c>
      <c r="G22" s="16">
        <v>3.0</v>
      </c>
      <c r="H22" s="16">
        <v>2.0</v>
      </c>
      <c r="I22" s="16">
        <v>4.0</v>
      </c>
      <c r="J22" s="16">
        <v>0.0</v>
      </c>
      <c r="K22" s="16">
        <v>31.0</v>
      </c>
      <c r="L22" s="16">
        <v>59.0</v>
      </c>
      <c r="M22" s="16">
        <v>3.0</v>
      </c>
      <c r="N22" s="16">
        <v>18.0</v>
      </c>
      <c r="O22" s="22" t="s">
        <v>152</v>
      </c>
      <c r="P22" s="12"/>
      <c r="Q22" s="12"/>
      <c r="R22" s="12"/>
      <c r="S22" s="12"/>
    </row>
    <row r="23" ht="12.75" customHeight="1">
      <c r="A23" s="18" t="s">
        <v>153</v>
      </c>
      <c r="B23" s="19" t="s">
        <v>154</v>
      </c>
      <c r="C23" s="13">
        <f t="shared" si="3"/>
        <v>15</v>
      </c>
      <c r="D23" s="16">
        <f t="shared" si="4"/>
        <v>122</v>
      </c>
      <c r="E23" s="16">
        <v>161.0</v>
      </c>
      <c r="F23" s="16">
        <v>1.0</v>
      </c>
      <c r="G23" s="16">
        <v>4.0</v>
      </c>
      <c r="H23" s="16">
        <v>6.0</v>
      </c>
      <c r="I23" s="16">
        <v>0.0</v>
      </c>
      <c r="J23" s="16">
        <v>12.0</v>
      </c>
      <c r="K23" s="16">
        <v>22.0</v>
      </c>
      <c r="L23" s="16">
        <v>57.0</v>
      </c>
      <c r="M23" s="16">
        <v>3.0</v>
      </c>
      <c r="N23" s="16">
        <v>17.0</v>
      </c>
      <c r="O23" s="22" t="s">
        <v>155</v>
      </c>
      <c r="P23" s="12"/>
      <c r="Q23" s="12"/>
      <c r="R23" s="12"/>
      <c r="S23" s="12"/>
    </row>
    <row r="24" ht="12.75" customHeight="1">
      <c r="A24" s="18" t="s">
        <v>156</v>
      </c>
      <c r="B24" s="19" t="s">
        <v>157</v>
      </c>
      <c r="C24" s="13">
        <f t="shared" si="3"/>
        <v>15</v>
      </c>
      <c r="D24" s="16">
        <f t="shared" si="4"/>
        <v>124</v>
      </c>
      <c r="E24" s="16">
        <v>161.0</v>
      </c>
      <c r="F24" s="16">
        <v>0.0</v>
      </c>
      <c r="G24" s="16">
        <v>8.0</v>
      </c>
      <c r="H24" s="16">
        <v>6.0</v>
      </c>
      <c r="I24" s="16">
        <v>10.0</v>
      </c>
      <c r="J24" s="16">
        <v>8.0</v>
      </c>
      <c r="K24" s="16">
        <v>13.0</v>
      </c>
      <c r="L24" s="16">
        <v>57.0</v>
      </c>
      <c r="M24" s="16">
        <v>6.0</v>
      </c>
      <c r="N24" s="16">
        <v>16.0</v>
      </c>
      <c r="O24" s="22" t="s">
        <v>157</v>
      </c>
      <c r="P24" s="12"/>
      <c r="Q24" s="12"/>
      <c r="R24" s="12"/>
      <c r="S24" s="12"/>
    </row>
    <row r="25" ht="12.75" customHeight="1">
      <c r="A25" s="18" t="s">
        <v>158</v>
      </c>
      <c r="B25" s="19" t="s">
        <v>159</v>
      </c>
      <c r="C25" s="13">
        <f t="shared" si="3"/>
        <v>15.5</v>
      </c>
      <c r="D25" s="16">
        <f t="shared" si="4"/>
        <v>127</v>
      </c>
      <c r="E25" s="16">
        <v>161.0</v>
      </c>
      <c r="F25" s="16">
        <v>0.0</v>
      </c>
      <c r="G25" s="16">
        <v>4.0</v>
      </c>
      <c r="H25" s="16">
        <v>3.0</v>
      </c>
      <c r="I25" s="16">
        <v>10.0</v>
      </c>
      <c r="J25" s="16">
        <v>12.0</v>
      </c>
      <c r="K25" s="16">
        <v>39.0</v>
      </c>
      <c r="L25" s="16">
        <v>48.0</v>
      </c>
      <c r="M25" s="16">
        <v>0.0</v>
      </c>
      <c r="N25" s="16">
        <v>11.0</v>
      </c>
      <c r="O25" s="22" t="s">
        <v>159</v>
      </c>
      <c r="P25" s="12"/>
      <c r="Q25" s="12"/>
      <c r="R25" s="12"/>
      <c r="S25" s="12"/>
    </row>
    <row r="26" ht="12.75" customHeight="1">
      <c r="A26" s="18" t="s">
        <v>160</v>
      </c>
      <c r="B26" s="19" t="s">
        <v>161</v>
      </c>
      <c r="C26" s="13">
        <f t="shared" si="3"/>
        <v>15.5</v>
      </c>
      <c r="D26" s="16">
        <f t="shared" si="4"/>
        <v>127</v>
      </c>
      <c r="E26" s="16">
        <v>161.0</v>
      </c>
      <c r="F26" s="16">
        <v>1.0</v>
      </c>
      <c r="G26" s="16">
        <v>8.0</v>
      </c>
      <c r="H26" s="16">
        <v>6.0</v>
      </c>
      <c r="I26" s="16">
        <v>0.0</v>
      </c>
      <c r="J26" s="16">
        <v>3.0</v>
      </c>
      <c r="K26" s="16">
        <v>40.0</v>
      </c>
      <c r="L26" s="16">
        <v>58.0</v>
      </c>
      <c r="M26" s="23">
        <v>0.0</v>
      </c>
      <c r="N26" s="16">
        <v>11.0</v>
      </c>
      <c r="O26" s="22" t="s">
        <v>161</v>
      </c>
      <c r="P26" s="12"/>
      <c r="Q26" s="12"/>
      <c r="R26" s="12"/>
      <c r="S26" s="12"/>
    </row>
    <row r="27" ht="12.75" customHeight="1">
      <c r="A27" s="18" t="s">
        <v>162</v>
      </c>
      <c r="B27" s="19" t="s">
        <v>163</v>
      </c>
      <c r="C27" s="13">
        <f t="shared" si="3"/>
        <v>15.5</v>
      </c>
      <c r="D27" s="16">
        <f t="shared" si="4"/>
        <v>127</v>
      </c>
      <c r="E27" s="16">
        <v>161.0</v>
      </c>
      <c r="F27" s="16">
        <v>1.0</v>
      </c>
      <c r="G27" s="16">
        <v>4.0</v>
      </c>
      <c r="H27" s="16">
        <v>6.0</v>
      </c>
      <c r="I27" s="16">
        <v>10.0</v>
      </c>
      <c r="J27" s="16">
        <v>8.0</v>
      </c>
      <c r="K27" s="16">
        <v>39.0</v>
      </c>
      <c r="L27" s="16">
        <v>36.0</v>
      </c>
      <c r="M27" s="16">
        <v>6.0</v>
      </c>
      <c r="N27" s="16">
        <v>17.0</v>
      </c>
      <c r="O27" s="22" t="s">
        <v>163</v>
      </c>
      <c r="P27" s="12"/>
      <c r="Q27" s="12"/>
      <c r="R27" s="12"/>
      <c r="S27" s="12"/>
    </row>
    <row r="28" ht="12.75" customHeight="1">
      <c r="A28" s="18" t="s">
        <v>164</v>
      </c>
      <c r="B28" s="19" t="s">
        <v>165</v>
      </c>
      <c r="C28" s="13">
        <f t="shared" si="3"/>
        <v>15.5</v>
      </c>
      <c r="D28" s="16">
        <f t="shared" si="4"/>
        <v>126</v>
      </c>
      <c r="E28" s="16">
        <v>161.0</v>
      </c>
      <c r="F28" s="16">
        <v>0.0</v>
      </c>
      <c r="G28" s="16">
        <v>4.0</v>
      </c>
      <c r="H28" s="16">
        <v>6.0</v>
      </c>
      <c r="I28" s="16">
        <v>0.0</v>
      </c>
      <c r="J28" s="16">
        <v>8.0</v>
      </c>
      <c r="K28" s="16">
        <v>31.0</v>
      </c>
      <c r="L28" s="16">
        <v>60.0</v>
      </c>
      <c r="M28" s="16">
        <v>6.0</v>
      </c>
      <c r="N28" s="16">
        <v>11.0</v>
      </c>
      <c r="O28" s="22" t="s">
        <v>165</v>
      </c>
      <c r="P28" s="12"/>
      <c r="Q28" s="12"/>
      <c r="R28" s="12"/>
      <c r="S28" s="12"/>
    </row>
    <row r="29" ht="12.75" customHeight="1">
      <c r="A29" s="18" t="s">
        <v>166</v>
      </c>
      <c r="B29" s="19" t="s">
        <v>167</v>
      </c>
      <c r="C29" s="13">
        <f t="shared" si="3"/>
        <v>15.5</v>
      </c>
      <c r="D29" s="16">
        <f t="shared" si="4"/>
        <v>125</v>
      </c>
      <c r="E29" s="16">
        <v>161.0</v>
      </c>
      <c r="F29" s="16">
        <v>0.0</v>
      </c>
      <c r="G29" s="16">
        <v>3.0</v>
      </c>
      <c r="H29" s="16">
        <v>6.0</v>
      </c>
      <c r="I29" s="16">
        <v>4.0</v>
      </c>
      <c r="J29" s="16">
        <v>3.0</v>
      </c>
      <c r="K29" s="16">
        <v>32.0</v>
      </c>
      <c r="L29" s="16">
        <v>59.0</v>
      </c>
      <c r="M29" s="16">
        <v>0.0</v>
      </c>
      <c r="N29" s="16">
        <v>18.0</v>
      </c>
      <c r="O29" s="22" t="s">
        <v>167</v>
      </c>
      <c r="P29" s="12"/>
      <c r="Q29" s="12"/>
      <c r="R29" s="12"/>
      <c r="S29" s="12"/>
    </row>
    <row r="30" ht="12.75" customHeight="1">
      <c r="A30" s="18" t="s">
        <v>168</v>
      </c>
      <c r="B30" s="19" t="s">
        <v>169</v>
      </c>
      <c r="C30" s="13">
        <f t="shared" si="3"/>
        <v>15.5</v>
      </c>
      <c r="D30" s="16">
        <f t="shared" si="4"/>
        <v>128</v>
      </c>
      <c r="E30" s="16">
        <v>161.0</v>
      </c>
      <c r="F30" s="16">
        <v>0.0</v>
      </c>
      <c r="G30" s="16">
        <v>8.0</v>
      </c>
      <c r="H30" s="16">
        <v>6.0</v>
      </c>
      <c r="I30" s="16">
        <v>5.0</v>
      </c>
      <c r="J30" s="16">
        <v>12.0</v>
      </c>
      <c r="K30" s="16">
        <v>21.0</v>
      </c>
      <c r="L30" s="16">
        <v>59.0</v>
      </c>
      <c r="M30" s="16">
        <v>0.0</v>
      </c>
      <c r="N30" s="16">
        <v>17.0</v>
      </c>
      <c r="O30" s="22" t="s">
        <v>169</v>
      </c>
      <c r="P30" s="12"/>
      <c r="Q30" s="12"/>
      <c r="R30" s="12"/>
      <c r="S30" s="12"/>
    </row>
    <row r="31" ht="12.75" customHeight="1">
      <c r="A31" s="18" t="s">
        <v>170</v>
      </c>
      <c r="B31" s="19" t="s">
        <v>171</v>
      </c>
      <c r="C31" s="13">
        <f t="shared" si="3"/>
        <v>16</v>
      </c>
      <c r="D31" s="16">
        <f t="shared" si="4"/>
        <v>129</v>
      </c>
      <c r="E31" s="16">
        <v>161.0</v>
      </c>
      <c r="F31" s="23">
        <v>0.0</v>
      </c>
      <c r="G31" s="23">
        <v>0.0</v>
      </c>
      <c r="H31" s="16">
        <v>6.0</v>
      </c>
      <c r="I31" s="16">
        <v>5.0</v>
      </c>
      <c r="J31" s="16">
        <v>12.0</v>
      </c>
      <c r="K31" s="16">
        <v>31.0</v>
      </c>
      <c r="L31" s="16">
        <v>60.0</v>
      </c>
      <c r="M31" s="16">
        <v>3.0</v>
      </c>
      <c r="N31" s="16">
        <v>12.0</v>
      </c>
      <c r="O31" s="22" t="s">
        <v>145</v>
      </c>
      <c r="P31" s="12"/>
      <c r="Q31" s="12"/>
      <c r="R31" s="12"/>
      <c r="S31" s="12"/>
    </row>
    <row r="32" ht="12.75" customHeight="1">
      <c r="A32" s="18" t="s">
        <v>172</v>
      </c>
      <c r="B32" s="19" t="s">
        <v>173</v>
      </c>
      <c r="C32" s="13">
        <f t="shared" si="3"/>
        <v>16</v>
      </c>
      <c r="D32" s="16">
        <f t="shared" si="4"/>
        <v>130</v>
      </c>
      <c r="E32" s="16">
        <v>161.0</v>
      </c>
      <c r="F32" s="16">
        <v>0.0</v>
      </c>
      <c r="G32" s="16">
        <v>3.0</v>
      </c>
      <c r="H32" s="16">
        <v>2.0</v>
      </c>
      <c r="I32" s="16">
        <v>10.0</v>
      </c>
      <c r="J32" s="16">
        <v>8.0</v>
      </c>
      <c r="K32" s="16">
        <v>39.0</v>
      </c>
      <c r="L32" s="16">
        <v>54.0</v>
      </c>
      <c r="M32" s="16">
        <v>2.0</v>
      </c>
      <c r="N32" s="16">
        <v>12.0</v>
      </c>
      <c r="O32" s="22" t="s">
        <v>174</v>
      </c>
      <c r="P32" s="12"/>
      <c r="Q32" s="12"/>
      <c r="R32" s="12"/>
      <c r="S32" s="12"/>
    </row>
    <row r="33" ht="12.75" customHeight="1">
      <c r="A33" s="18" t="s">
        <v>175</v>
      </c>
      <c r="B33" s="19" t="s">
        <v>176</v>
      </c>
      <c r="C33" s="13">
        <f t="shared" si="3"/>
        <v>16</v>
      </c>
      <c r="D33" s="16">
        <f t="shared" si="4"/>
        <v>132</v>
      </c>
      <c r="E33" s="16">
        <v>161.0</v>
      </c>
      <c r="F33" s="16">
        <v>1.0</v>
      </c>
      <c r="G33" s="16">
        <v>4.0</v>
      </c>
      <c r="H33" s="16">
        <v>6.0</v>
      </c>
      <c r="I33" s="16">
        <v>5.0</v>
      </c>
      <c r="J33" s="16">
        <v>12.0</v>
      </c>
      <c r="K33" s="16">
        <v>40.0</v>
      </c>
      <c r="L33" s="16">
        <v>44.0</v>
      </c>
      <c r="M33" s="16">
        <v>3.0</v>
      </c>
      <c r="N33" s="16">
        <v>17.0</v>
      </c>
      <c r="O33" s="22" t="s">
        <v>176</v>
      </c>
      <c r="P33" s="12"/>
      <c r="Q33" s="12"/>
      <c r="R33" s="12"/>
      <c r="S33" s="12"/>
    </row>
    <row r="34" ht="12.75" customHeight="1">
      <c r="A34" s="18" t="s">
        <v>177</v>
      </c>
      <c r="B34" s="19" t="s">
        <v>178</v>
      </c>
      <c r="C34" s="13">
        <f t="shared" si="3"/>
        <v>16</v>
      </c>
      <c r="D34" s="16">
        <f t="shared" si="4"/>
        <v>130</v>
      </c>
      <c r="E34" s="16">
        <v>161.0</v>
      </c>
      <c r="F34" s="16">
        <v>0.0</v>
      </c>
      <c r="G34" s="16">
        <v>8.0</v>
      </c>
      <c r="H34" s="16">
        <v>6.0</v>
      </c>
      <c r="I34" s="16">
        <v>4.0</v>
      </c>
      <c r="J34" s="16">
        <v>12.0</v>
      </c>
      <c r="K34" s="16">
        <v>32.0</v>
      </c>
      <c r="L34" s="16">
        <v>47.0</v>
      </c>
      <c r="M34" s="16">
        <v>3.0</v>
      </c>
      <c r="N34" s="16">
        <v>18.0</v>
      </c>
      <c r="O34" s="22" t="s">
        <v>178</v>
      </c>
      <c r="P34" s="12"/>
      <c r="Q34" s="12"/>
      <c r="R34" s="12"/>
      <c r="S34" s="12"/>
    </row>
    <row r="35" ht="12.75" customHeight="1">
      <c r="A35" s="18" t="s">
        <v>179</v>
      </c>
      <c r="B35" s="19" t="s">
        <v>180</v>
      </c>
      <c r="C35" s="13">
        <f t="shared" si="3"/>
        <v>16</v>
      </c>
      <c r="D35" s="16">
        <f t="shared" si="4"/>
        <v>130</v>
      </c>
      <c r="E35" s="16">
        <v>161.0</v>
      </c>
      <c r="F35" s="16">
        <v>1.0</v>
      </c>
      <c r="G35" s="16">
        <v>4.0</v>
      </c>
      <c r="H35" s="16">
        <v>6.0</v>
      </c>
      <c r="I35" s="16">
        <v>5.0</v>
      </c>
      <c r="J35" s="16">
        <v>0.0</v>
      </c>
      <c r="K35" s="16">
        <v>39.0</v>
      </c>
      <c r="L35" s="16">
        <v>55.0</v>
      </c>
      <c r="M35" s="16">
        <v>3.0</v>
      </c>
      <c r="N35" s="16">
        <v>17.0</v>
      </c>
      <c r="O35" s="22" t="s">
        <v>180</v>
      </c>
      <c r="P35" s="12"/>
      <c r="Q35" s="12"/>
      <c r="R35" s="12"/>
      <c r="S35" s="12"/>
    </row>
    <row r="36" ht="12.75" customHeight="1">
      <c r="A36" s="18" t="s">
        <v>181</v>
      </c>
      <c r="B36" s="19" t="s">
        <v>182</v>
      </c>
      <c r="C36" s="13">
        <f t="shared" si="3"/>
        <v>16.5</v>
      </c>
      <c r="D36" s="16">
        <f t="shared" si="4"/>
        <v>135</v>
      </c>
      <c r="E36" s="16">
        <v>161.0</v>
      </c>
      <c r="F36" s="16">
        <v>1.0</v>
      </c>
      <c r="G36" s="16">
        <v>0.0</v>
      </c>
      <c r="H36" s="16">
        <v>6.0</v>
      </c>
      <c r="I36" s="16">
        <v>0.0</v>
      </c>
      <c r="J36" s="16">
        <v>12.0</v>
      </c>
      <c r="K36" s="16">
        <v>40.0</v>
      </c>
      <c r="L36" s="16">
        <v>58.0</v>
      </c>
      <c r="M36" s="16">
        <v>6.0</v>
      </c>
      <c r="N36" s="16">
        <v>12.0</v>
      </c>
      <c r="O36" s="22" t="s">
        <v>182</v>
      </c>
      <c r="P36" s="12"/>
      <c r="Q36" s="12"/>
      <c r="R36" s="12"/>
      <c r="S36" s="12"/>
    </row>
    <row r="37" ht="12.75" customHeight="1">
      <c r="A37" s="18" t="s">
        <v>183</v>
      </c>
      <c r="B37" s="19" t="s">
        <v>184</v>
      </c>
      <c r="C37" s="13">
        <f t="shared" si="3"/>
        <v>16.5</v>
      </c>
      <c r="D37" s="16">
        <f t="shared" si="4"/>
        <v>135</v>
      </c>
      <c r="E37" s="16">
        <v>161.0</v>
      </c>
      <c r="F37" s="16">
        <v>1.0</v>
      </c>
      <c r="G37" s="16">
        <v>8.0</v>
      </c>
      <c r="H37" s="16">
        <v>6.0</v>
      </c>
      <c r="I37" s="16">
        <v>5.0</v>
      </c>
      <c r="J37" s="16">
        <v>12.0</v>
      </c>
      <c r="K37" s="16">
        <v>22.0</v>
      </c>
      <c r="L37" s="16">
        <v>59.0</v>
      </c>
      <c r="M37" s="16">
        <v>5.0</v>
      </c>
      <c r="N37" s="16">
        <v>17.0</v>
      </c>
      <c r="O37" s="22" t="s">
        <v>184</v>
      </c>
      <c r="P37" s="12"/>
      <c r="Q37" s="12"/>
      <c r="R37" s="12"/>
      <c r="S37" s="12"/>
    </row>
    <row r="38" ht="12.75" customHeight="1">
      <c r="A38" s="18" t="s">
        <v>185</v>
      </c>
      <c r="B38" s="19" t="s">
        <v>186</v>
      </c>
      <c r="C38" s="13">
        <f t="shared" si="3"/>
        <v>16.5</v>
      </c>
      <c r="D38" s="16">
        <f t="shared" si="4"/>
        <v>133</v>
      </c>
      <c r="E38" s="16">
        <v>161.0</v>
      </c>
      <c r="F38" s="16">
        <v>1.0</v>
      </c>
      <c r="G38" s="16">
        <v>4.0</v>
      </c>
      <c r="H38" s="16">
        <v>6.0</v>
      </c>
      <c r="I38" s="16">
        <v>0.0</v>
      </c>
      <c r="J38" s="16">
        <v>12.0</v>
      </c>
      <c r="K38" s="16">
        <v>39.0</v>
      </c>
      <c r="L38" s="16">
        <v>48.0</v>
      </c>
      <c r="M38" s="16">
        <v>6.0</v>
      </c>
      <c r="N38" s="16">
        <v>17.0</v>
      </c>
      <c r="O38" s="22" t="s">
        <v>187</v>
      </c>
      <c r="P38" s="12"/>
      <c r="Q38" s="12"/>
      <c r="R38" s="12"/>
      <c r="S38" s="12"/>
    </row>
    <row r="39" ht="12.75" customHeight="1">
      <c r="A39" s="18" t="s">
        <v>188</v>
      </c>
      <c r="B39" s="19" t="s">
        <v>189</v>
      </c>
      <c r="C39" s="13">
        <f t="shared" si="3"/>
        <v>16.5</v>
      </c>
      <c r="D39" s="16">
        <f t="shared" si="4"/>
        <v>135</v>
      </c>
      <c r="E39" s="16">
        <v>161.0</v>
      </c>
      <c r="F39" s="16">
        <v>0.0</v>
      </c>
      <c r="G39" s="16">
        <v>3.0</v>
      </c>
      <c r="H39" s="16">
        <v>6.0</v>
      </c>
      <c r="I39" s="16">
        <v>0.0</v>
      </c>
      <c r="J39" s="16">
        <v>8.0</v>
      </c>
      <c r="K39" s="16">
        <v>38.0</v>
      </c>
      <c r="L39" s="16">
        <v>60.0</v>
      </c>
      <c r="M39" s="16">
        <v>3.0</v>
      </c>
      <c r="N39" s="16">
        <v>17.0</v>
      </c>
      <c r="O39" s="22" t="s">
        <v>189</v>
      </c>
      <c r="P39" s="12"/>
      <c r="Q39" s="12"/>
      <c r="R39" s="12"/>
      <c r="S39" s="12"/>
    </row>
    <row r="40" ht="12.75" customHeight="1">
      <c r="A40" s="18" t="s">
        <v>190</v>
      </c>
      <c r="B40" s="19" t="s">
        <v>191</v>
      </c>
      <c r="C40" s="13">
        <f t="shared" si="3"/>
        <v>17</v>
      </c>
      <c r="D40" s="16">
        <f t="shared" si="4"/>
        <v>140</v>
      </c>
      <c r="E40" s="16">
        <v>161.0</v>
      </c>
      <c r="F40" s="16">
        <v>1.0</v>
      </c>
      <c r="G40" s="16">
        <v>8.0</v>
      </c>
      <c r="H40" s="16">
        <v>6.0</v>
      </c>
      <c r="I40" s="16">
        <v>10.0</v>
      </c>
      <c r="J40" s="16">
        <v>12.0</v>
      </c>
      <c r="K40" s="16">
        <v>40.0</v>
      </c>
      <c r="L40" s="16">
        <v>48.0</v>
      </c>
      <c r="M40" s="16">
        <v>3.0</v>
      </c>
      <c r="N40" s="16">
        <v>12.0</v>
      </c>
      <c r="O40" s="22" t="s">
        <v>191</v>
      </c>
      <c r="P40" s="12"/>
      <c r="Q40" s="12"/>
      <c r="R40" s="12"/>
      <c r="S40" s="12"/>
    </row>
    <row r="41" ht="12.75" customHeight="1">
      <c r="A41" s="18" t="s">
        <v>192</v>
      </c>
      <c r="B41" s="19" t="s">
        <v>193</v>
      </c>
      <c r="C41" s="13">
        <f t="shared" si="3"/>
        <v>17</v>
      </c>
      <c r="D41" s="16">
        <f t="shared" si="4"/>
        <v>140</v>
      </c>
      <c r="E41" s="16">
        <v>161.0</v>
      </c>
      <c r="F41" s="16">
        <v>0.0</v>
      </c>
      <c r="G41" s="16">
        <v>0.0</v>
      </c>
      <c r="H41" s="16">
        <v>3.0</v>
      </c>
      <c r="I41" s="16">
        <v>10.0</v>
      </c>
      <c r="J41" s="16">
        <v>8.0</v>
      </c>
      <c r="K41" s="16">
        <v>39.0</v>
      </c>
      <c r="L41" s="16">
        <v>60.0</v>
      </c>
      <c r="M41" s="16">
        <v>3.0</v>
      </c>
      <c r="N41" s="16">
        <v>17.0</v>
      </c>
      <c r="O41" s="22" t="s">
        <v>193</v>
      </c>
      <c r="P41" s="12"/>
      <c r="Q41" s="12"/>
      <c r="R41" s="12"/>
      <c r="S41" s="12"/>
    </row>
    <row r="42" ht="12.75" customHeight="1">
      <c r="A42" s="18" t="s">
        <v>194</v>
      </c>
      <c r="B42" s="19" t="s">
        <v>195</v>
      </c>
      <c r="C42" s="13">
        <f t="shared" si="3"/>
        <v>17</v>
      </c>
      <c r="D42" s="16">
        <f t="shared" si="4"/>
        <v>139</v>
      </c>
      <c r="E42" s="16">
        <v>161.0</v>
      </c>
      <c r="F42" s="16">
        <v>1.0</v>
      </c>
      <c r="G42" s="16">
        <v>4.0</v>
      </c>
      <c r="H42" s="16">
        <v>6.0</v>
      </c>
      <c r="I42" s="16">
        <v>0.0</v>
      </c>
      <c r="J42" s="16">
        <v>12.0</v>
      </c>
      <c r="K42" s="16">
        <v>40.0</v>
      </c>
      <c r="L42" s="16">
        <v>56.0</v>
      </c>
      <c r="M42" s="16">
        <v>3.0</v>
      </c>
      <c r="N42" s="16">
        <v>17.0</v>
      </c>
      <c r="O42" s="22" t="s">
        <v>195</v>
      </c>
      <c r="P42" s="12"/>
      <c r="Q42" s="12"/>
      <c r="R42" s="12"/>
      <c r="S42" s="12"/>
    </row>
    <row r="43" ht="12.75" customHeight="1">
      <c r="A43" s="18" t="s">
        <v>196</v>
      </c>
      <c r="B43" s="19" t="s">
        <v>197</v>
      </c>
      <c r="C43" s="13">
        <f t="shared" si="3"/>
        <v>17.5</v>
      </c>
      <c r="D43" s="16">
        <f t="shared" si="4"/>
        <v>141</v>
      </c>
      <c r="E43" s="16">
        <v>161.0</v>
      </c>
      <c r="F43" s="16">
        <v>1.0</v>
      </c>
      <c r="G43" s="16">
        <v>8.0</v>
      </c>
      <c r="H43" s="16">
        <v>6.0</v>
      </c>
      <c r="I43" s="16">
        <v>10.0</v>
      </c>
      <c r="J43" s="16">
        <v>12.0</v>
      </c>
      <c r="K43" s="16">
        <v>24.0</v>
      </c>
      <c r="L43" s="16">
        <v>60.0</v>
      </c>
      <c r="M43" s="16">
        <v>3.0</v>
      </c>
      <c r="N43" s="16">
        <v>17.0</v>
      </c>
      <c r="O43" s="22" t="s">
        <v>197</v>
      </c>
      <c r="P43" s="12"/>
      <c r="Q43" s="12"/>
      <c r="R43" s="12"/>
      <c r="S43" s="12"/>
    </row>
    <row r="44" ht="12.75" customHeight="1">
      <c r="A44" s="18" t="s">
        <v>198</v>
      </c>
      <c r="B44" s="19" t="s">
        <v>199</v>
      </c>
      <c r="C44" s="13">
        <f t="shared" si="3"/>
        <v>17.5</v>
      </c>
      <c r="D44" s="16">
        <f t="shared" si="4"/>
        <v>141</v>
      </c>
      <c r="E44" s="16">
        <v>161.0</v>
      </c>
      <c r="F44" s="16">
        <v>0.0</v>
      </c>
      <c r="G44" s="16">
        <v>8.0</v>
      </c>
      <c r="H44" s="16">
        <v>6.0</v>
      </c>
      <c r="I44" s="16">
        <v>4.0</v>
      </c>
      <c r="J44" s="16">
        <v>8.0</v>
      </c>
      <c r="K44" s="16">
        <v>40.0</v>
      </c>
      <c r="L44" s="16">
        <v>60.0</v>
      </c>
      <c r="M44" s="16">
        <v>3.0</v>
      </c>
      <c r="N44" s="16">
        <v>12.0</v>
      </c>
      <c r="O44" s="22" t="s">
        <v>199</v>
      </c>
      <c r="P44" s="12"/>
      <c r="Q44" s="12"/>
      <c r="R44" s="12"/>
      <c r="S44" s="12"/>
    </row>
    <row r="45" ht="12.75" customHeight="1">
      <c r="A45" s="18" t="s">
        <v>200</v>
      </c>
      <c r="B45" s="19" t="s">
        <v>201</v>
      </c>
      <c r="C45" s="13">
        <f t="shared" si="3"/>
        <v>17.5</v>
      </c>
      <c r="D45" s="16">
        <f t="shared" si="4"/>
        <v>143</v>
      </c>
      <c r="E45" s="16">
        <v>161.0</v>
      </c>
      <c r="F45" s="16">
        <v>0.0</v>
      </c>
      <c r="G45" s="16">
        <v>8.0</v>
      </c>
      <c r="H45" s="16">
        <v>6.0</v>
      </c>
      <c r="I45" s="16">
        <v>0.0</v>
      </c>
      <c r="J45" s="16">
        <v>12.0</v>
      </c>
      <c r="K45" s="16">
        <v>40.0</v>
      </c>
      <c r="L45" s="16">
        <v>58.0</v>
      </c>
      <c r="M45" s="16">
        <v>2.0</v>
      </c>
      <c r="N45" s="16">
        <v>17.0</v>
      </c>
      <c r="O45" s="22" t="s">
        <v>201</v>
      </c>
      <c r="P45" s="12"/>
      <c r="Q45" s="12"/>
      <c r="R45" s="12"/>
      <c r="S45" s="12"/>
    </row>
    <row r="46" ht="12.75" customHeight="1">
      <c r="A46" s="18" t="s">
        <v>202</v>
      </c>
      <c r="B46" s="19" t="s">
        <v>203</v>
      </c>
      <c r="C46" s="13">
        <f t="shared" si="3"/>
        <v>17.5</v>
      </c>
      <c r="D46" s="16">
        <f t="shared" si="4"/>
        <v>142</v>
      </c>
      <c r="E46" s="16">
        <v>161.0</v>
      </c>
      <c r="F46" s="16">
        <v>1.0</v>
      </c>
      <c r="G46" s="16">
        <v>8.0</v>
      </c>
      <c r="H46" s="16">
        <v>2.0</v>
      </c>
      <c r="I46" s="16">
        <v>5.0</v>
      </c>
      <c r="J46" s="16">
        <v>12.0</v>
      </c>
      <c r="K46" s="16">
        <v>39.0</v>
      </c>
      <c r="L46" s="16">
        <v>60.0</v>
      </c>
      <c r="M46" s="16">
        <v>3.0</v>
      </c>
      <c r="N46" s="16">
        <v>12.0</v>
      </c>
      <c r="O46" s="22" t="s">
        <v>203</v>
      </c>
      <c r="P46" s="12"/>
      <c r="Q46" s="12"/>
      <c r="R46" s="12"/>
      <c r="S46" s="12"/>
    </row>
    <row r="47" ht="12.75" customHeight="1">
      <c r="A47" s="18" t="s">
        <v>204</v>
      </c>
      <c r="B47" s="19" t="s">
        <v>205</v>
      </c>
      <c r="C47" s="13">
        <f t="shared" si="3"/>
        <v>17.5</v>
      </c>
      <c r="D47" s="16">
        <f t="shared" si="4"/>
        <v>144</v>
      </c>
      <c r="E47" s="16">
        <v>161.0</v>
      </c>
      <c r="F47" s="16">
        <v>1.0</v>
      </c>
      <c r="G47" s="16">
        <v>4.0</v>
      </c>
      <c r="H47" s="16">
        <v>6.0</v>
      </c>
      <c r="I47" s="16">
        <v>0.0</v>
      </c>
      <c r="J47" s="16">
        <v>12.0</v>
      </c>
      <c r="K47" s="16">
        <v>39.0</v>
      </c>
      <c r="L47" s="16">
        <v>59.0</v>
      </c>
      <c r="M47" s="16">
        <v>6.0</v>
      </c>
      <c r="N47" s="16">
        <v>17.0</v>
      </c>
      <c r="O47" s="22" t="s">
        <v>205</v>
      </c>
      <c r="P47" s="12"/>
      <c r="Q47" s="12"/>
      <c r="R47" s="12"/>
      <c r="S47" s="12"/>
    </row>
    <row r="48" ht="12.75" customHeight="1">
      <c r="A48" s="18" t="s">
        <v>206</v>
      </c>
      <c r="B48" s="19" t="s">
        <v>207</v>
      </c>
      <c r="C48" s="13">
        <f t="shared" si="3"/>
        <v>17.5</v>
      </c>
      <c r="D48" s="16">
        <f t="shared" si="4"/>
        <v>142</v>
      </c>
      <c r="E48" s="16">
        <v>161.0</v>
      </c>
      <c r="F48" s="16">
        <v>1.0</v>
      </c>
      <c r="G48" s="16">
        <v>4.0</v>
      </c>
      <c r="H48" s="16">
        <v>6.0</v>
      </c>
      <c r="I48" s="16">
        <v>10.0</v>
      </c>
      <c r="J48" s="16">
        <v>12.0</v>
      </c>
      <c r="K48" s="16">
        <v>40.0</v>
      </c>
      <c r="L48" s="16">
        <v>60.0</v>
      </c>
      <c r="M48" s="16">
        <v>3.0</v>
      </c>
      <c r="N48" s="16">
        <v>6.0</v>
      </c>
      <c r="O48" s="22" t="s">
        <v>208</v>
      </c>
      <c r="P48" s="12"/>
      <c r="Q48" s="12"/>
      <c r="R48" s="12"/>
      <c r="S48" s="12"/>
    </row>
    <row r="49" ht="12.75" customHeight="1">
      <c r="A49" s="18" t="s">
        <v>209</v>
      </c>
      <c r="B49" s="19" t="s">
        <v>210</v>
      </c>
      <c r="C49" s="13">
        <f t="shared" si="3"/>
        <v>17.5</v>
      </c>
      <c r="D49" s="16">
        <f t="shared" si="4"/>
        <v>144</v>
      </c>
      <c r="E49" s="16">
        <v>161.0</v>
      </c>
      <c r="F49" s="16">
        <v>0.0</v>
      </c>
      <c r="G49" s="16">
        <v>4.0</v>
      </c>
      <c r="H49" s="16">
        <v>6.0</v>
      </c>
      <c r="I49" s="16">
        <v>5.0</v>
      </c>
      <c r="J49" s="16">
        <v>12.0</v>
      </c>
      <c r="K49" s="16">
        <v>39.0</v>
      </c>
      <c r="L49" s="16">
        <v>58.0</v>
      </c>
      <c r="M49" s="16">
        <v>3.0</v>
      </c>
      <c r="N49" s="16">
        <v>17.0</v>
      </c>
      <c r="O49" s="22" t="s">
        <v>211</v>
      </c>
      <c r="P49" s="12"/>
      <c r="Q49" s="12"/>
      <c r="R49" s="12"/>
      <c r="S49" s="12"/>
    </row>
    <row r="50" ht="12.75" customHeight="1">
      <c r="A50" s="18" t="s">
        <v>212</v>
      </c>
      <c r="B50" s="19" t="s">
        <v>213</v>
      </c>
      <c r="C50" s="13">
        <f t="shared" si="3"/>
        <v>17.5</v>
      </c>
      <c r="D50" s="16">
        <f t="shared" si="4"/>
        <v>143</v>
      </c>
      <c r="E50" s="16">
        <v>161.0</v>
      </c>
      <c r="F50" s="16">
        <v>0.0</v>
      </c>
      <c r="G50" s="16">
        <v>4.0</v>
      </c>
      <c r="H50" s="16">
        <v>6.0</v>
      </c>
      <c r="I50" s="16">
        <v>0.0</v>
      </c>
      <c r="J50" s="16">
        <v>12.0</v>
      </c>
      <c r="K50" s="16">
        <v>40.0</v>
      </c>
      <c r="L50" s="16">
        <v>60.0</v>
      </c>
      <c r="M50" s="16">
        <v>3.0</v>
      </c>
      <c r="N50" s="16">
        <v>18.0</v>
      </c>
      <c r="O50" s="22" t="s">
        <v>145</v>
      </c>
      <c r="P50" s="12"/>
      <c r="Q50" s="12"/>
      <c r="R50" s="12"/>
      <c r="S50" s="12"/>
    </row>
    <row r="51" ht="12.75" customHeight="1">
      <c r="A51" s="18" t="s">
        <v>214</v>
      </c>
      <c r="B51" s="19" t="s">
        <v>215</v>
      </c>
      <c r="C51" s="13">
        <f t="shared" si="3"/>
        <v>17.5</v>
      </c>
      <c r="D51" s="16">
        <f t="shared" si="4"/>
        <v>142</v>
      </c>
      <c r="E51" s="16">
        <v>161.0</v>
      </c>
      <c r="F51" s="16">
        <v>1.0</v>
      </c>
      <c r="G51" s="16">
        <v>8.0</v>
      </c>
      <c r="H51" s="16">
        <v>6.0</v>
      </c>
      <c r="I51" s="16">
        <v>10.0</v>
      </c>
      <c r="J51" s="16">
        <v>12.0</v>
      </c>
      <c r="K51" s="16">
        <v>31.0</v>
      </c>
      <c r="L51" s="16">
        <v>54.0</v>
      </c>
      <c r="M51" s="16">
        <v>3.0</v>
      </c>
      <c r="N51" s="16">
        <v>17.0</v>
      </c>
      <c r="O51" s="22" t="s">
        <v>216</v>
      </c>
      <c r="P51" s="12"/>
      <c r="Q51" s="12"/>
      <c r="R51" s="12"/>
      <c r="S51" s="12"/>
    </row>
    <row r="52" ht="12.75" customHeight="1">
      <c r="A52" s="18" t="s">
        <v>217</v>
      </c>
      <c r="B52" s="19" t="s">
        <v>218</v>
      </c>
      <c r="C52" s="13">
        <f t="shared" si="3"/>
        <v>17.5</v>
      </c>
      <c r="D52" s="16">
        <f t="shared" si="4"/>
        <v>141</v>
      </c>
      <c r="E52" s="16">
        <v>161.0</v>
      </c>
      <c r="F52" s="16">
        <v>1.0</v>
      </c>
      <c r="G52" s="16">
        <v>4.0</v>
      </c>
      <c r="H52" s="16">
        <v>6.0</v>
      </c>
      <c r="I52" s="16">
        <v>4.0</v>
      </c>
      <c r="J52" s="16">
        <v>12.0</v>
      </c>
      <c r="K52" s="16">
        <v>39.0</v>
      </c>
      <c r="L52" s="16">
        <v>60.0</v>
      </c>
      <c r="M52" s="16">
        <v>3.0</v>
      </c>
      <c r="N52" s="16">
        <v>12.0</v>
      </c>
      <c r="O52" s="22" t="s">
        <v>219</v>
      </c>
      <c r="P52" s="12"/>
      <c r="Q52" s="12"/>
      <c r="R52" s="12"/>
      <c r="S52" s="12"/>
    </row>
    <row r="53" ht="12.75" customHeight="1">
      <c r="A53" s="18" t="s">
        <v>220</v>
      </c>
      <c r="B53" s="19" t="s">
        <v>221</v>
      </c>
      <c r="C53" s="13">
        <f t="shared" si="3"/>
        <v>17.5</v>
      </c>
      <c r="D53" s="16">
        <f t="shared" si="4"/>
        <v>142</v>
      </c>
      <c r="E53" s="16">
        <v>161.0</v>
      </c>
      <c r="F53" s="16">
        <v>1.0</v>
      </c>
      <c r="G53" s="16">
        <v>4.0</v>
      </c>
      <c r="H53" s="16">
        <v>6.0</v>
      </c>
      <c r="I53" s="16">
        <v>5.0</v>
      </c>
      <c r="J53" s="16">
        <v>12.0</v>
      </c>
      <c r="K53" s="16">
        <v>40.0</v>
      </c>
      <c r="L53" s="16">
        <v>57.0</v>
      </c>
      <c r="M53" s="16">
        <v>0.0</v>
      </c>
      <c r="N53" s="16">
        <v>17.0</v>
      </c>
      <c r="O53" s="22" t="s">
        <v>222</v>
      </c>
      <c r="P53" s="12"/>
      <c r="Q53" s="12"/>
      <c r="R53" s="12"/>
      <c r="S53" s="12"/>
    </row>
    <row r="54" ht="12.75" customHeight="1">
      <c r="A54" s="18" t="s">
        <v>223</v>
      </c>
      <c r="B54" s="19" t="s">
        <v>224</v>
      </c>
      <c r="C54" s="13">
        <f t="shared" si="3"/>
        <v>18</v>
      </c>
      <c r="D54" s="16">
        <f t="shared" si="4"/>
        <v>147</v>
      </c>
      <c r="E54" s="16">
        <v>161.0</v>
      </c>
      <c r="F54" s="16">
        <v>1.0</v>
      </c>
      <c r="G54" s="16">
        <v>8.0</v>
      </c>
      <c r="H54" s="16">
        <v>6.0</v>
      </c>
      <c r="I54" s="16">
        <v>10.0</v>
      </c>
      <c r="J54" s="16">
        <v>12.0</v>
      </c>
      <c r="K54" s="16">
        <v>32.0</v>
      </c>
      <c r="L54" s="16">
        <v>60.0</v>
      </c>
      <c r="M54" s="16">
        <v>6.0</v>
      </c>
      <c r="N54" s="16">
        <v>12.0</v>
      </c>
      <c r="O54" s="22" t="s">
        <v>224</v>
      </c>
      <c r="P54" s="12"/>
      <c r="Q54" s="12"/>
      <c r="R54" s="12"/>
      <c r="S54" s="12"/>
    </row>
    <row r="55" ht="12.75" customHeight="1">
      <c r="A55" s="18" t="s">
        <v>226</v>
      </c>
      <c r="B55" s="19" t="s">
        <v>227</v>
      </c>
      <c r="C55" s="13">
        <f t="shared" si="3"/>
        <v>18</v>
      </c>
      <c r="D55" s="16">
        <f t="shared" si="4"/>
        <v>146</v>
      </c>
      <c r="E55" s="16">
        <v>161.0</v>
      </c>
      <c r="F55" s="16">
        <v>1.0</v>
      </c>
      <c r="G55" s="16">
        <v>8.0</v>
      </c>
      <c r="H55" s="16">
        <v>6.0</v>
      </c>
      <c r="I55" s="16">
        <v>10.0</v>
      </c>
      <c r="J55" s="16">
        <v>12.0</v>
      </c>
      <c r="K55" s="16">
        <v>32.0</v>
      </c>
      <c r="L55" s="16">
        <v>56.0</v>
      </c>
      <c r="M55" s="16">
        <v>3.0</v>
      </c>
      <c r="N55" s="16">
        <v>18.0</v>
      </c>
      <c r="O55" s="22" t="s">
        <v>227</v>
      </c>
      <c r="P55" s="12"/>
      <c r="Q55" s="12"/>
      <c r="R55" s="12"/>
      <c r="S55" s="12"/>
    </row>
    <row r="56" ht="12.75" customHeight="1">
      <c r="A56" s="18" t="s">
        <v>229</v>
      </c>
      <c r="B56" s="19" t="s">
        <v>230</v>
      </c>
      <c r="C56" s="13">
        <f t="shared" si="3"/>
        <v>18</v>
      </c>
      <c r="D56" s="16">
        <f t="shared" si="4"/>
        <v>148</v>
      </c>
      <c r="E56" s="16">
        <v>161.0</v>
      </c>
      <c r="F56" s="16">
        <v>1.0</v>
      </c>
      <c r="G56" s="16">
        <v>4.0</v>
      </c>
      <c r="H56" s="16">
        <v>6.0</v>
      </c>
      <c r="I56" s="16">
        <v>10.0</v>
      </c>
      <c r="J56" s="16">
        <v>12.0</v>
      </c>
      <c r="K56" s="16">
        <v>32.0</v>
      </c>
      <c r="L56" s="16">
        <v>60.0</v>
      </c>
      <c r="M56" s="16">
        <v>6.0</v>
      </c>
      <c r="N56" s="16">
        <v>17.0</v>
      </c>
      <c r="O56" s="22" t="s">
        <v>230</v>
      </c>
      <c r="P56" s="12"/>
      <c r="Q56" s="12"/>
      <c r="R56" s="12"/>
      <c r="S56" s="12"/>
    </row>
    <row r="57" ht="12.75" customHeight="1">
      <c r="A57" s="18" t="s">
        <v>231</v>
      </c>
      <c r="B57" s="19" t="s">
        <v>232</v>
      </c>
      <c r="C57" s="13">
        <f t="shared" si="3"/>
        <v>18</v>
      </c>
      <c r="D57" s="16">
        <f t="shared" si="4"/>
        <v>147</v>
      </c>
      <c r="E57" s="16">
        <v>161.0</v>
      </c>
      <c r="F57" s="16">
        <v>1.0</v>
      </c>
      <c r="G57" s="16">
        <v>8.0</v>
      </c>
      <c r="H57" s="16">
        <v>6.0</v>
      </c>
      <c r="I57" s="16">
        <v>0.0</v>
      </c>
      <c r="J57" s="16">
        <v>12.0</v>
      </c>
      <c r="K57" s="16">
        <v>40.0</v>
      </c>
      <c r="L57" s="16">
        <v>60.0</v>
      </c>
      <c r="M57" s="16">
        <v>3.0</v>
      </c>
      <c r="N57" s="16">
        <v>17.0</v>
      </c>
      <c r="O57" s="22" t="s">
        <v>232</v>
      </c>
      <c r="P57" s="12"/>
      <c r="Q57" s="12"/>
      <c r="R57" s="12"/>
      <c r="S57" s="12"/>
    </row>
    <row r="58" ht="12.75" customHeight="1">
      <c r="A58" s="18" t="s">
        <v>233</v>
      </c>
      <c r="B58" s="19" t="s">
        <v>234</v>
      </c>
      <c r="C58" s="13">
        <f t="shared" si="3"/>
        <v>18</v>
      </c>
      <c r="D58" s="16">
        <f t="shared" si="4"/>
        <v>146</v>
      </c>
      <c r="E58" s="16">
        <v>161.0</v>
      </c>
      <c r="F58" s="16">
        <v>1.0</v>
      </c>
      <c r="G58" s="16">
        <v>4.0</v>
      </c>
      <c r="H58" s="16">
        <v>6.0</v>
      </c>
      <c r="I58" s="16">
        <v>4.0</v>
      </c>
      <c r="J58" s="16">
        <v>12.0</v>
      </c>
      <c r="K58" s="16">
        <v>39.0</v>
      </c>
      <c r="L58" s="16">
        <v>60.0</v>
      </c>
      <c r="M58" s="16">
        <v>3.0</v>
      </c>
      <c r="N58" s="16">
        <v>17.0</v>
      </c>
      <c r="O58" s="22" t="s">
        <v>234</v>
      </c>
      <c r="P58" s="12"/>
      <c r="Q58" s="12"/>
      <c r="R58" s="12"/>
      <c r="S58" s="12"/>
    </row>
    <row r="59" ht="12.75" customHeight="1">
      <c r="A59" s="18" t="s">
        <v>236</v>
      </c>
      <c r="B59" s="19" t="s">
        <v>237</v>
      </c>
      <c r="C59" s="13">
        <f t="shared" si="3"/>
        <v>18</v>
      </c>
      <c r="D59" s="16">
        <f t="shared" si="4"/>
        <v>147</v>
      </c>
      <c r="E59" s="16">
        <v>161.0</v>
      </c>
      <c r="F59" s="16">
        <v>1.0</v>
      </c>
      <c r="G59" s="16">
        <v>4.0</v>
      </c>
      <c r="H59" s="16">
        <v>6.0</v>
      </c>
      <c r="I59" s="16">
        <v>4.0</v>
      </c>
      <c r="J59" s="16">
        <v>12.0</v>
      </c>
      <c r="K59" s="16">
        <v>40.0</v>
      </c>
      <c r="L59" s="16">
        <v>60.0</v>
      </c>
      <c r="M59" s="16">
        <v>3.0</v>
      </c>
      <c r="N59" s="16">
        <v>17.0</v>
      </c>
      <c r="O59" s="22" t="s">
        <v>237</v>
      </c>
      <c r="P59" s="12"/>
      <c r="Q59" s="12"/>
      <c r="R59" s="12"/>
      <c r="S59" s="12"/>
    </row>
    <row r="60" ht="12.75" customHeight="1">
      <c r="A60" s="18" t="s">
        <v>238</v>
      </c>
      <c r="B60" s="19" t="s">
        <v>239</v>
      </c>
      <c r="C60" s="13">
        <f t="shared" si="3"/>
        <v>18</v>
      </c>
      <c r="D60" s="16">
        <f t="shared" si="4"/>
        <v>146</v>
      </c>
      <c r="E60" s="16">
        <v>161.0</v>
      </c>
      <c r="F60" s="16">
        <v>1.0</v>
      </c>
      <c r="G60" s="16">
        <v>4.0</v>
      </c>
      <c r="H60" s="16">
        <v>6.0</v>
      </c>
      <c r="I60" s="16">
        <v>4.0</v>
      </c>
      <c r="J60" s="16">
        <v>12.0</v>
      </c>
      <c r="K60" s="16">
        <v>39.0</v>
      </c>
      <c r="L60" s="16">
        <v>59.0</v>
      </c>
      <c r="M60" s="16">
        <v>4.0</v>
      </c>
      <c r="N60" s="16">
        <v>17.0</v>
      </c>
      <c r="O60" s="22" t="s">
        <v>239</v>
      </c>
      <c r="P60" s="12"/>
      <c r="Q60" s="12"/>
      <c r="R60" s="12"/>
      <c r="S60" s="12"/>
    </row>
    <row r="61" ht="12.75" customHeight="1">
      <c r="A61" s="18" t="s">
        <v>240</v>
      </c>
      <c r="B61" s="19" t="s">
        <v>241</v>
      </c>
      <c r="C61" s="13">
        <f t="shared" si="3"/>
        <v>18.5</v>
      </c>
      <c r="D61" s="16">
        <f t="shared" si="4"/>
        <v>152</v>
      </c>
      <c r="E61" s="16">
        <v>161.0</v>
      </c>
      <c r="F61" s="16">
        <v>1.0</v>
      </c>
      <c r="G61" s="16">
        <v>8.0</v>
      </c>
      <c r="H61" s="16">
        <v>6.0</v>
      </c>
      <c r="I61" s="16">
        <v>5.0</v>
      </c>
      <c r="J61" s="16">
        <v>12.0</v>
      </c>
      <c r="K61" s="16">
        <v>39.0</v>
      </c>
      <c r="L61" s="16">
        <v>60.0</v>
      </c>
      <c r="M61" s="16">
        <v>3.0</v>
      </c>
      <c r="N61" s="16">
        <v>18.0</v>
      </c>
      <c r="O61" s="22" t="s">
        <v>241</v>
      </c>
      <c r="P61" s="12"/>
      <c r="Q61" s="12"/>
      <c r="R61" s="12"/>
      <c r="S61" s="12"/>
    </row>
    <row r="62" ht="12.75" customHeight="1">
      <c r="A62" s="18" t="s">
        <v>242</v>
      </c>
      <c r="B62" s="19" t="s">
        <v>243</v>
      </c>
      <c r="C62" s="13">
        <f t="shared" si="3"/>
        <v>18.5</v>
      </c>
      <c r="D62" s="16">
        <f t="shared" si="4"/>
        <v>151</v>
      </c>
      <c r="E62" s="16">
        <v>161.0</v>
      </c>
      <c r="F62" s="16">
        <v>0.0</v>
      </c>
      <c r="G62" s="16">
        <v>8.0</v>
      </c>
      <c r="H62" s="16">
        <v>6.0</v>
      </c>
      <c r="I62" s="16">
        <v>10.0</v>
      </c>
      <c r="J62" s="16">
        <v>12.0</v>
      </c>
      <c r="K62" s="16">
        <v>40.0</v>
      </c>
      <c r="L62" s="16">
        <v>60.0</v>
      </c>
      <c r="M62" s="16">
        <v>3.0</v>
      </c>
      <c r="N62" s="16">
        <v>12.0</v>
      </c>
      <c r="O62" s="22" t="s">
        <v>243</v>
      </c>
      <c r="P62" s="12"/>
      <c r="Q62" s="12"/>
      <c r="R62" s="12"/>
      <c r="S62" s="12"/>
    </row>
    <row r="63" ht="12.75" customHeight="1">
      <c r="A63" s="18" t="s">
        <v>244</v>
      </c>
      <c r="B63" s="19" t="s">
        <v>245</v>
      </c>
      <c r="C63" s="13">
        <f t="shared" si="3"/>
        <v>18.5</v>
      </c>
      <c r="D63" s="16">
        <f t="shared" si="4"/>
        <v>150</v>
      </c>
      <c r="E63" s="16">
        <v>161.0</v>
      </c>
      <c r="F63" s="16">
        <v>1.0</v>
      </c>
      <c r="G63" s="16">
        <v>4.0</v>
      </c>
      <c r="H63" s="16">
        <v>6.0</v>
      </c>
      <c r="I63" s="16">
        <v>10.0</v>
      </c>
      <c r="J63" s="16">
        <v>12.0</v>
      </c>
      <c r="K63" s="16">
        <v>40.0</v>
      </c>
      <c r="L63" s="16">
        <v>60.0</v>
      </c>
      <c r="M63" s="16">
        <v>0.0</v>
      </c>
      <c r="N63" s="16">
        <v>17.0</v>
      </c>
      <c r="O63" s="22" t="s">
        <v>245</v>
      </c>
      <c r="P63" s="12"/>
      <c r="Q63" s="12"/>
      <c r="R63" s="12"/>
      <c r="S63" s="12"/>
    </row>
    <row r="64" ht="12.75" customHeight="1">
      <c r="A64" s="18" t="s">
        <v>246</v>
      </c>
      <c r="B64" s="19" t="s">
        <v>247</v>
      </c>
      <c r="C64" s="13">
        <f t="shared" si="3"/>
        <v>18.5</v>
      </c>
      <c r="D64" s="16">
        <f t="shared" si="4"/>
        <v>151</v>
      </c>
      <c r="E64" s="16">
        <v>161.0</v>
      </c>
      <c r="F64" s="16">
        <v>1.0</v>
      </c>
      <c r="G64" s="16">
        <v>4.0</v>
      </c>
      <c r="H64" s="16">
        <v>6.0</v>
      </c>
      <c r="I64" s="16">
        <v>10.0</v>
      </c>
      <c r="J64" s="16">
        <v>12.0</v>
      </c>
      <c r="K64" s="16">
        <v>40.0</v>
      </c>
      <c r="L64" s="16">
        <v>60.0</v>
      </c>
      <c r="M64" s="16">
        <v>1.0</v>
      </c>
      <c r="N64" s="16">
        <v>17.0</v>
      </c>
      <c r="O64" s="22" t="s">
        <v>247</v>
      </c>
      <c r="P64" s="12"/>
      <c r="Q64" s="12"/>
      <c r="R64" s="12"/>
      <c r="S64" s="12"/>
    </row>
    <row r="65" ht="12.75" customHeight="1">
      <c r="A65" s="18" t="s">
        <v>248</v>
      </c>
      <c r="B65" s="19" t="s">
        <v>249</v>
      </c>
      <c r="C65" s="13">
        <f t="shared" si="3"/>
        <v>18.5</v>
      </c>
      <c r="D65" s="16">
        <f t="shared" si="4"/>
        <v>152</v>
      </c>
      <c r="E65" s="16">
        <v>161.0</v>
      </c>
      <c r="F65" s="16">
        <v>1.0</v>
      </c>
      <c r="G65" s="16">
        <v>8.0</v>
      </c>
      <c r="H65" s="16">
        <v>6.0</v>
      </c>
      <c r="I65" s="16">
        <v>10.0</v>
      </c>
      <c r="J65" s="16">
        <v>12.0</v>
      </c>
      <c r="K65" s="16">
        <v>40.0</v>
      </c>
      <c r="L65" s="16">
        <v>60.0</v>
      </c>
      <c r="M65" s="16">
        <v>3.0</v>
      </c>
      <c r="N65" s="16">
        <v>12.0</v>
      </c>
      <c r="O65" s="22" t="s">
        <v>249</v>
      </c>
      <c r="P65" s="12"/>
      <c r="Q65" s="12"/>
      <c r="R65" s="12"/>
      <c r="S65" s="12"/>
    </row>
    <row r="66" ht="12.75" customHeight="1">
      <c r="A66" s="18" t="s">
        <v>250</v>
      </c>
      <c r="B66" s="19" t="s">
        <v>251</v>
      </c>
      <c r="C66" s="13">
        <f t="shared" si="3"/>
        <v>19</v>
      </c>
      <c r="D66" s="16">
        <f t="shared" si="4"/>
        <v>156</v>
      </c>
      <c r="E66" s="16">
        <v>161.0</v>
      </c>
      <c r="F66" s="16">
        <v>1.0</v>
      </c>
      <c r="G66" s="16">
        <v>8.0</v>
      </c>
      <c r="H66" s="16">
        <v>6.0</v>
      </c>
      <c r="I66" s="16">
        <v>10.0</v>
      </c>
      <c r="J66" s="16">
        <v>12.0</v>
      </c>
      <c r="K66" s="16">
        <v>39.0</v>
      </c>
      <c r="L66" s="16">
        <v>60.0</v>
      </c>
      <c r="M66" s="16">
        <v>3.0</v>
      </c>
      <c r="N66" s="16">
        <v>17.0</v>
      </c>
      <c r="O66" s="22" t="s">
        <v>251</v>
      </c>
      <c r="P66" s="12"/>
      <c r="Q66" s="12"/>
      <c r="R66" s="12"/>
      <c r="S66" s="12"/>
    </row>
    <row r="67" ht="12.75" customHeight="1">
      <c r="A67" s="18" t="s">
        <v>253</v>
      </c>
      <c r="B67" s="19" t="s">
        <v>254</v>
      </c>
      <c r="C67" s="13">
        <f t="shared" si="3"/>
        <v>19.5</v>
      </c>
      <c r="D67" s="16">
        <f t="shared" si="4"/>
        <v>159</v>
      </c>
      <c r="E67" s="16">
        <v>161.0</v>
      </c>
      <c r="F67" s="16">
        <v>1.0</v>
      </c>
      <c r="G67" s="16">
        <v>8.0</v>
      </c>
      <c r="H67" s="16">
        <v>6.0</v>
      </c>
      <c r="I67" s="16">
        <v>10.0</v>
      </c>
      <c r="J67" s="16">
        <v>12.0</v>
      </c>
      <c r="K67" s="16">
        <v>39.0</v>
      </c>
      <c r="L67" s="16">
        <v>60.0</v>
      </c>
      <c r="M67" s="16">
        <v>6.0</v>
      </c>
      <c r="N67" s="16">
        <v>17.0</v>
      </c>
      <c r="O67" s="22" t="s">
        <v>254</v>
      </c>
      <c r="P67" s="12"/>
      <c r="Q67" s="12"/>
      <c r="R67" s="12"/>
      <c r="S67" s="12"/>
    </row>
    <row r="68" ht="12.75" customHeight="1">
      <c r="A68" s="18" t="s">
        <v>255</v>
      </c>
      <c r="B68" s="19" t="s">
        <v>225</v>
      </c>
      <c r="C68" s="13">
        <f t="shared" si="3"/>
        <v>19.5</v>
      </c>
      <c r="D68" s="16">
        <f t="shared" si="4"/>
        <v>159</v>
      </c>
      <c r="E68" s="16">
        <v>161.0</v>
      </c>
      <c r="F68" s="16">
        <v>1.0</v>
      </c>
      <c r="G68" s="16">
        <v>8.0</v>
      </c>
      <c r="H68" s="16">
        <v>6.0</v>
      </c>
      <c r="I68" s="16">
        <v>10.0</v>
      </c>
      <c r="J68" s="16">
        <v>12.0</v>
      </c>
      <c r="K68" s="16">
        <v>39.0</v>
      </c>
      <c r="L68" s="16">
        <v>59.0</v>
      </c>
      <c r="M68" s="16">
        <v>6.0</v>
      </c>
      <c r="N68" s="16">
        <v>18.0</v>
      </c>
      <c r="O68" s="22" t="s">
        <v>256</v>
      </c>
      <c r="P68" s="12"/>
      <c r="Q68" s="12"/>
      <c r="R68" s="12"/>
      <c r="S68" s="12"/>
    </row>
    <row r="69" ht="12.75" customHeight="1">
      <c r="A69" s="18" t="s">
        <v>257</v>
      </c>
      <c r="B69" s="19" t="s">
        <v>228</v>
      </c>
      <c r="C69" s="13">
        <f t="shared" si="3"/>
        <v>19.5</v>
      </c>
      <c r="D69" s="16">
        <f t="shared" si="4"/>
        <v>160</v>
      </c>
      <c r="E69" s="16">
        <v>161.0</v>
      </c>
      <c r="F69" s="16">
        <v>1.0</v>
      </c>
      <c r="G69" s="16">
        <v>8.0</v>
      </c>
      <c r="H69" s="16">
        <v>6.0</v>
      </c>
      <c r="I69" s="16">
        <v>10.0</v>
      </c>
      <c r="J69" s="16">
        <v>12.0</v>
      </c>
      <c r="K69" s="16">
        <v>39.0</v>
      </c>
      <c r="L69" s="16">
        <v>60.0</v>
      </c>
      <c r="M69" s="16">
        <v>6.0</v>
      </c>
      <c r="N69" s="16">
        <v>18.0</v>
      </c>
      <c r="O69" s="22" t="s">
        <v>228</v>
      </c>
      <c r="P69" s="12"/>
      <c r="Q69" s="12"/>
      <c r="R69" s="12"/>
      <c r="S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</sheetData>
  <mergeCells count="2">
    <mergeCell ref="D2:E2"/>
    <mergeCell ref="D3:E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5.14"/>
    <col customWidth="1" min="3" max="5" width="10.86"/>
    <col customWidth="1" min="6" max="14" width="4.86"/>
    <col customWidth="1" min="15" max="15" width="10.86"/>
    <col customWidth="1" min="16" max="19" width="8.71"/>
  </cols>
  <sheetData>
    <row r="1" ht="12.75" customHeight="1">
      <c r="A1" s="8" t="s">
        <v>93</v>
      </c>
      <c r="B1" s="9" t="s">
        <v>94</v>
      </c>
      <c r="C1" s="8" t="s">
        <v>95</v>
      </c>
      <c r="D1" s="8" t="s">
        <v>96</v>
      </c>
      <c r="E1" s="8" t="s">
        <v>97</v>
      </c>
      <c r="F1" s="10" t="s">
        <v>98</v>
      </c>
      <c r="G1" s="10" t="s">
        <v>99</v>
      </c>
      <c r="H1" s="10" t="s">
        <v>100</v>
      </c>
      <c r="I1" s="10" t="s">
        <v>101</v>
      </c>
      <c r="J1" s="10" t="s">
        <v>102</v>
      </c>
      <c r="K1" s="10" t="s">
        <v>103</v>
      </c>
      <c r="L1" s="10" t="s">
        <v>104</v>
      </c>
      <c r="M1" s="10" t="s">
        <v>105</v>
      </c>
      <c r="N1" s="10" t="s">
        <v>106</v>
      </c>
      <c r="O1" s="11" t="s">
        <v>107</v>
      </c>
      <c r="P1" s="12"/>
      <c r="Q1" s="12"/>
      <c r="R1" s="12"/>
      <c r="S1" s="12"/>
    </row>
    <row r="2" ht="12.75" customHeight="1">
      <c r="A2" s="12"/>
      <c r="B2" s="12"/>
      <c r="C2" s="13">
        <v>20.0</v>
      </c>
      <c r="D2" s="14" t="s">
        <v>97</v>
      </c>
      <c r="E2" s="15"/>
      <c r="F2" s="16">
        <v>12.0</v>
      </c>
      <c r="G2" s="16">
        <v>8.0</v>
      </c>
      <c r="H2" s="16">
        <v>6.0</v>
      </c>
      <c r="I2" s="16">
        <v>12.0</v>
      </c>
      <c r="J2" s="16">
        <v>6.0</v>
      </c>
      <c r="K2" s="16">
        <v>40.0</v>
      </c>
      <c r="L2" s="16">
        <v>60.0</v>
      </c>
      <c r="M2" s="16">
        <v>4.0</v>
      </c>
      <c r="N2" s="16">
        <v>18.0</v>
      </c>
      <c r="O2" s="12"/>
      <c r="P2" s="12"/>
      <c r="Q2" s="12"/>
      <c r="R2" s="12"/>
      <c r="S2" s="12"/>
    </row>
    <row r="3" ht="12.75" customHeight="1">
      <c r="A3" s="12"/>
      <c r="B3" s="12"/>
      <c r="C3" s="13">
        <f>AVERAGE(C13:C69)</f>
        <v>18</v>
      </c>
      <c r="D3" s="14" t="s">
        <v>108</v>
      </c>
      <c r="E3" s="15"/>
      <c r="F3" s="17">
        <f t="shared" ref="F3:N3" si="1">AVERAGE(F13:F69)/F2</f>
        <v>0.9385964912</v>
      </c>
      <c r="G3" s="17">
        <f t="shared" si="1"/>
        <v>0.7105263158</v>
      </c>
      <c r="H3" s="17">
        <f t="shared" si="1"/>
        <v>0.9736842105</v>
      </c>
      <c r="I3" s="17">
        <f t="shared" si="1"/>
        <v>0.7339181287</v>
      </c>
      <c r="J3" s="17">
        <f t="shared" si="1"/>
        <v>0.9356725146</v>
      </c>
      <c r="K3" s="17">
        <f t="shared" si="1"/>
        <v>0.9254385965</v>
      </c>
      <c r="L3" s="17">
        <f t="shared" si="1"/>
        <v>0.9558479532</v>
      </c>
      <c r="M3" s="17">
        <f t="shared" si="1"/>
        <v>0.8289473684</v>
      </c>
      <c r="N3" s="17">
        <f t="shared" si="1"/>
        <v>0.9074074074</v>
      </c>
      <c r="O3" s="12"/>
      <c r="P3" s="12"/>
      <c r="Q3" s="12"/>
      <c r="R3" s="12"/>
      <c r="S3" s="12"/>
    </row>
    <row r="4" ht="12.75" customHeight="1">
      <c r="A4" s="18"/>
      <c r="B4" s="19" t="s">
        <v>123</v>
      </c>
      <c r="C4" s="20" t="s">
        <v>110</v>
      </c>
      <c r="D4" s="21">
        <f t="shared" ref="D4:D12" si="2">SUM(A4)</f>
        <v>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12"/>
      <c r="Q4" s="12"/>
      <c r="R4" s="12"/>
      <c r="S4" s="12"/>
    </row>
    <row r="5" ht="12.75" customHeight="1">
      <c r="A5" s="18"/>
      <c r="B5" s="19" t="s">
        <v>133</v>
      </c>
      <c r="C5" s="20" t="s">
        <v>110</v>
      </c>
      <c r="D5" s="21">
        <f t="shared" si="2"/>
        <v>0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12"/>
      <c r="Q5" s="12"/>
      <c r="R5" s="12"/>
      <c r="S5" s="12"/>
    </row>
    <row r="6" ht="12.75" customHeight="1">
      <c r="A6" s="18"/>
      <c r="B6" s="19" t="s">
        <v>109</v>
      </c>
      <c r="C6" s="20" t="s">
        <v>110</v>
      </c>
      <c r="D6" s="21">
        <f t="shared" si="2"/>
        <v>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12"/>
      <c r="Q6" s="12"/>
      <c r="R6" s="12"/>
      <c r="S6" s="12"/>
    </row>
    <row r="7" ht="12.75" customHeight="1">
      <c r="A7" s="18"/>
      <c r="B7" s="19" t="s">
        <v>225</v>
      </c>
      <c r="C7" s="20" t="s">
        <v>110</v>
      </c>
      <c r="D7" s="21">
        <f t="shared" si="2"/>
        <v>0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12"/>
      <c r="Q7" s="12"/>
      <c r="R7" s="12"/>
      <c r="S7" s="12"/>
    </row>
    <row r="8" ht="12.75" customHeight="1">
      <c r="A8" s="18"/>
      <c r="B8" s="19" t="s">
        <v>111</v>
      </c>
      <c r="C8" s="20" t="s">
        <v>110</v>
      </c>
      <c r="D8" s="21">
        <f t="shared" si="2"/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12"/>
      <c r="Q8" s="12"/>
      <c r="R8" s="12"/>
      <c r="S8" s="12"/>
    </row>
    <row r="9" ht="12.75" customHeight="1">
      <c r="A9" s="18"/>
      <c r="B9" s="19" t="s">
        <v>178</v>
      </c>
      <c r="C9" s="20" t="s">
        <v>110</v>
      </c>
      <c r="D9" s="21">
        <f t="shared" si="2"/>
        <v>0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12"/>
      <c r="Q9" s="12"/>
      <c r="R9" s="12"/>
      <c r="S9" s="12"/>
    </row>
    <row r="10" ht="12.75" customHeight="1">
      <c r="A10" s="18"/>
      <c r="B10" s="19" t="s">
        <v>167</v>
      </c>
      <c r="C10" s="20" t="s">
        <v>110</v>
      </c>
      <c r="D10" s="21">
        <f t="shared" si="2"/>
        <v>0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12"/>
      <c r="Q10" s="12"/>
      <c r="R10" s="12"/>
      <c r="S10" s="12"/>
    </row>
    <row r="11" ht="12.75" customHeight="1">
      <c r="A11" s="18"/>
      <c r="B11" s="19" t="s">
        <v>228</v>
      </c>
      <c r="C11" s="20" t="s">
        <v>110</v>
      </c>
      <c r="D11" s="21">
        <f t="shared" si="2"/>
        <v>0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12"/>
      <c r="Q11" s="12"/>
      <c r="R11" s="12"/>
      <c r="S11" s="12"/>
    </row>
    <row r="12" ht="12.75" customHeight="1">
      <c r="A12" s="18"/>
      <c r="B12" s="19" t="s">
        <v>112</v>
      </c>
      <c r="C12" s="20" t="s">
        <v>110</v>
      </c>
      <c r="D12" s="21">
        <f t="shared" si="2"/>
        <v>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12"/>
      <c r="Q12" s="12"/>
      <c r="R12" s="12"/>
      <c r="S12" s="12"/>
    </row>
    <row r="13" ht="12.75" customHeight="1">
      <c r="A13" s="18" t="s">
        <v>204</v>
      </c>
      <c r="B13" s="19" t="s">
        <v>128</v>
      </c>
      <c r="C13" s="13">
        <f t="shared" ref="C13:C69" si="3">IF($C$2&gt;0,MIN($C$2,ROUNDDOWN(D13/E13*$C$2/0.5,0)*0.5),ROUNDDOWN(D13/0.5,0)*0.5)</f>
        <v>11</v>
      </c>
      <c r="D13" s="16">
        <f t="shared" ref="D13:D69" si="4">SUM(F13:N13)</f>
        <v>93</v>
      </c>
      <c r="E13" s="16">
        <v>166.0</v>
      </c>
      <c r="F13" s="16">
        <v>10.0</v>
      </c>
      <c r="G13" s="16">
        <v>3.0</v>
      </c>
      <c r="H13" s="16">
        <v>5.0</v>
      </c>
      <c r="I13" s="16">
        <v>2.0</v>
      </c>
      <c r="J13" s="16">
        <v>2.0</v>
      </c>
      <c r="K13" s="16">
        <v>23.0</v>
      </c>
      <c r="L13" s="16">
        <v>30.0</v>
      </c>
      <c r="M13" s="16">
        <v>0.0</v>
      </c>
      <c r="N13" s="16">
        <v>18.0</v>
      </c>
      <c r="O13" s="22" t="s">
        <v>235</v>
      </c>
      <c r="P13" s="12"/>
      <c r="Q13" s="12"/>
      <c r="R13" s="12"/>
      <c r="S13" s="12"/>
    </row>
    <row r="14" ht="12.75" customHeight="1">
      <c r="A14" s="18" t="s">
        <v>127</v>
      </c>
      <c r="B14" s="19" t="s">
        <v>176</v>
      </c>
      <c r="C14" s="13">
        <f t="shared" si="3"/>
        <v>13</v>
      </c>
      <c r="D14" s="16">
        <f t="shared" si="4"/>
        <v>111</v>
      </c>
      <c r="E14" s="16">
        <v>166.0</v>
      </c>
      <c r="F14" s="16">
        <v>11.0</v>
      </c>
      <c r="G14" s="16">
        <v>3.0</v>
      </c>
      <c r="H14" s="16">
        <v>6.0</v>
      </c>
      <c r="I14" s="16">
        <v>3.0</v>
      </c>
      <c r="J14" s="16">
        <v>6.0</v>
      </c>
      <c r="K14" s="16">
        <v>22.0</v>
      </c>
      <c r="L14" s="16">
        <v>45.0</v>
      </c>
      <c r="M14" s="16">
        <v>4.0</v>
      </c>
      <c r="N14" s="16">
        <v>11.0</v>
      </c>
      <c r="O14" s="22" t="s">
        <v>176</v>
      </c>
      <c r="P14" s="12"/>
      <c r="Q14" s="12"/>
      <c r="R14" s="12"/>
      <c r="S14" s="12"/>
    </row>
    <row r="15" ht="12.75" customHeight="1">
      <c r="A15" s="18" t="s">
        <v>137</v>
      </c>
      <c r="B15" s="19" t="s">
        <v>173</v>
      </c>
      <c r="C15" s="13">
        <f t="shared" si="3"/>
        <v>14.5</v>
      </c>
      <c r="D15" s="16">
        <f t="shared" si="4"/>
        <v>122</v>
      </c>
      <c r="E15" s="16">
        <v>166.0</v>
      </c>
      <c r="F15" s="16">
        <v>7.0</v>
      </c>
      <c r="G15" s="16">
        <v>3.0</v>
      </c>
      <c r="H15" s="16">
        <v>6.0</v>
      </c>
      <c r="I15" s="16">
        <v>7.0</v>
      </c>
      <c r="J15" s="16">
        <v>6.0</v>
      </c>
      <c r="K15" s="16">
        <v>32.0</v>
      </c>
      <c r="L15" s="16">
        <v>56.0</v>
      </c>
      <c r="M15" s="16">
        <v>0.0</v>
      </c>
      <c r="N15" s="16">
        <v>5.0</v>
      </c>
      <c r="O15" s="22" t="s">
        <v>173</v>
      </c>
      <c r="P15" s="12"/>
      <c r="Q15" s="12"/>
      <c r="R15" s="12"/>
      <c r="S15" s="12"/>
    </row>
    <row r="16" ht="12.75" customHeight="1">
      <c r="A16" s="18" t="s">
        <v>124</v>
      </c>
      <c r="B16" s="19" t="s">
        <v>163</v>
      </c>
      <c r="C16" s="13">
        <f t="shared" si="3"/>
        <v>15</v>
      </c>
      <c r="D16" s="16">
        <f t="shared" si="4"/>
        <v>126</v>
      </c>
      <c r="E16" s="16">
        <v>166.0</v>
      </c>
      <c r="F16" s="16">
        <v>12.0</v>
      </c>
      <c r="G16" s="16">
        <v>4.0</v>
      </c>
      <c r="H16" s="16">
        <v>2.0</v>
      </c>
      <c r="I16" s="16">
        <v>8.0</v>
      </c>
      <c r="J16" s="16">
        <v>2.0</v>
      </c>
      <c r="K16" s="16">
        <v>40.0</v>
      </c>
      <c r="L16" s="16">
        <v>36.0</v>
      </c>
      <c r="M16" s="16">
        <v>4.0</v>
      </c>
      <c r="N16" s="16">
        <v>18.0</v>
      </c>
      <c r="O16" s="22" t="s">
        <v>163</v>
      </c>
      <c r="P16" s="12"/>
      <c r="Q16" s="12"/>
      <c r="R16" s="12"/>
      <c r="S16" s="12"/>
    </row>
    <row r="17" ht="12.75" customHeight="1">
      <c r="A17" s="18" t="s">
        <v>172</v>
      </c>
      <c r="B17" s="19" t="s">
        <v>150</v>
      </c>
      <c r="C17" s="13">
        <f t="shared" si="3"/>
        <v>16</v>
      </c>
      <c r="D17" s="16">
        <f t="shared" si="4"/>
        <v>136</v>
      </c>
      <c r="E17" s="16">
        <v>166.0</v>
      </c>
      <c r="F17" s="16">
        <v>12.0</v>
      </c>
      <c r="G17" s="16">
        <v>4.0</v>
      </c>
      <c r="H17" s="16">
        <v>6.0</v>
      </c>
      <c r="I17" s="16">
        <v>3.0</v>
      </c>
      <c r="J17" s="16">
        <v>6.0</v>
      </c>
      <c r="K17" s="16">
        <v>23.0</v>
      </c>
      <c r="L17" s="16">
        <v>60.0</v>
      </c>
      <c r="M17" s="16">
        <v>4.0</v>
      </c>
      <c r="N17" s="16">
        <v>18.0</v>
      </c>
      <c r="O17" s="22" t="s">
        <v>150</v>
      </c>
      <c r="P17" s="12"/>
      <c r="Q17" s="12"/>
      <c r="R17" s="12"/>
      <c r="S17" s="12"/>
    </row>
    <row r="18" ht="12.75" customHeight="1">
      <c r="A18" s="18" t="s">
        <v>223</v>
      </c>
      <c r="B18" s="19" t="s">
        <v>203</v>
      </c>
      <c r="C18" s="13">
        <f t="shared" si="3"/>
        <v>16.5</v>
      </c>
      <c r="D18" s="16">
        <f t="shared" si="4"/>
        <v>140</v>
      </c>
      <c r="E18" s="16">
        <v>166.0</v>
      </c>
      <c r="F18" s="16">
        <v>12.0</v>
      </c>
      <c r="G18" s="16">
        <v>8.0</v>
      </c>
      <c r="H18" s="16">
        <v>2.0</v>
      </c>
      <c r="I18" s="16">
        <v>12.0</v>
      </c>
      <c r="J18" s="16">
        <v>2.0</v>
      </c>
      <c r="K18" s="16">
        <v>40.0</v>
      </c>
      <c r="L18" s="16">
        <v>48.0</v>
      </c>
      <c r="M18" s="16">
        <v>4.0</v>
      </c>
      <c r="N18" s="16">
        <v>12.0</v>
      </c>
      <c r="O18" s="22" t="s">
        <v>203</v>
      </c>
      <c r="P18" s="12"/>
      <c r="Q18" s="12"/>
      <c r="R18" s="12"/>
      <c r="S18" s="12"/>
    </row>
    <row r="19" ht="12.75" customHeight="1">
      <c r="A19" s="18" t="s">
        <v>149</v>
      </c>
      <c r="B19" s="19" t="s">
        <v>125</v>
      </c>
      <c r="C19" s="13">
        <f t="shared" si="3"/>
        <v>16.5</v>
      </c>
      <c r="D19" s="16">
        <f t="shared" si="4"/>
        <v>141</v>
      </c>
      <c r="E19" s="16">
        <v>166.0</v>
      </c>
      <c r="F19" s="16">
        <v>12.0</v>
      </c>
      <c r="G19" s="16">
        <v>8.0</v>
      </c>
      <c r="H19" s="16">
        <v>6.0</v>
      </c>
      <c r="I19" s="16">
        <v>12.0</v>
      </c>
      <c r="J19" s="16">
        <v>6.0</v>
      </c>
      <c r="K19" s="16">
        <v>22.0</v>
      </c>
      <c r="L19" s="16">
        <v>53.0</v>
      </c>
      <c r="M19" s="16">
        <v>4.0</v>
      </c>
      <c r="N19" s="16">
        <v>18.0</v>
      </c>
      <c r="O19" s="22" t="s">
        <v>252</v>
      </c>
      <c r="P19" s="12"/>
      <c r="Q19" s="12"/>
      <c r="R19" s="12"/>
      <c r="S19" s="12"/>
    </row>
    <row r="20" ht="12.75" customHeight="1">
      <c r="A20" s="18" t="s">
        <v>156</v>
      </c>
      <c r="B20" s="19" t="s">
        <v>117</v>
      </c>
      <c r="C20" s="13">
        <f t="shared" si="3"/>
        <v>17</v>
      </c>
      <c r="D20" s="16">
        <f t="shared" si="4"/>
        <v>142</v>
      </c>
      <c r="E20" s="16">
        <v>166.0</v>
      </c>
      <c r="F20" s="16">
        <v>11.0</v>
      </c>
      <c r="G20" s="16">
        <v>4.0</v>
      </c>
      <c r="H20" s="16">
        <v>6.0</v>
      </c>
      <c r="I20" s="16">
        <v>7.0</v>
      </c>
      <c r="J20" s="16">
        <v>6.0</v>
      </c>
      <c r="K20" s="16">
        <v>31.0</v>
      </c>
      <c r="L20" s="16">
        <v>55.0</v>
      </c>
      <c r="M20" s="16">
        <v>4.0</v>
      </c>
      <c r="N20" s="16">
        <v>18.0</v>
      </c>
      <c r="O20" s="22" t="s">
        <v>118</v>
      </c>
      <c r="P20" s="12"/>
      <c r="Q20" s="12"/>
      <c r="R20" s="12"/>
      <c r="S20" s="12"/>
    </row>
    <row r="21" ht="12.75" customHeight="1">
      <c r="A21" s="18" t="s">
        <v>231</v>
      </c>
      <c r="B21" s="19" t="s">
        <v>159</v>
      </c>
      <c r="C21" s="13">
        <f t="shared" si="3"/>
        <v>17</v>
      </c>
      <c r="D21" s="16">
        <f t="shared" si="4"/>
        <v>145</v>
      </c>
      <c r="E21" s="16">
        <v>166.0</v>
      </c>
      <c r="F21" s="16">
        <v>9.0</v>
      </c>
      <c r="G21" s="16">
        <v>4.0</v>
      </c>
      <c r="H21" s="16">
        <v>6.0</v>
      </c>
      <c r="I21" s="16">
        <v>7.0</v>
      </c>
      <c r="J21" s="16">
        <v>6.0</v>
      </c>
      <c r="K21" s="16">
        <v>32.0</v>
      </c>
      <c r="L21" s="16">
        <v>60.0</v>
      </c>
      <c r="M21" s="16">
        <v>4.0</v>
      </c>
      <c r="N21" s="16">
        <v>17.0</v>
      </c>
      <c r="O21" s="22" t="s">
        <v>159</v>
      </c>
      <c r="P21" s="12"/>
      <c r="Q21" s="12"/>
      <c r="R21" s="12"/>
      <c r="S21" s="12"/>
    </row>
    <row r="22" ht="12.75" customHeight="1">
      <c r="A22" s="18" t="s">
        <v>122</v>
      </c>
      <c r="B22" s="19" t="s">
        <v>120</v>
      </c>
      <c r="C22" s="13">
        <f t="shared" si="3"/>
        <v>17</v>
      </c>
      <c r="D22" s="16">
        <f t="shared" si="4"/>
        <v>142</v>
      </c>
      <c r="E22" s="16">
        <v>166.0</v>
      </c>
      <c r="F22" s="16">
        <v>12.0</v>
      </c>
      <c r="G22" s="16">
        <v>8.0</v>
      </c>
      <c r="H22" s="16">
        <v>6.0</v>
      </c>
      <c r="I22" s="16">
        <v>8.0</v>
      </c>
      <c r="J22" s="16">
        <v>0.0</v>
      </c>
      <c r="K22" s="16">
        <v>32.0</v>
      </c>
      <c r="L22" s="16">
        <v>60.0</v>
      </c>
      <c r="M22" s="16">
        <v>4.0</v>
      </c>
      <c r="N22" s="16">
        <v>12.0</v>
      </c>
      <c r="O22" s="22" t="s">
        <v>120</v>
      </c>
      <c r="P22" s="12"/>
      <c r="Q22" s="12"/>
      <c r="R22" s="12"/>
      <c r="S22" s="12"/>
    </row>
    <row r="23" ht="12.75" customHeight="1">
      <c r="A23" s="18" t="s">
        <v>188</v>
      </c>
      <c r="B23" s="19" t="s">
        <v>154</v>
      </c>
      <c r="C23" s="13">
        <f t="shared" si="3"/>
        <v>17</v>
      </c>
      <c r="D23" s="16">
        <f t="shared" si="4"/>
        <v>142</v>
      </c>
      <c r="E23" s="16">
        <v>166.0</v>
      </c>
      <c r="F23" s="16">
        <v>11.0</v>
      </c>
      <c r="G23" s="16">
        <v>4.0</v>
      </c>
      <c r="H23" s="16">
        <v>6.0</v>
      </c>
      <c r="I23" s="16">
        <v>7.0</v>
      </c>
      <c r="J23" s="16">
        <v>6.0</v>
      </c>
      <c r="K23" s="16">
        <v>31.0</v>
      </c>
      <c r="L23" s="16">
        <v>55.0</v>
      </c>
      <c r="M23" s="16">
        <v>4.0</v>
      </c>
      <c r="N23" s="16">
        <v>18.0</v>
      </c>
      <c r="O23" s="22" t="s">
        <v>258</v>
      </c>
      <c r="P23" s="12"/>
      <c r="Q23" s="12"/>
      <c r="R23" s="12"/>
      <c r="S23" s="12"/>
    </row>
    <row r="24" ht="12.75" customHeight="1">
      <c r="A24" s="18" t="s">
        <v>212</v>
      </c>
      <c r="B24" s="19" t="s">
        <v>157</v>
      </c>
      <c r="C24" s="13">
        <f t="shared" si="3"/>
        <v>17</v>
      </c>
      <c r="D24" s="16">
        <f t="shared" si="4"/>
        <v>145</v>
      </c>
      <c r="E24" s="16">
        <v>166.0</v>
      </c>
      <c r="F24" s="16">
        <v>11.0</v>
      </c>
      <c r="G24" s="16">
        <v>4.0</v>
      </c>
      <c r="H24" s="16">
        <v>6.0</v>
      </c>
      <c r="I24" s="16">
        <v>7.0</v>
      </c>
      <c r="J24" s="16">
        <v>6.0</v>
      </c>
      <c r="K24" s="16">
        <v>32.0</v>
      </c>
      <c r="L24" s="16">
        <v>60.0</v>
      </c>
      <c r="M24" s="16">
        <v>3.0</v>
      </c>
      <c r="N24" s="16">
        <v>16.0</v>
      </c>
      <c r="O24" s="22" t="s">
        <v>157</v>
      </c>
      <c r="P24" s="12"/>
      <c r="Q24" s="12"/>
      <c r="R24" s="12"/>
      <c r="S24" s="12"/>
    </row>
    <row r="25" ht="12.75" customHeight="1">
      <c r="A25" s="18" t="s">
        <v>242</v>
      </c>
      <c r="B25" s="19" t="s">
        <v>180</v>
      </c>
      <c r="C25" s="13">
        <f t="shared" si="3"/>
        <v>17</v>
      </c>
      <c r="D25" s="16">
        <f t="shared" si="4"/>
        <v>143</v>
      </c>
      <c r="E25" s="16">
        <v>166.0</v>
      </c>
      <c r="F25" s="16">
        <v>8.0</v>
      </c>
      <c r="G25" s="16">
        <v>4.0</v>
      </c>
      <c r="H25" s="16">
        <v>6.0</v>
      </c>
      <c r="I25" s="16">
        <v>7.0</v>
      </c>
      <c r="J25" s="16">
        <v>6.0</v>
      </c>
      <c r="K25" s="16">
        <v>40.0</v>
      </c>
      <c r="L25" s="16">
        <v>56.0</v>
      </c>
      <c r="M25" s="16">
        <v>4.0</v>
      </c>
      <c r="N25" s="16">
        <v>12.0</v>
      </c>
      <c r="O25" s="22" t="s">
        <v>180</v>
      </c>
      <c r="P25" s="12"/>
      <c r="Q25" s="12"/>
      <c r="R25" s="12"/>
      <c r="S25" s="12"/>
    </row>
    <row r="26" ht="12.75" customHeight="1">
      <c r="A26" s="18" t="s">
        <v>220</v>
      </c>
      <c r="B26" s="19" t="s">
        <v>147</v>
      </c>
      <c r="C26" s="13">
        <f t="shared" si="3"/>
        <v>17</v>
      </c>
      <c r="D26" s="16">
        <f t="shared" si="4"/>
        <v>144</v>
      </c>
      <c r="E26" s="16">
        <v>166.0</v>
      </c>
      <c r="F26" s="16">
        <v>12.0</v>
      </c>
      <c r="G26" s="16">
        <v>8.0</v>
      </c>
      <c r="H26" s="16">
        <v>6.0</v>
      </c>
      <c r="I26" s="16">
        <v>0.0</v>
      </c>
      <c r="J26" s="16">
        <v>6.0</v>
      </c>
      <c r="K26" s="16">
        <v>40.0</v>
      </c>
      <c r="L26" s="16">
        <v>54.0</v>
      </c>
      <c r="M26" s="16">
        <v>0.0</v>
      </c>
      <c r="N26" s="16">
        <v>18.0</v>
      </c>
      <c r="O26" s="22" t="s">
        <v>147</v>
      </c>
      <c r="P26" s="12"/>
      <c r="Q26" s="12"/>
      <c r="R26" s="12"/>
      <c r="S26" s="12"/>
    </row>
    <row r="27" ht="12.75" customHeight="1">
      <c r="A27" s="18" t="s">
        <v>164</v>
      </c>
      <c r="B27" s="19" t="s">
        <v>152</v>
      </c>
      <c r="C27" s="13">
        <f t="shared" si="3"/>
        <v>17.5</v>
      </c>
      <c r="D27" s="16">
        <f t="shared" si="4"/>
        <v>147</v>
      </c>
      <c r="E27" s="16">
        <v>166.0</v>
      </c>
      <c r="F27" s="16">
        <v>9.0</v>
      </c>
      <c r="G27" s="16">
        <v>3.0</v>
      </c>
      <c r="H27" s="16">
        <v>6.0</v>
      </c>
      <c r="I27" s="16">
        <v>2.0</v>
      </c>
      <c r="J27" s="16">
        <v>6.0</v>
      </c>
      <c r="K27" s="16">
        <v>40.0</v>
      </c>
      <c r="L27" s="16">
        <v>60.0</v>
      </c>
      <c r="M27" s="16">
        <v>3.0</v>
      </c>
      <c r="N27" s="16">
        <v>18.0</v>
      </c>
      <c r="O27" s="22" t="s">
        <v>152</v>
      </c>
      <c r="P27" s="12"/>
      <c r="Q27" s="12"/>
      <c r="R27" s="12"/>
      <c r="S27" s="12"/>
    </row>
    <row r="28" ht="12.75" customHeight="1">
      <c r="A28" s="18" t="s">
        <v>192</v>
      </c>
      <c r="B28" s="19" t="s">
        <v>245</v>
      </c>
      <c r="C28" s="13">
        <f t="shared" si="3"/>
        <v>17.5</v>
      </c>
      <c r="D28" s="16">
        <f t="shared" si="4"/>
        <v>147</v>
      </c>
      <c r="E28" s="16">
        <v>166.0</v>
      </c>
      <c r="F28" s="16">
        <v>11.0</v>
      </c>
      <c r="G28" s="16">
        <v>3.0</v>
      </c>
      <c r="H28" s="16">
        <v>6.0</v>
      </c>
      <c r="I28" s="16">
        <v>8.0</v>
      </c>
      <c r="J28" s="16">
        <v>6.0</v>
      </c>
      <c r="K28" s="16">
        <v>32.0</v>
      </c>
      <c r="L28" s="16">
        <v>60.0</v>
      </c>
      <c r="M28" s="16">
        <v>3.0</v>
      </c>
      <c r="N28" s="16">
        <v>18.0</v>
      </c>
      <c r="O28" s="22" t="s">
        <v>259</v>
      </c>
      <c r="P28" s="12"/>
      <c r="Q28" s="12"/>
      <c r="R28" s="12"/>
      <c r="S28" s="12"/>
    </row>
    <row r="29" ht="12.75" customHeight="1">
      <c r="A29" s="18" t="s">
        <v>181</v>
      </c>
      <c r="B29" s="19" t="s">
        <v>227</v>
      </c>
      <c r="C29" s="13">
        <f t="shared" si="3"/>
        <v>17.5</v>
      </c>
      <c r="D29" s="16">
        <f t="shared" si="4"/>
        <v>146</v>
      </c>
      <c r="E29" s="16">
        <v>166.0</v>
      </c>
      <c r="F29" s="16">
        <v>12.0</v>
      </c>
      <c r="G29" s="16">
        <v>4.0</v>
      </c>
      <c r="H29" s="16">
        <v>6.0</v>
      </c>
      <c r="I29" s="16">
        <v>12.0</v>
      </c>
      <c r="J29" s="16">
        <v>6.0</v>
      </c>
      <c r="K29" s="16">
        <v>24.0</v>
      </c>
      <c r="L29" s="16">
        <v>60.0</v>
      </c>
      <c r="M29" s="16">
        <v>4.0</v>
      </c>
      <c r="N29" s="16">
        <v>18.0</v>
      </c>
      <c r="O29" s="22" t="s">
        <v>227</v>
      </c>
      <c r="P29" s="12"/>
      <c r="Q29" s="12"/>
      <c r="R29" s="12"/>
      <c r="S29" s="12"/>
    </row>
    <row r="30" ht="12.75" customHeight="1">
      <c r="A30" s="18" t="s">
        <v>143</v>
      </c>
      <c r="B30" s="19" t="s">
        <v>171</v>
      </c>
      <c r="C30" s="13">
        <f t="shared" si="3"/>
        <v>17.5</v>
      </c>
      <c r="D30" s="16">
        <f t="shared" si="4"/>
        <v>148</v>
      </c>
      <c r="E30" s="16">
        <v>166.0</v>
      </c>
      <c r="F30" s="16">
        <v>11.0</v>
      </c>
      <c r="G30" s="16">
        <v>3.0</v>
      </c>
      <c r="H30" s="16">
        <v>6.0</v>
      </c>
      <c r="I30" s="16">
        <v>12.0</v>
      </c>
      <c r="J30" s="16">
        <v>6.0</v>
      </c>
      <c r="K30" s="16">
        <v>40.0</v>
      </c>
      <c r="L30" s="16">
        <v>60.0</v>
      </c>
      <c r="M30" s="16">
        <v>4.0</v>
      </c>
      <c r="N30" s="16">
        <v>6.0</v>
      </c>
      <c r="O30" s="22" t="s">
        <v>171</v>
      </c>
      <c r="P30" s="12"/>
      <c r="Q30" s="12"/>
      <c r="R30" s="12"/>
      <c r="S30" s="12"/>
    </row>
    <row r="31" ht="12.75" customHeight="1">
      <c r="A31" s="18" t="s">
        <v>244</v>
      </c>
      <c r="B31" s="19" t="s">
        <v>193</v>
      </c>
      <c r="C31" s="13">
        <f t="shared" si="3"/>
        <v>17.5</v>
      </c>
      <c r="D31" s="16">
        <f t="shared" si="4"/>
        <v>147</v>
      </c>
      <c r="E31" s="16">
        <v>166.0</v>
      </c>
      <c r="F31" s="16">
        <v>11.0</v>
      </c>
      <c r="G31" s="16">
        <v>4.0</v>
      </c>
      <c r="H31" s="16">
        <v>6.0</v>
      </c>
      <c r="I31" s="16">
        <v>7.0</v>
      </c>
      <c r="J31" s="16">
        <v>6.0</v>
      </c>
      <c r="K31" s="16">
        <v>31.0</v>
      </c>
      <c r="L31" s="16">
        <v>60.0</v>
      </c>
      <c r="M31" s="16">
        <v>4.0</v>
      </c>
      <c r="N31" s="16">
        <v>18.0</v>
      </c>
      <c r="O31" s="22" t="s">
        <v>193</v>
      </c>
      <c r="P31" s="12"/>
      <c r="Q31" s="12"/>
      <c r="R31" s="12"/>
      <c r="S31" s="12"/>
    </row>
    <row r="32" ht="12.75" customHeight="1">
      <c r="A32" s="18" t="s">
        <v>170</v>
      </c>
      <c r="B32" s="19" t="s">
        <v>140</v>
      </c>
      <c r="C32" s="13">
        <f t="shared" si="3"/>
        <v>17.5</v>
      </c>
      <c r="D32" s="16">
        <f t="shared" si="4"/>
        <v>149</v>
      </c>
      <c r="E32" s="16">
        <v>166.0</v>
      </c>
      <c r="F32" s="16">
        <v>12.0</v>
      </c>
      <c r="G32" s="16">
        <v>8.0</v>
      </c>
      <c r="H32" s="16">
        <v>6.0</v>
      </c>
      <c r="I32" s="16">
        <v>3.0</v>
      </c>
      <c r="J32" s="16">
        <v>6.0</v>
      </c>
      <c r="K32" s="16">
        <v>32.0</v>
      </c>
      <c r="L32" s="16">
        <v>60.0</v>
      </c>
      <c r="M32" s="16">
        <v>4.0</v>
      </c>
      <c r="N32" s="16">
        <v>18.0</v>
      </c>
      <c r="O32" s="22" t="s">
        <v>140</v>
      </c>
      <c r="P32" s="12"/>
      <c r="Q32" s="12"/>
      <c r="R32" s="12"/>
      <c r="S32" s="12"/>
    </row>
    <row r="33" ht="12.75" customHeight="1">
      <c r="A33" s="18" t="s">
        <v>135</v>
      </c>
      <c r="B33" s="19" t="s">
        <v>215</v>
      </c>
      <c r="C33" s="13">
        <f t="shared" si="3"/>
        <v>17.5</v>
      </c>
      <c r="D33" s="16">
        <f t="shared" si="4"/>
        <v>149</v>
      </c>
      <c r="E33" s="16">
        <v>166.0</v>
      </c>
      <c r="F33" s="16">
        <v>12.0</v>
      </c>
      <c r="G33" s="16">
        <v>8.0</v>
      </c>
      <c r="H33" s="16">
        <v>6.0</v>
      </c>
      <c r="I33" s="16">
        <v>3.0</v>
      </c>
      <c r="J33" s="16">
        <v>6.0</v>
      </c>
      <c r="K33" s="16">
        <v>40.0</v>
      </c>
      <c r="L33" s="16">
        <v>56.0</v>
      </c>
      <c r="M33" s="16">
        <v>0.0</v>
      </c>
      <c r="N33" s="16">
        <v>18.0</v>
      </c>
      <c r="O33" s="22" t="s">
        <v>260</v>
      </c>
      <c r="P33" s="12"/>
      <c r="Q33" s="12"/>
      <c r="R33" s="12"/>
      <c r="S33" s="12"/>
    </row>
    <row r="34" ht="12.75" customHeight="1">
      <c r="A34" s="18" t="s">
        <v>246</v>
      </c>
      <c r="B34" s="19" t="s">
        <v>197</v>
      </c>
      <c r="C34" s="13">
        <f t="shared" si="3"/>
        <v>18</v>
      </c>
      <c r="D34" s="16">
        <f t="shared" si="4"/>
        <v>153</v>
      </c>
      <c r="E34" s="16">
        <v>166.0</v>
      </c>
      <c r="F34" s="16">
        <v>12.0</v>
      </c>
      <c r="G34" s="16">
        <v>0.0</v>
      </c>
      <c r="H34" s="16">
        <v>6.0</v>
      </c>
      <c r="I34" s="16">
        <v>7.0</v>
      </c>
      <c r="J34" s="16">
        <v>6.0</v>
      </c>
      <c r="K34" s="16">
        <v>40.0</v>
      </c>
      <c r="L34" s="16">
        <v>60.0</v>
      </c>
      <c r="M34" s="16">
        <v>4.0</v>
      </c>
      <c r="N34" s="16">
        <v>18.0</v>
      </c>
      <c r="O34" s="22" t="s">
        <v>197</v>
      </c>
      <c r="P34" s="12"/>
      <c r="Q34" s="12"/>
      <c r="R34" s="12"/>
      <c r="S34" s="12"/>
    </row>
    <row r="35" ht="12.75" customHeight="1">
      <c r="A35" s="18" t="s">
        <v>226</v>
      </c>
      <c r="B35" s="19" t="s">
        <v>199</v>
      </c>
      <c r="C35" s="13">
        <f t="shared" si="3"/>
        <v>18</v>
      </c>
      <c r="D35" s="16">
        <f t="shared" si="4"/>
        <v>153</v>
      </c>
      <c r="E35" s="16">
        <v>166.0</v>
      </c>
      <c r="F35" s="16">
        <v>12.0</v>
      </c>
      <c r="G35" s="16">
        <v>4.0</v>
      </c>
      <c r="H35" s="16">
        <v>6.0</v>
      </c>
      <c r="I35" s="16">
        <v>7.0</v>
      </c>
      <c r="J35" s="16">
        <v>2.0</v>
      </c>
      <c r="K35" s="16">
        <v>40.0</v>
      </c>
      <c r="L35" s="16">
        <v>60.0</v>
      </c>
      <c r="M35" s="16">
        <v>4.0</v>
      </c>
      <c r="N35" s="16">
        <v>18.0</v>
      </c>
      <c r="O35" s="22" t="s">
        <v>199</v>
      </c>
      <c r="P35" s="12"/>
      <c r="Q35" s="12"/>
      <c r="R35" s="12"/>
      <c r="S35" s="12"/>
    </row>
    <row r="36" ht="12.75" customHeight="1">
      <c r="A36" s="18" t="s">
        <v>217</v>
      </c>
      <c r="B36" s="19" t="s">
        <v>191</v>
      </c>
      <c r="C36" s="13">
        <f t="shared" si="3"/>
        <v>18</v>
      </c>
      <c r="D36" s="16">
        <f t="shared" si="4"/>
        <v>152</v>
      </c>
      <c r="E36" s="16">
        <v>166.0</v>
      </c>
      <c r="F36" s="16">
        <v>8.0</v>
      </c>
      <c r="G36" s="16">
        <v>8.0</v>
      </c>
      <c r="H36" s="16">
        <v>6.0</v>
      </c>
      <c r="I36" s="16">
        <v>8.0</v>
      </c>
      <c r="J36" s="16">
        <v>6.0</v>
      </c>
      <c r="K36" s="16">
        <v>40.0</v>
      </c>
      <c r="L36" s="16">
        <v>60.0</v>
      </c>
      <c r="M36" s="16">
        <v>4.0</v>
      </c>
      <c r="N36" s="16">
        <v>12.0</v>
      </c>
      <c r="O36" s="22" t="s">
        <v>191</v>
      </c>
      <c r="P36" s="12"/>
      <c r="Q36" s="12"/>
      <c r="R36" s="12"/>
      <c r="S36" s="12"/>
    </row>
    <row r="37" ht="12.75" customHeight="1">
      <c r="A37" s="18" t="s">
        <v>233</v>
      </c>
      <c r="B37" s="19" t="s">
        <v>184</v>
      </c>
      <c r="C37" s="13">
        <f t="shared" si="3"/>
        <v>18</v>
      </c>
      <c r="D37" s="16">
        <f t="shared" si="4"/>
        <v>150</v>
      </c>
      <c r="E37" s="16">
        <v>166.0</v>
      </c>
      <c r="F37" s="16">
        <v>12.0</v>
      </c>
      <c r="G37" s="16">
        <v>8.0</v>
      </c>
      <c r="H37" s="16">
        <v>6.0</v>
      </c>
      <c r="I37" s="16">
        <v>12.0</v>
      </c>
      <c r="J37" s="16">
        <v>6.0</v>
      </c>
      <c r="K37" s="16">
        <v>40.0</v>
      </c>
      <c r="L37" s="16">
        <v>56.0</v>
      </c>
      <c r="M37" s="16">
        <v>4.0</v>
      </c>
      <c r="N37" s="16">
        <v>6.0</v>
      </c>
      <c r="O37" s="22" t="s">
        <v>184</v>
      </c>
      <c r="P37" s="12"/>
      <c r="Q37" s="12"/>
      <c r="R37" s="12"/>
      <c r="S37" s="12"/>
    </row>
    <row r="38" ht="12.75" customHeight="1">
      <c r="A38" s="18" t="s">
        <v>130</v>
      </c>
      <c r="B38" s="19" t="s">
        <v>136</v>
      </c>
      <c r="C38" s="13">
        <f t="shared" si="3"/>
        <v>18</v>
      </c>
      <c r="D38" s="16">
        <f t="shared" si="4"/>
        <v>150</v>
      </c>
      <c r="E38" s="16">
        <v>166.0</v>
      </c>
      <c r="F38" s="16">
        <v>12.0</v>
      </c>
      <c r="G38" s="16">
        <v>4.0</v>
      </c>
      <c r="H38" s="16">
        <v>6.0</v>
      </c>
      <c r="I38" s="16">
        <v>7.0</v>
      </c>
      <c r="J38" s="16">
        <v>6.0</v>
      </c>
      <c r="K38" s="16">
        <v>40.0</v>
      </c>
      <c r="L38" s="16">
        <v>60.0</v>
      </c>
      <c r="M38" s="16">
        <v>3.0</v>
      </c>
      <c r="N38" s="16">
        <v>12.0</v>
      </c>
      <c r="O38" s="22" t="s">
        <v>136</v>
      </c>
      <c r="P38" s="12"/>
      <c r="Q38" s="12"/>
      <c r="R38" s="12"/>
      <c r="S38" s="12"/>
    </row>
    <row r="39" ht="12.75" customHeight="1">
      <c r="A39" s="18" t="s">
        <v>229</v>
      </c>
      <c r="B39" s="19" t="s">
        <v>237</v>
      </c>
      <c r="C39" s="13">
        <f t="shared" si="3"/>
        <v>18</v>
      </c>
      <c r="D39" s="16">
        <f t="shared" si="4"/>
        <v>152</v>
      </c>
      <c r="E39" s="16">
        <v>166.0</v>
      </c>
      <c r="F39" s="16">
        <v>8.0</v>
      </c>
      <c r="G39" s="16">
        <v>4.0</v>
      </c>
      <c r="H39" s="16">
        <v>6.0</v>
      </c>
      <c r="I39" s="16">
        <v>7.0</v>
      </c>
      <c r="J39" s="16">
        <v>6.0</v>
      </c>
      <c r="K39" s="16">
        <v>39.0</v>
      </c>
      <c r="L39" s="16">
        <v>60.0</v>
      </c>
      <c r="M39" s="16">
        <v>4.0</v>
      </c>
      <c r="N39" s="16">
        <v>18.0</v>
      </c>
      <c r="O39" s="22" t="s">
        <v>237</v>
      </c>
      <c r="P39" s="12"/>
      <c r="Q39" s="12"/>
      <c r="R39" s="12"/>
      <c r="S39" s="12"/>
    </row>
    <row r="40" ht="12.75" customHeight="1">
      <c r="A40" s="18" t="s">
        <v>168</v>
      </c>
      <c r="B40" s="19" t="s">
        <v>239</v>
      </c>
      <c r="C40" s="13">
        <f t="shared" si="3"/>
        <v>18</v>
      </c>
      <c r="D40" s="16">
        <f t="shared" si="4"/>
        <v>150</v>
      </c>
      <c r="E40" s="16">
        <v>166.0</v>
      </c>
      <c r="F40" s="16">
        <v>12.0</v>
      </c>
      <c r="G40" s="16">
        <v>4.0</v>
      </c>
      <c r="H40" s="16">
        <v>6.0</v>
      </c>
      <c r="I40" s="16">
        <v>7.0</v>
      </c>
      <c r="J40" s="16">
        <v>6.0</v>
      </c>
      <c r="K40" s="16">
        <v>40.0</v>
      </c>
      <c r="L40" s="16">
        <v>54.0</v>
      </c>
      <c r="M40" s="16">
        <v>3.0</v>
      </c>
      <c r="N40" s="16">
        <v>18.0</v>
      </c>
      <c r="O40" s="22" t="s">
        <v>239</v>
      </c>
      <c r="P40" s="12"/>
      <c r="Q40" s="12"/>
      <c r="R40" s="12"/>
      <c r="S40" s="12"/>
    </row>
    <row r="41" ht="12.75" customHeight="1">
      <c r="A41" s="18" t="s">
        <v>253</v>
      </c>
      <c r="B41" s="19" t="s">
        <v>207</v>
      </c>
      <c r="C41" s="13">
        <f t="shared" si="3"/>
        <v>18.5</v>
      </c>
      <c r="D41" s="16">
        <f t="shared" si="4"/>
        <v>156</v>
      </c>
      <c r="E41" s="16">
        <v>166.0</v>
      </c>
      <c r="F41" s="16">
        <v>12.0</v>
      </c>
      <c r="G41" s="16">
        <v>3.0</v>
      </c>
      <c r="H41" s="16">
        <v>6.0</v>
      </c>
      <c r="I41" s="16">
        <v>7.0</v>
      </c>
      <c r="J41" s="16">
        <v>6.0</v>
      </c>
      <c r="K41" s="16">
        <v>40.0</v>
      </c>
      <c r="L41" s="16">
        <v>60.0</v>
      </c>
      <c r="M41" s="16">
        <v>4.0</v>
      </c>
      <c r="N41" s="16">
        <v>18.0</v>
      </c>
      <c r="O41" s="22" t="s">
        <v>207</v>
      </c>
      <c r="P41" s="12"/>
      <c r="Q41" s="12"/>
      <c r="R41" s="12"/>
      <c r="S41" s="12"/>
    </row>
    <row r="42" ht="12.75" customHeight="1">
      <c r="A42" s="18" t="s">
        <v>146</v>
      </c>
      <c r="B42" s="19" t="s">
        <v>210</v>
      </c>
      <c r="C42" s="13">
        <f t="shared" si="3"/>
        <v>18.5</v>
      </c>
      <c r="D42" s="16">
        <f t="shared" si="4"/>
        <v>155</v>
      </c>
      <c r="E42" s="16">
        <v>166.0</v>
      </c>
      <c r="F42" s="16">
        <v>12.0</v>
      </c>
      <c r="G42" s="16">
        <v>8.0</v>
      </c>
      <c r="H42" s="16">
        <v>6.0</v>
      </c>
      <c r="I42" s="16">
        <v>7.0</v>
      </c>
      <c r="J42" s="16">
        <v>6.0</v>
      </c>
      <c r="K42" s="16">
        <v>40.0</v>
      </c>
      <c r="L42" s="16">
        <v>58.0</v>
      </c>
      <c r="M42" s="16">
        <v>0.0</v>
      </c>
      <c r="N42" s="16">
        <v>18.0</v>
      </c>
      <c r="O42" s="22" t="s">
        <v>210</v>
      </c>
      <c r="P42" s="12"/>
      <c r="Q42" s="12"/>
      <c r="R42" s="12"/>
      <c r="S42" s="12"/>
    </row>
    <row r="43" ht="12.75" customHeight="1">
      <c r="A43" s="18" t="s">
        <v>248</v>
      </c>
      <c r="B43" s="19" t="s">
        <v>249</v>
      </c>
      <c r="C43" s="13">
        <f t="shared" si="3"/>
        <v>18.5</v>
      </c>
      <c r="D43" s="16">
        <f t="shared" si="4"/>
        <v>156</v>
      </c>
      <c r="E43" s="16">
        <v>166.0</v>
      </c>
      <c r="F43" s="16">
        <v>8.0</v>
      </c>
      <c r="G43" s="16">
        <v>3.0</v>
      </c>
      <c r="H43" s="16">
        <v>6.0</v>
      </c>
      <c r="I43" s="16">
        <v>12.0</v>
      </c>
      <c r="J43" s="16">
        <v>6.0</v>
      </c>
      <c r="K43" s="16">
        <v>40.0</v>
      </c>
      <c r="L43" s="16">
        <v>59.0</v>
      </c>
      <c r="M43" s="16">
        <v>4.0</v>
      </c>
      <c r="N43" s="16">
        <v>18.0</v>
      </c>
      <c r="O43" s="22" t="s">
        <v>249</v>
      </c>
      <c r="P43" s="12"/>
      <c r="Q43" s="12"/>
      <c r="R43" s="12"/>
      <c r="S43" s="12"/>
    </row>
    <row r="44" ht="12.75" customHeight="1">
      <c r="A44" s="18" t="s">
        <v>160</v>
      </c>
      <c r="B44" s="19" t="s">
        <v>195</v>
      </c>
      <c r="C44" s="13">
        <f t="shared" si="3"/>
        <v>18.5</v>
      </c>
      <c r="D44" s="16">
        <f t="shared" si="4"/>
        <v>154</v>
      </c>
      <c r="E44" s="16">
        <v>166.0</v>
      </c>
      <c r="F44" s="16">
        <v>12.0</v>
      </c>
      <c r="G44" s="16">
        <v>8.0</v>
      </c>
      <c r="H44" s="16">
        <v>6.0</v>
      </c>
      <c r="I44" s="16">
        <v>12.0</v>
      </c>
      <c r="J44" s="16">
        <v>6.0</v>
      </c>
      <c r="K44" s="16">
        <v>40.0</v>
      </c>
      <c r="L44" s="16">
        <v>48.0</v>
      </c>
      <c r="M44" s="16">
        <v>4.0</v>
      </c>
      <c r="N44" s="16">
        <v>18.0</v>
      </c>
      <c r="O44" s="22" t="s">
        <v>195</v>
      </c>
      <c r="P44" s="12"/>
      <c r="Q44" s="12"/>
      <c r="R44" s="12"/>
      <c r="S44" s="12"/>
    </row>
    <row r="45" ht="12.75" customHeight="1">
      <c r="A45" s="18" t="s">
        <v>158</v>
      </c>
      <c r="B45" s="19" t="s">
        <v>114</v>
      </c>
      <c r="C45" s="13">
        <f t="shared" si="3"/>
        <v>18.5</v>
      </c>
      <c r="D45" s="16">
        <f t="shared" si="4"/>
        <v>154</v>
      </c>
      <c r="E45" s="16">
        <v>166.0</v>
      </c>
      <c r="F45" s="16">
        <v>11.0</v>
      </c>
      <c r="G45" s="16">
        <v>8.0</v>
      </c>
      <c r="H45" s="16">
        <v>6.0</v>
      </c>
      <c r="I45" s="16">
        <v>7.0</v>
      </c>
      <c r="J45" s="16">
        <v>6.0</v>
      </c>
      <c r="K45" s="16">
        <v>40.0</v>
      </c>
      <c r="L45" s="16">
        <v>58.0</v>
      </c>
      <c r="M45" s="16">
        <v>0.0</v>
      </c>
      <c r="N45" s="16">
        <v>18.0</v>
      </c>
      <c r="O45" s="22" t="s">
        <v>114</v>
      </c>
      <c r="P45" s="12"/>
      <c r="Q45" s="12"/>
      <c r="R45" s="12"/>
      <c r="S45" s="12"/>
    </row>
    <row r="46" ht="12.75" customHeight="1">
      <c r="A46" s="18" t="s">
        <v>236</v>
      </c>
      <c r="B46" s="19" t="s">
        <v>221</v>
      </c>
      <c r="C46" s="13">
        <f t="shared" si="3"/>
        <v>18.5</v>
      </c>
      <c r="D46" s="16">
        <f t="shared" si="4"/>
        <v>155</v>
      </c>
      <c r="E46" s="16">
        <v>166.0</v>
      </c>
      <c r="F46" s="16">
        <v>9.0</v>
      </c>
      <c r="G46" s="16">
        <v>8.0</v>
      </c>
      <c r="H46" s="16">
        <v>6.0</v>
      </c>
      <c r="I46" s="16">
        <v>12.0</v>
      </c>
      <c r="J46" s="16">
        <v>6.0</v>
      </c>
      <c r="K46" s="16">
        <v>32.0</v>
      </c>
      <c r="L46" s="16">
        <v>60.0</v>
      </c>
      <c r="M46" s="16">
        <v>4.0</v>
      </c>
      <c r="N46" s="16">
        <v>18.0</v>
      </c>
      <c r="O46" s="22" t="s">
        <v>222</v>
      </c>
      <c r="P46" s="12"/>
      <c r="Q46" s="12"/>
      <c r="R46" s="12"/>
      <c r="S46" s="12"/>
    </row>
    <row r="47" ht="12.75" customHeight="1">
      <c r="A47" s="18" t="s">
        <v>238</v>
      </c>
      <c r="B47" s="19" t="s">
        <v>243</v>
      </c>
      <c r="C47" s="13">
        <f t="shared" si="3"/>
        <v>19</v>
      </c>
      <c r="D47" s="16">
        <f t="shared" si="4"/>
        <v>161</v>
      </c>
      <c r="E47" s="16">
        <v>166.0</v>
      </c>
      <c r="F47" s="16">
        <v>12.0</v>
      </c>
      <c r="G47" s="16">
        <v>4.0</v>
      </c>
      <c r="H47" s="16">
        <v>6.0</v>
      </c>
      <c r="I47" s="16">
        <v>12.0</v>
      </c>
      <c r="J47" s="16">
        <v>6.0</v>
      </c>
      <c r="K47" s="16">
        <v>40.0</v>
      </c>
      <c r="L47" s="16">
        <v>60.0</v>
      </c>
      <c r="M47" s="16">
        <v>3.0</v>
      </c>
      <c r="N47" s="16">
        <v>18.0</v>
      </c>
      <c r="O47" s="22" t="s">
        <v>243</v>
      </c>
      <c r="P47" s="12"/>
      <c r="Q47" s="12"/>
      <c r="R47" s="12"/>
      <c r="S47" s="12"/>
    </row>
    <row r="48" ht="12.75" customHeight="1">
      <c r="A48" s="18" t="s">
        <v>113</v>
      </c>
      <c r="B48" s="19" t="s">
        <v>205</v>
      </c>
      <c r="C48" s="13">
        <f t="shared" si="3"/>
        <v>19</v>
      </c>
      <c r="D48" s="16">
        <f t="shared" si="4"/>
        <v>160</v>
      </c>
      <c r="E48" s="16">
        <v>166.0</v>
      </c>
      <c r="F48" s="16">
        <v>12.0</v>
      </c>
      <c r="G48" s="16">
        <v>8.0</v>
      </c>
      <c r="H48" s="16">
        <v>6.0</v>
      </c>
      <c r="I48" s="16">
        <v>12.0</v>
      </c>
      <c r="J48" s="16">
        <v>6.0</v>
      </c>
      <c r="K48" s="16">
        <v>40.0</v>
      </c>
      <c r="L48" s="16">
        <v>58.0</v>
      </c>
      <c r="M48" s="16">
        <v>0.0</v>
      </c>
      <c r="N48" s="16">
        <v>18.0</v>
      </c>
      <c r="O48" s="22" t="s">
        <v>205</v>
      </c>
      <c r="P48" s="12"/>
      <c r="Q48" s="12"/>
      <c r="R48" s="12"/>
      <c r="S48" s="12"/>
    </row>
    <row r="49" ht="12.75" customHeight="1">
      <c r="A49" s="18" t="s">
        <v>257</v>
      </c>
      <c r="B49" s="19" t="s">
        <v>230</v>
      </c>
      <c r="C49" s="13">
        <f t="shared" si="3"/>
        <v>19</v>
      </c>
      <c r="D49" s="16">
        <f t="shared" si="4"/>
        <v>160</v>
      </c>
      <c r="E49" s="16">
        <v>166.0</v>
      </c>
      <c r="F49" s="16">
        <v>12.0</v>
      </c>
      <c r="G49" s="16">
        <v>8.0</v>
      </c>
      <c r="H49" s="16">
        <v>6.0</v>
      </c>
      <c r="I49" s="16">
        <v>12.0</v>
      </c>
      <c r="J49" s="16">
        <v>6.0</v>
      </c>
      <c r="K49" s="16">
        <v>40.0</v>
      </c>
      <c r="L49" s="16">
        <v>60.0</v>
      </c>
      <c r="M49" s="16">
        <v>4.0</v>
      </c>
      <c r="N49" s="16">
        <v>12.0</v>
      </c>
      <c r="O49" s="22" t="s">
        <v>230</v>
      </c>
      <c r="P49" s="12"/>
      <c r="Q49" s="12"/>
      <c r="R49" s="12"/>
      <c r="S49" s="12"/>
    </row>
    <row r="50" ht="12.75" customHeight="1">
      <c r="A50" s="18" t="s">
        <v>255</v>
      </c>
      <c r="B50" s="19" t="s">
        <v>138</v>
      </c>
      <c r="C50" s="13">
        <f t="shared" si="3"/>
        <v>19</v>
      </c>
      <c r="D50" s="16">
        <f t="shared" si="4"/>
        <v>161</v>
      </c>
      <c r="E50" s="16">
        <v>166.0</v>
      </c>
      <c r="F50" s="16">
        <v>12.0</v>
      </c>
      <c r="G50" s="16">
        <v>8.0</v>
      </c>
      <c r="H50" s="16">
        <v>6.0</v>
      </c>
      <c r="I50" s="16">
        <v>7.0</v>
      </c>
      <c r="J50" s="16">
        <v>6.0</v>
      </c>
      <c r="K50" s="16">
        <v>40.0</v>
      </c>
      <c r="L50" s="16">
        <v>60.0</v>
      </c>
      <c r="M50" s="16">
        <v>4.0</v>
      </c>
      <c r="N50" s="16">
        <v>18.0</v>
      </c>
      <c r="O50" s="22" t="s">
        <v>138</v>
      </c>
      <c r="P50" s="12"/>
      <c r="Q50" s="12"/>
      <c r="R50" s="12"/>
      <c r="S50" s="12"/>
    </row>
    <row r="51" ht="12.75" customHeight="1">
      <c r="A51" s="18" t="s">
        <v>240</v>
      </c>
      <c r="B51" s="19" t="s">
        <v>213</v>
      </c>
      <c r="C51" s="13">
        <f t="shared" si="3"/>
        <v>19</v>
      </c>
      <c r="D51" s="16">
        <f t="shared" si="4"/>
        <v>159</v>
      </c>
      <c r="E51" s="16">
        <v>166.0</v>
      </c>
      <c r="F51" s="16">
        <v>12.0</v>
      </c>
      <c r="G51" s="16">
        <v>8.0</v>
      </c>
      <c r="H51" s="16">
        <v>6.0</v>
      </c>
      <c r="I51" s="16">
        <v>12.0</v>
      </c>
      <c r="J51" s="16">
        <v>6.0</v>
      </c>
      <c r="K51" s="16">
        <v>40.0</v>
      </c>
      <c r="L51" s="16">
        <v>59.0</v>
      </c>
      <c r="M51" s="16">
        <v>4.0</v>
      </c>
      <c r="N51" s="16">
        <v>12.0</v>
      </c>
      <c r="O51" s="22" t="s">
        <v>213</v>
      </c>
      <c r="P51" s="12"/>
      <c r="Q51" s="12"/>
      <c r="R51" s="12"/>
      <c r="S51" s="12"/>
    </row>
    <row r="52" ht="12.75" customHeight="1">
      <c r="A52" s="18" t="s">
        <v>194</v>
      </c>
      <c r="B52" s="19" t="s">
        <v>232</v>
      </c>
      <c r="C52" s="13">
        <f t="shared" si="3"/>
        <v>19</v>
      </c>
      <c r="D52" s="16">
        <f t="shared" si="4"/>
        <v>161</v>
      </c>
      <c r="E52" s="16">
        <v>166.0</v>
      </c>
      <c r="F52" s="16">
        <v>12.0</v>
      </c>
      <c r="G52" s="16">
        <v>8.0</v>
      </c>
      <c r="H52" s="16">
        <v>6.0</v>
      </c>
      <c r="I52" s="16">
        <v>7.0</v>
      </c>
      <c r="J52" s="16">
        <v>6.0</v>
      </c>
      <c r="K52" s="16">
        <v>40.0</v>
      </c>
      <c r="L52" s="16">
        <v>60.0</v>
      </c>
      <c r="M52" s="16">
        <v>4.0</v>
      </c>
      <c r="N52" s="16">
        <v>18.0</v>
      </c>
      <c r="O52" s="22" t="s">
        <v>232</v>
      </c>
      <c r="P52" s="12"/>
      <c r="Q52" s="12"/>
      <c r="R52" s="12"/>
      <c r="S52" s="12"/>
    </row>
    <row r="53" ht="12.75" customHeight="1">
      <c r="A53" s="18" t="s">
        <v>183</v>
      </c>
      <c r="B53" s="19" t="s">
        <v>142</v>
      </c>
      <c r="C53" s="13">
        <f t="shared" si="3"/>
        <v>19</v>
      </c>
      <c r="D53" s="16">
        <f t="shared" si="4"/>
        <v>161</v>
      </c>
      <c r="E53" s="16">
        <v>166.0</v>
      </c>
      <c r="F53" s="16">
        <v>12.0</v>
      </c>
      <c r="G53" s="16">
        <v>8.0</v>
      </c>
      <c r="H53" s="16">
        <v>6.0</v>
      </c>
      <c r="I53" s="16">
        <v>7.0</v>
      </c>
      <c r="J53" s="16">
        <v>6.0</v>
      </c>
      <c r="K53" s="16">
        <v>40.0</v>
      </c>
      <c r="L53" s="16">
        <v>60.0</v>
      </c>
      <c r="M53" s="16">
        <v>4.0</v>
      </c>
      <c r="N53" s="16">
        <v>18.0</v>
      </c>
      <c r="O53" s="22" t="s">
        <v>142</v>
      </c>
      <c r="P53" s="12"/>
      <c r="Q53" s="12"/>
      <c r="R53" s="12"/>
      <c r="S53" s="12"/>
    </row>
    <row r="54" ht="12.75" customHeight="1">
      <c r="A54" s="18" t="s">
        <v>250</v>
      </c>
      <c r="B54" s="19" t="s">
        <v>234</v>
      </c>
      <c r="C54" s="13">
        <f t="shared" si="3"/>
        <v>19</v>
      </c>
      <c r="D54" s="16">
        <f t="shared" si="4"/>
        <v>161</v>
      </c>
      <c r="E54" s="16">
        <v>166.0</v>
      </c>
      <c r="F54" s="16">
        <v>11.0</v>
      </c>
      <c r="G54" s="16">
        <v>4.0</v>
      </c>
      <c r="H54" s="16">
        <v>6.0</v>
      </c>
      <c r="I54" s="16">
        <v>12.0</v>
      </c>
      <c r="J54" s="16">
        <v>6.0</v>
      </c>
      <c r="K54" s="16">
        <v>40.0</v>
      </c>
      <c r="L54" s="16">
        <v>60.0</v>
      </c>
      <c r="M54" s="16">
        <v>4.0</v>
      </c>
      <c r="N54" s="16">
        <v>18.0</v>
      </c>
      <c r="O54" s="22" t="s">
        <v>234</v>
      </c>
      <c r="P54" s="12"/>
      <c r="Q54" s="12"/>
      <c r="R54" s="12"/>
      <c r="S54" s="12"/>
    </row>
    <row r="55" ht="12.75" customHeight="1">
      <c r="A55" s="18" t="s">
        <v>166</v>
      </c>
      <c r="B55" s="19" t="s">
        <v>218</v>
      </c>
      <c r="C55" s="13">
        <f t="shared" si="3"/>
        <v>19</v>
      </c>
      <c r="D55" s="16">
        <f t="shared" si="4"/>
        <v>160</v>
      </c>
      <c r="E55" s="16">
        <v>166.0</v>
      </c>
      <c r="F55" s="16">
        <v>12.0</v>
      </c>
      <c r="G55" s="16">
        <v>8.0</v>
      </c>
      <c r="H55" s="16">
        <v>6.0</v>
      </c>
      <c r="I55" s="16">
        <v>12.0</v>
      </c>
      <c r="J55" s="16">
        <v>6.0</v>
      </c>
      <c r="K55" s="16">
        <v>40.0</v>
      </c>
      <c r="L55" s="16">
        <v>60.0</v>
      </c>
      <c r="M55" s="16">
        <v>4.0</v>
      </c>
      <c r="N55" s="16">
        <v>12.0</v>
      </c>
      <c r="O55" s="22" t="s">
        <v>218</v>
      </c>
      <c r="P55" s="12"/>
      <c r="Q55" s="12"/>
      <c r="R55" s="12"/>
      <c r="S55" s="12"/>
    </row>
    <row r="56" ht="12.75" customHeight="1">
      <c r="A56" s="18" t="s">
        <v>132</v>
      </c>
      <c r="B56" s="19" t="s">
        <v>169</v>
      </c>
      <c r="C56" s="13">
        <f t="shared" si="3"/>
        <v>19</v>
      </c>
      <c r="D56" s="16">
        <f t="shared" si="4"/>
        <v>158</v>
      </c>
      <c r="E56" s="16">
        <v>166.0</v>
      </c>
      <c r="F56" s="16">
        <v>12.0</v>
      </c>
      <c r="G56" s="16">
        <v>4.0</v>
      </c>
      <c r="H56" s="16">
        <v>6.0</v>
      </c>
      <c r="I56" s="16">
        <v>8.0</v>
      </c>
      <c r="J56" s="16">
        <v>6.0</v>
      </c>
      <c r="K56" s="16">
        <v>40.0</v>
      </c>
      <c r="L56" s="16">
        <v>60.0</v>
      </c>
      <c r="M56" s="16">
        <v>4.0</v>
      </c>
      <c r="N56" s="16">
        <v>18.0</v>
      </c>
      <c r="O56" s="22" t="s">
        <v>169</v>
      </c>
      <c r="P56" s="12"/>
      <c r="Q56" s="12"/>
      <c r="R56" s="12"/>
      <c r="S56" s="12"/>
    </row>
    <row r="57" ht="12.75" customHeight="1">
      <c r="A57" s="18" t="s">
        <v>214</v>
      </c>
      <c r="B57" s="19" t="s">
        <v>241</v>
      </c>
      <c r="C57" s="13">
        <f t="shared" si="3"/>
        <v>19.5</v>
      </c>
      <c r="D57" s="16">
        <f t="shared" si="4"/>
        <v>165</v>
      </c>
      <c r="E57" s="16">
        <v>166.0</v>
      </c>
      <c r="F57" s="16">
        <v>11.0</v>
      </c>
      <c r="G57" s="16">
        <v>8.0</v>
      </c>
      <c r="H57" s="16">
        <v>6.0</v>
      </c>
      <c r="I57" s="16">
        <v>12.0</v>
      </c>
      <c r="J57" s="16">
        <v>6.0</v>
      </c>
      <c r="K57" s="16">
        <v>40.0</v>
      </c>
      <c r="L57" s="16">
        <v>60.0</v>
      </c>
      <c r="M57" s="16">
        <v>4.0</v>
      </c>
      <c r="N57" s="16">
        <v>18.0</v>
      </c>
      <c r="O57" s="22" t="s">
        <v>241</v>
      </c>
      <c r="P57" s="12"/>
      <c r="Q57" s="12"/>
      <c r="R57" s="12"/>
      <c r="S57" s="12"/>
    </row>
    <row r="58" ht="12.75" customHeight="1">
      <c r="A58" s="18" t="s">
        <v>198</v>
      </c>
      <c r="B58" s="19" t="s">
        <v>182</v>
      </c>
      <c r="C58" s="13">
        <f t="shared" si="3"/>
        <v>19.5</v>
      </c>
      <c r="D58" s="16">
        <f t="shared" si="4"/>
        <v>162</v>
      </c>
      <c r="E58" s="16">
        <v>166.0</v>
      </c>
      <c r="F58" s="16">
        <v>12.0</v>
      </c>
      <c r="G58" s="16">
        <v>4.0</v>
      </c>
      <c r="H58" s="16">
        <v>6.0</v>
      </c>
      <c r="I58" s="16">
        <v>12.0</v>
      </c>
      <c r="J58" s="16">
        <v>6.0</v>
      </c>
      <c r="K58" s="16">
        <v>40.0</v>
      </c>
      <c r="L58" s="16">
        <v>60.0</v>
      </c>
      <c r="M58" s="16">
        <v>4.0</v>
      </c>
      <c r="N58" s="16">
        <v>18.0</v>
      </c>
      <c r="O58" s="22" t="s">
        <v>182</v>
      </c>
      <c r="P58" s="12"/>
      <c r="Q58" s="12"/>
      <c r="R58" s="12"/>
      <c r="S58" s="12"/>
    </row>
    <row r="59" ht="12.75" customHeight="1">
      <c r="A59" s="18" t="s">
        <v>179</v>
      </c>
      <c r="B59" s="19" t="s">
        <v>201</v>
      </c>
      <c r="C59" s="13">
        <f t="shared" si="3"/>
        <v>19.5</v>
      </c>
      <c r="D59" s="16">
        <f t="shared" si="4"/>
        <v>162</v>
      </c>
      <c r="E59" s="16">
        <v>166.0</v>
      </c>
      <c r="F59" s="16">
        <v>12.0</v>
      </c>
      <c r="G59" s="16">
        <v>8.0</v>
      </c>
      <c r="H59" s="16">
        <v>6.0</v>
      </c>
      <c r="I59" s="16">
        <v>8.0</v>
      </c>
      <c r="J59" s="16">
        <v>6.0</v>
      </c>
      <c r="K59" s="16">
        <v>40.0</v>
      </c>
      <c r="L59" s="16">
        <v>60.0</v>
      </c>
      <c r="M59" s="16">
        <v>4.0</v>
      </c>
      <c r="N59" s="16">
        <v>18.0</v>
      </c>
      <c r="O59" s="22" t="s">
        <v>201</v>
      </c>
      <c r="P59" s="12"/>
      <c r="Q59" s="12"/>
      <c r="R59" s="12"/>
      <c r="S59" s="12"/>
    </row>
    <row r="60" ht="12.75" customHeight="1">
      <c r="A60" s="18" t="s">
        <v>139</v>
      </c>
      <c r="B60" s="19" t="s">
        <v>251</v>
      </c>
      <c r="C60" s="13">
        <f t="shared" si="3"/>
        <v>19.5</v>
      </c>
      <c r="D60" s="16">
        <f t="shared" si="4"/>
        <v>162</v>
      </c>
      <c r="E60" s="16">
        <v>166.0</v>
      </c>
      <c r="F60" s="16">
        <v>12.0</v>
      </c>
      <c r="G60" s="16">
        <v>4.0</v>
      </c>
      <c r="H60" s="16">
        <v>6.0</v>
      </c>
      <c r="I60" s="16">
        <v>12.0</v>
      </c>
      <c r="J60" s="16">
        <v>6.0</v>
      </c>
      <c r="K60" s="16">
        <v>40.0</v>
      </c>
      <c r="L60" s="16">
        <v>60.0</v>
      </c>
      <c r="M60" s="16">
        <v>4.0</v>
      </c>
      <c r="N60" s="16">
        <v>18.0</v>
      </c>
      <c r="O60" s="22" t="s">
        <v>251</v>
      </c>
      <c r="P60" s="12"/>
      <c r="Q60" s="12"/>
      <c r="R60" s="12"/>
      <c r="S60" s="12"/>
    </row>
    <row r="61" ht="12.75" customHeight="1">
      <c r="A61" s="18" t="s">
        <v>151</v>
      </c>
      <c r="B61" s="19" t="s">
        <v>131</v>
      </c>
      <c r="C61" s="13">
        <f t="shared" si="3"/>
        <v>19.5</v>
      </c>
      <c r="D61" s="16">
        <f t="shared" si="4"/>
        <v>164</v>
      </c>
      <c r="E61" s="16">
        <v>166.0</v>
      </c>
      <c r="F61" s="16">
        <v>12.0</v>
      </c>
      <c r="G61" s="16">
        <v>8.0</v>
      </c>
      <c r="H61" s="16">
        <v>6.0</v>
      </c>
      <c r="I61" s="16">
        <v>12.0</v>
      </c>
      <c r="J61" s="16">
        <v>6.0</v>
      </c>
      <c r="K61" s="16">
        <v>40.0</v>
      </c>
      <c r="L61" s="16">
        <v>59.0</v>
      </c>
      <c r="M61" s="16">
        <v>3.0</v>
      </c>
      <c r="N61" s="16">
        <v>18.0</v>
      </c>
      <c r="O61" s="22" t="s">
        <v>131</v>
      </c>
      <c r="P61" s="12"/>
      <c r="Q61" s="12"/>
      <c r="R61" s="12"/>
      <c r="S61" s="12"/>
    </row>
    <row r="62" ht="12.75" customHeight="1">
      <c r="A62" s="18" t="s">
        <v>202</v>
      </c>
      <c r="B62" s="19" t="s">
        <v>254</v>
      </c>
      <c r="C62" s="13">
        <f t="shared" si="3"/>
        <v>19.5</v>
      </c>
      <c r="D62" s="16">
        <f t="shared" si="4"/>
        <v>162</v>
      </c>
      <c r="E62" s="16">
        <v>166.0</v>
      </c>
      <c r="F62" s="16">
        <v>12.0</v>
      </c>
      <c r="G62" s="16">
        <v>4.0</v>
      </c>
      <c r="H62" s="16">
        <v>6.0</v>
      </c>
      <c r="I62" s="16">
        <v>12.0</v>
      </c>
      <c r="J62" s="16">
        <v>6.0</v>
      </c>
      <c r="K62" s="16">
        <v>40.0</v>
      </c>
      <c r="L62" s="16">
        <v>60.0</v>
      </c>
      <c r="M62" s="16">
        <v>4.0</v>
      </c>
      <c r="N62" s="16">
        <v>18.0</v>
      </c>
      <c r="O62" s="22" t="s">
        <v>254</v>
      </c>
      <c r="P62" s="12"/>
      <c r="Q62" s="12"/>
      <c r="R62" s="12"/>
      <c r="S62" s="12"/>
    </row>
    <row r="63" ht="12.75" customHeight="1">
      <c r="A63" s="18" t="s">
        <v>177</v>
      </c>
      <c r="B63" s="19" t="s">
        <v>186</v>
      </c>
      <c r="C63" s="13">
        <f t="shared" si="3"/>
        <v>19.5</v>
      </c>
      <c r="D63" s="16">
        <f t="shared" si="4"/>
        <v>162</v>
      </c>
      <c r="E63" s="16">
        <v>166.0</v>
      </c>
      <c r="F63" s="16">
        <v>12.0</v>
      </c>
      <c r="G63" s="16">
        <v>8.0</v>
      </c>
      <c r="H63" s="16">
        <v>6.0</v>
      </c>
      <c r="I63" s="16">
        <v>12.0</v>
      </c>
      <c r="J63" s="16">
        <v>6.0</v>
      </c>
      <c r="K63" s="16">
        <v>40.0</v>
      </c>
      <c r="L63" s="16">
        <v>56.0</v>
      </c>
      <c r="M63" s="16">
        <v>4.0</v>
      </c>
      <c r="N63" s="16">
        <v>18.0</v>
      </c>
      <c r="O63" s="22" t="s">
        <v>187</v>
      </c>
      <c r="P63" s="12"/>
      <c r="Q63" s="12"/>
      <c r="R63" s="12"/>
      <c r="S63" s="12"/>
    </row>
    <row r="64" ht="12.75" customHeight="1">
      <c r="A64" s="18" t="s">
        <v>206</v>
      </c>
      <c r="B64" s="19" t="s">
        <v>247</v>
      </c>
      <c r="C64" s="13">
        <f t="shared" si="3"/>
        <v>19.5</v>
      </c>
      <c r="D64" s="16">
        <f t="shared" si="4"/>
        <v>162</v>
      </c>
      <c r="E64" s="16">
        <v>166.0</v>
      </c>
      <c r="F64" s="16">
        <v>12.0</v>
      </c>
      <c r="G64" s="16">
        <v>8.0</v>
      </c>
      <c r="H64" s="16">
        <v>6.0</v>
      </c>
      <c r="I64" s="16">
        <v>12.0</v>
      </c>
      <c r="J64" s="16">
        <v>6.0</v>
      </c>
      <c r="K64" s="16">
        <v>40.0</v>
      </c>
      <c r="L64" s="16">
        <v>60.0</v>
      </c>
      <c r="M64" s="16">
        <v>0.0</v>
      </c>
      <c r="N64" s="16">
        <v>18.0</v>
      </c>
      <c r="O64" s="22" t="s">
        <v>247</v>
      </c>
      <c r="P64" s="12"/>
      <c r="Q64" s="12"/>
      <c r="R64" s="12"/>
      <c r="S64" s="12"/>
    </row>
    <row r="65" ht="12.75" customHeight="1">
      <c r="A65" s="18" t="s">
        <v>162</v>
      </c>
      <c r="B65" s="19" t="s">
        <v>165</v>
      </c>
      <c r="C65" s="13">
        <f t="shared" si="3"/>
        <v>19.5</v>
      </c>
      <c r="D65" s="16">
        <f t="shared" si="4"/>
        <v>162</v>
      </c>
      <c r="E65" s="16">
        <v>166.0</v>
      </c>
      <c r="F65" s="16">
        <v>12.0</v>
      </c>
      <c r="G65" s="16">
        <v>4.0</v>
      </c>
      <c r="H65" s="16">
        <v>6.0</v>
      </c>
      <c r="I65" s="16">
        <v>12.0</v>
      </c>
      <c r="J65" s="16">
        <v>6.0</v>
      </c>
      <c r="K65" s="16">
        <v>40.0</v>
      </c>
      <c r="L65" s="16">
        <v>60.0</v>
      </c>
      <c r="M65" s="16">
        <v>4.0</v>
      </c>
      <c r="N65" s="16">
        <v>18.0</v>
      </c>
      <c r="O65" s="22" t="s">
        <v>165</v>
      </c>
      <c r="P65" s="12"/>
      <c r="Q65" s="12"/>
      <c r="R65" s="12"/>
      <c r="S65" s="12"/>
    </row>
    <row r="66" ht="12.75" customHeight="1">
      <c r="A66" s="18" t="s">
        <v>185</v>
      </c>
      <c r="B66" s="19" t="s">
        <v>189</v>
      </c>
      <c r="C66" s="13">
        <f t="shared" si="3"/>
        <v>19.5</v>
      </c>
      <c r="D66" s="16">
        <f t="shared" si="4"/>
        <v>162</v>
      </c>
      <c r="E66" s="16">
        <v>166.0</v>
      </c>
      <c r="F66" s="16">
        <v>12.0</v>
      </c>
      <c r="G66" s="16">
        <v>4.0</v>
      </c>
      <c r="H66" s="16">
        <v>6.0</v>
      </c>
      <c r="I66" s="16">
        <v>12.0</v>
      </c>
      <c r="J66" s="16">
        <v>6.0</v>
      </c>
      <c r="K66" s="16">
        <v>40.0</v>
      </c>
      <c r="L66" s="16">
        <v>60.0</v>
      </c>
      <c r="M66" s="16">
        <v>4.0</v>
      </c>
      <c r="N66" s="16">
        <v>18.0</v>
      </c>
      <c r="O66" s="22" t="s">
        <v>189</v>
      </c>
      <c r="P66" s="12"/>
      <c r="Q66" s="12"/>
      <c r="R66" s="12"/>
      <c r="S66" s="12"/>
    </row>
    <row r="67" ht="12.75" customHeight="1">
      <c r="A67" s="18" t="s">
        <v>200</v>
      </c>
      <c r="B67" s="19" t="s">
        <v>161</v>
      </c>
      <c r="C67" s="13">
        <f t="shared" si="3"/>
        <v>20</v>
      </c>
      <c r="D67" s="16">
        <f t="shared" si="4"/>
        <v>166</v>
      </c>
      <c r="E67" s="16">
        <v>166.0</v>
      </c>
      <c r="F67" s="16">
        <v>12.0</v>
      </c>
      <c r="G67" s="16">
        <v>8.0</v>
      </c>
      <c r="H67" s="16">
        <v>6.0</v>
      </c>
      <c r="I67" s="16">
        <v>12.0</v>
      </c>
      <c r="J67" s="16">
        <v>6.0</v>
      </c>
      <c r="K67" s="16">
        <v>40.0</v>
      </c>
      <c r="L67" s="16">
        <v>60.0</v>
      </c>
      <c r="M67" s="16">
        <v>4.0</v>
      </c>
      <c r="N67" s="16">
        <v>18.0</v>
      </c>
      <c r="O67" s="22" t="s">
        <v>161</v>
      </c>
      <c r="P67" s="12"/>
      <c r="Q67" s="12"/>
      <c r="R67" s="12"/>
      <c r="S67" s="12"/>
    </row>
    <row r="68" ht="12.75" customHeight="1">
      <c r="A68" s="18" t="s">
        <v>175</v>
      </c>
      <c r="B68" s="19" t="s">
        <v>224</v>
      </c>
      <c r="C68" s="13">
        <f t="shared" si="3"/>
        <v>20</v>
      </c>
      <c r="D68" s="16">
        <f t="shared" si="4"/>
        <v>166</v>
      </c>
      <c r="E68" s="16">
        <v>166.0</v>
      </c>
      <c r="F68" s="16">
        <v>12.0</v>
      </c>
      <c r="G68" s="16">
        <v>8.0</v>
      </c>
      <c r="H68" s="16">
        <v>6.0</v>
      </c>
      <c r="I68" s="16">
        <v>12.0</v>
      </c>
      <c r="J68" s="16">
        <v>6.0</v>
      </c>
      <c r="K68" s="16">
        <v>40.0</v>
      </c>
      <c r="L68" s="16">
        <v>60.0</v>
      </c>
      <c r="M68" s="16">
        <v>4.0</v>
      </c>
      <c r="N68" s="16">
        <v>18.0</v>
      </c>
      <c r="O68" s="22" t="s">
        <v>224</v>
      </c>
      <c r="P68" s="12"/>
      <c r="Q68" s="12"/>
      <c r="R68" s="12"/>
      <c r="S68" s="12"/>
    </row>
    <row r="69" ht="12.75" customHeight="1">
      <c r="A69" s="18" t="s">
        <v>116</v>
      </c>
      <c r="B69" s="19" t="s">
        <v>144</v>
      </c>
      <c r="C69" s="13">
        <f t="shared" si="3"/>
        <v>20</v>
      </c>
      <c r="D69" s="16">
        <f t="shared" si="4"/>
        <v>166</v>
      </c>
      <c r="E69" s="16">
        <v>166.0</v>
      </c>
      <c r="F69" s="16">
        <v>12.0</v>
      </c>
      <c r="G69" s="16">
        <v>8.0</v>
      </c>
      <c r="H69" s="16">
        <v>6.0</v>
      </c>
      <c r="I69" s="16">
        <v>12.0</v>
      </c>
      <c r="J69" s="16">
        <v>6.0</v>
      </c>
      <c r="K69" s="16">
        <v>40.0</v>
      </c>
      <c r="L69" s="16">
        <v>60.0</v>
      </c>
      <c r="M69" s="16">
        <v>4.0</v>
      </c>
      <c r="N69" s="16">
        <v>18.0</v>
      </c>
      <c r="O69" s="22" t="s">
        <v>261</v>
      </c>
      <c r="P69" s="12"/>
      <c r="Q69" s="12"/>
      <c r="R69" s="12"/>
      <c r="S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</sheetData>
  <mergeCells count="2">
    <mergeCell ref="D2:E2"/>
    <mergeCell ref="D3:E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5.14"/>
    <col customWidth="1" min="3" max="5" width="10.86"/>
    <col customWidth="1" min="6" max="6" width="4.86"/>
    <col customWidth="1" min="7" max="7" width="10.86"/>
    <col customWidth="1" min="8" max="19" width="8.71"/>
  </cols>
  <sheetData>
    <row r="1" ht="12.75" customHeight="1">
      <c r="A1" s="8" t="s">
        <v>93</v>
      </c>
      <c r="B1" s="9" t="s">
        <v>94</v>
      </c>
      <c r="C1" s="8" t="s">
        <v>95</v>
      </c>
      <c r="D1" s="8" t="s">
        <v>96</v>
      </c>
      <c r="E1" s="8" t="s">
        <v>97</v>
      </c>
      <c r="F1" s="10" t="s">
        <v>262</v>
      </c>
      <c r="G1" s="11" t="s">
        <v>107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2.75" customHeight="1">
      <c r="A2" s="12"/>
      <c r="B2" s="12"/>
      <c r="C2" s="13">
        <v>20.0</v>
      </c>
      <c r="D2" s="14" t="s">
        <v>97</v>
      </c>
      <c r="E2" s="15"/>
      <c r="F2" s="16">
        <v>16.0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ht="12.75" customHeight="1">
      <c r="A3" s="12"/>
      <c r="B3" s="12"/>
      <c r="C3" s="13">
        <f>AVERAGE(C6,C10:C69)</f>
        <v>17.39344262</v>
      </c>
      <c r="D3" s="14" t="s">
        <v>108</v>
      </c>
      <c r="E3" s="15"/>
      <c r="F3" s="17">
        <f>AVERAGE(F6,F10:F69)/F2</f>
        <v>0.8729508197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ht="12.75" customHeight="1">
      <c r="A4" s="18"/>
      <c r="B4" s="19" t="s">
        <v>241</v>
      </c>
      <c r="C4" s="20" t="s">
        <v>110</v>
      </c>
      <c r="D4" s="21">
        <f t="shared" ref="D4:D5" si="1">SUM(A4)</f>
        <v>0</v>
      </c>
      <c r="E4" s="21"/>
      <c r="F4" s="21"/>
      <c r="G4" s="2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ht="12.75" customHeight="1">
      <c r="A5" s="18"/>
      <c r="B5" s="19" t="s">
        <v>128</v>
      </c>
      <c r="C5" s="20" t="s">
        <v>110</v>
      </c>
      <c r="D5" s="21">
        <f t="shared" si="1"/>
        <v>0</v>
      </c>
      <c r="E5" s="21"/>
      <c r="F5" s="21"/>
      <c r="G5" s="2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ht="12.75" customHeight="1">
      <c r="A6" s="18" t="s">
        <v>172</v>
      </c>
      <c r="B6" s="19" t="s">
        <v>117</v>
      </c>
      <c r="C6" s="13">
        <f>IF($C$2&gt;0,MIN($C$2,ROUNDDOWN(D6/E6*$C$2/0.5,0)*0.5),ROUNDDOWN(D6/0.5,0)*0.5)</f>
        <v>0</v>
      </c>
      <c r="D6" s="16">
        <f>SUM(F6)</f>
        <v>0</v>
      </c>
      <c r="E6" s="16">
        <v>16.0</v>
      </c>
      <c r="F6" s="16">
        <v>0.0</v>
      </c>
      <c r="G6" s="22" t="s">
        <v>118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ht="12.75" customHeight="1">
      <c r="A7" s="18"/>
      <c r="B7" s="19" t="s">
        <v>109</v>
      </c>
      <c r="C7" s="20" t="s">
        <v>110</v>
      </c>
      <c r="D7" s="21">
        <f t="shared" ref="D7:D9" si="2">SUM(A7)</f>
        <v>0</v>
      </c>
      <c r="E7" s="21"/>
      <c r="F7" s="21"/>
      <c r="G7" s="2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2.75" customHeight="1">
      <c r="A8" s="18"/>
      <c r="B8" s="19" t="s">
        <v>111</v>
      </c>
      <c r="C8" s="20" t="s">
        <v>110</v>
      </c>
      <c r="D8" s="21">
        <f t="shared" si="2"/>
        <v>0</v>
      </c>
      <c r="E8" s="21"/>
      <c r="F8" s="21"/>
      <c r="G8" s="2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ht="12.75" customHeight="1">
      <c r="A9" s="18"/>
      <c r="B9" s="19" t="s">
        <v>112</v>
      </c>
      <c r="C9" s="20" t="s">
        <v>110</v>
      </c>
      <c r="D9" s="21">
        <f t="shared" si="2"/>
        <v>0</v>
      </c>
      <c r="E9" s="21"/>
      <c r="F9" s="21"/>
      <c r="G9" s="2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ht="12.75" customHeight="1">
      <c r="A10" s="18" t="s">
        <v>127</v>
      </c>
      <c r="B10" s="19" t="s">
        <v>147</v>
      </c>
      <c r="C10" s="13">
        <f t="shared" ref="C10:C69" si="3">IF($C$2&gt;0,MIN($C$2,ROUNDDOWN(D10/E10*$C$2/0.5,0)*0.5),ROUNDDOWN(D10/0.5,0)*0.5)</f>
        <v>6</v>
      </c>
      <c r="D10" s="16">
        <f t="shared" ref="D10:D69" si="4">SUM(F10)</f>
        <v>5</v>
      </c>
      <c r="E10" s="16">
        <v>16.0</v>
      </c>
      <c r="F10" s="16">
        <v>5.0</v>
      </c>
      <c r="G10" s="22" t="s">
        <v>145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ht="12.75" customHeight="1">
      <c r="A11" s="18" t="s">
        <v>156</v>
      </c>
      <c r="B11" s="19" t="s">
        <v>136</v>
      </c>
      <c r="C11" s="13">
        <f t="shared" si="3"/>
        <v>7.5</v>
      </c>
      <c r="D11" s="16">
        <f t="shared" si="4"/>
        <v>6</v>
      </c>
      <c r="E11" s="16">
        <v>16.0</v>
      </c>
      <c r="F11" s="16">
        <v>6.0</v>
      </c>
      <c r="G11" s="22" t="s">
        <v>136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ht="12.75" customHeight="1">
      <c r="A12" s="18" t="s">
        <v>244</v>
      </c>
      <c r="B12" s="19" t="s">
        <v>197</v>
      </c>
      <c r="C12" s="13">
        <f t="shared" si="3"/>
        <v>8.5</v>
      </c>
      <c r="D12" s="16">
        <f t="shared" si="4"/>
        <v>7</v>
      </c>
      <c r="E12" s="16">
        <v>16.0</v>
      </c>
      <c r="F12" s="16">
        <v>7.0</v>
      </c>
      <c r="G12" s="22" t="s">
        <v>197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ht="12.75" customHeight="1">
      <c r="A13" s="18" t="s">
        <v>135</v>
      </c>
      <c r="B13" s="19" t="s">
        <v>131</v>
      </c>
      <c r="C13" s="13">
        <f t="shared" si="3"/>
        <v>8.5</v>
      </c>
      <c r="D13" s="16">
        <f t="shared" si="4"/>
        <v>7</v>
      </c>
      <c r="E13" s="16">
        <v>16.0</v>
      </c>
      <c r="F13" s="16">
        <v>7.0</v>
      </c>
      <c r="G13" s="22" t="s">
        <v>131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ht="12.75" customHeight="1">
      <c r="A14" s="18" t="s">
        <v>220</v>
      </c>
      <c r="B14" s="19" t="s">
        <v>133</v>
      </c>
      <c r="C14" s="13">
        <f t="shared" si="3"/>
        <v>8.5</v>
      </c>
      <c r="D14" s="16">
        <f t="shared" si="4"/>
        <v>7</v>
      </c>
      <c r="E14" s="16">
        <v>16.0</v>
      </c>
      <c r="F14" s="16">
        <v>7.0</v>
      </c>
      <c r="G14" s="22" t="s">
        <v>263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ht="12.75" customHeight="1">
      <c r="A15" s="18" t="s">
        <v>175</v>
      </c>
      <c r="B15" s="19" t="s">
        <v>154</v>
      </c>
      <c r="C15" s="13">
        <f t="shared" si="3"/>
        <v>8.5</v>
      </c>
      <c r="D15" s="16">
        <f t="shared" si="4"/>
        <v>7</v>
      </c>
      <c r="E15" s="16">
        <v>16.0</v>
      </c>
      <c r="F15" s="16">
        <v>7.0</v>
      </c>
      <c r="G15" s="22" t="s">
        <v>264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ht="12.75" customHeight="1">
      <c r="A16" s="18" t="s">
        <v>236</v>
      </c>
      <c r="B16" s="19" t="s">
        <v>234</v>
      </c>
      <c r="C16" s="13">
        <f t="shared" si="3"/>
        <v>8.5</v>
      </c>
      <c r="D16" s="16">
        <f t="shared" si="4"/>
        <v>7</v>
      </c>
      <c r="E16" s="16">
        <v>16.0</v>
      </c>
      <c r="F16" s="16">
        <v>7.0</v>
      </c>
      <c r="G16" s="22" t="s">
        <v>234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ht="12.75" customHeight="1">
      <c r="A17" s="18" t="s">
        <v>132</v>
      </c>
      <c r="B17" s="19" t="s">
        <v>245</v>
      </c>
      <c r="C17" s="13">
        <f t="shared" si="3"/>
        <v>10</v>
      </c>
      <c r="D17" s="16">
        <f t="shared" si="4"/>
        <v>8</v>
      </c>
      <c r="E17" s="16">
        <v>16.0</v>
      </c>
      <c r="F17" s="16">
        <v>8.0</v>
      </c>
      <c r="G17" s="22" t="s">
        <v>245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ht="12.75" customHeight="1">
      <c r="A18" s="18" t="s">
        <v>255</v>
      </c>
      <c r="B18" s="19" t="s">
        <v>176</v>
      </c>
      <c r="C18" s="13">
        <f t="shared" si="3"/>
        <v>10</v>
      </c>
      <c r="D18" s="16">
        <f t="shared" si="4"/>
        <v>8</v>
      </c>
      <c r="E18" s="16">
        <v>16.0</v>
      </c>
      <c r="F18" s="16">
        <v>8.0</v>
      </c>
      <c r="G18" s="22" t="s">
        <v>265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ht="12.75" customHeight="1">
      <c r="A19" s="18" t="s">
        <v>164</v>
      </c>
      <c r="B19" s="19" t="s">
        <v>167</v>
      </c>
      <c r="C19" s="13">
        <f t="shared" si="3"/>
        <v>10</v>
      </c>
      <c r="D19" s="16">
        <f t="shared" si="4"/>
        <v>8</v>
      </c>
      <c r="E19" s="16">
        <v>16.0</v>
      </c>
      <c r="F19" s="16">
        <v>8.0</v>
      </c>
      <c r="G19" s="22" t="s">
        <v>167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ht="12.75" customHeight="1">
      <c r="A20" s="18" t="s">
        <v>188</v>
      </c>
      <c r="B20" s="19" t="s">
        <v>254</v>
      </c>
      <c r="C20" s="13">
        <f t="shared" si="3"/>
        <v>16</v>
      </c>
      <c r="D20" s="16">
        <f t="shared" si="4"/>
        <v>13</v>
      </c>
      <c r="E20" s="16">
        <v>16.0</v>
      </c>
      <c r="F20" s="16">
        <v>13.0</v>
      </c>
      <c r="G20" s="22" t="s">
        <v>254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ht="12.75" customHeight="1">
      <c r="A21" s="18" t="s">
        <v>139</v>
      </c>
      <c r="B21" s="19" t="s">
        <v>199</v>
      </c>
      <c r="C21" s="13">
        <f t="shared" si="3"/>
        <v>17.5</v>
      </c>
      <c r="D21" s="16">
        <f t="shared" si="4"/>
        <v>14</v>
      </c>
      <c r="E21" s="16">
        <v>16.0</v>
      </c>
      <c r="F21" s="16">
        <v>14.0</v>
      </c>
      <c r="G21" s="22" t="s">
        <v>199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ht="12.75" customHeight="1">
      <c r="A22" s="18" t="s">
        <v>137</v>
      </c>
      <c r="B22" s="19" t="s">
        <v>120</v>
      </c>
      <c r="C22" s="13">
        <f t="shared" si="3"/>
        <v>17.5</v>
      </c>
      <c r="D22" s="16">
        <f t="shared" si="4"/>
        <v>14</v>
      </c>
      <c r="E22" s="16">
        <v>16.0</v>
      </c>
      <c r="F22" s="16">
        <v>14.0</v>
      </c>
      <c r="G22" s="22" t="s">
        <v>266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ht="12.75" customHeight="1">
      <c r="A23" s="18" t="s">
        <v>248</v>
      </c>
      <c r="B23" s="19" t="s">
        <v>173</v>
      </c>
      <c r="C23" s="13">
        <f t="shared" si="3"/>
        <v>17.5</v>
      </c>
      <c r="D23" s="16">
        <f t="shared" si="4"/>
        <v>14</v>
      </c>
      <c r="E23" s="16">
        <v>16.0</v>
      </c>
      <c r="F23" s="16">
        <v>14.0</v>
      </c>
      <c r="G23" s="22" t="s">
        <v>173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ht="12.75" customHeight="1">
      <c r="A24" s="18" t="s">
        <v>183</v>
      </c>
      <c r="B24" s="19" t="s">
        <v>152</v>
      </c>
      <c r="C24" s="13">
        <f t="shared" si="3"/>
        <v>18.5</v>
      </c>
      <c r="D24" s="16">
        <f t="shared" si="4"/>
        <v>15</v>
      </c>
      <c r="E24" s="16">
        <v>16.0</v>
      </c>
      <c r="F24" s="16">
        <v>15.0</v>
      </c>
      <c r="G24" s="22" t="s">
        <v>152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ht="12.75" customHeight="1">
      <c r="A25" s="18" t="s">
        <v>231</v>
      </c>
      <c r="B25" s="19" t="s">
        <v>159</v>
      </c>
      <c r="C25" s="13">
        <f t="shared" si="3"/>
        <v>18.5</v>
      </c>
      <c r="D25" s="16">
        <f t="shared" si="4"/>
        <v>15</v>
      </c>
      <c r="E25" s="16">
        <v>16.0</v>
      </c>
      <c r="F25" s="16">
        <v>15.0</v>
      </c>
      <c r="G25" s="22" t="s">
        <v>267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ht="12.75" customHeight="1">
      <c r="A26" s="18" t="s">
        <v>160</v>
      </c>
      <c r="B26" s="19" t="s">
        <v>193</v>
      </c>
      <c r="C26" s="13">
        <f t="shared" si="3"/>
        <v>18.5</v>
      </c>
      <c r="D26" s="16">
        <f t="shared" si="4"/>
        <v>15</v>
      </c>
      <c r="E26" s="16">
        <v>16.0</v>
      </c>
      <c r="F26" s="16">
        <v>15.0</v>
      </c>
      <c r="G26" s="22" t="s">
        <v>193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ht="12.75" customHeight="1">
      <c r="A27" s="18" t="s">
        <v>124</v>
      </c>
      <c r="B27" s="19" t="s">
        <v>140</v>
      </c>
      <c r="C27" s="13">
        <f t="shared" si="3"/>
        <v>18.5</v>
      </c>
      <c r="D27" s="16">
        <f t="shared" si="4"/>
        <v>15</v>
      </c>
      <c r="E27" s="16">
        <v>16.0</v>
      </c>
      <c r="F27" s="16">
        <v>15.0</v>
      </c>
      <c r="G27" s="22" t="s">
        <v>145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ht="12.75" customHeight="1">
      <c r="A28" s="18" t="s">
        <v>242</v>
      </c>
      <c r="B28" s="19" t="s">
        <v>186</v>
      </c>
      <c r="C28" s="13">
        <f t="shared" si="3"/>
        <v>18.5</v>
      </c>
      <c r="D28" s="16">
        <f t="shared" si="4"/>
        <v>15</v>
      </c>
      <c r="E28" s="16">
        <v>16.0</v>
      </c>
      <c r="F28" s="16">
        <v>15.0</v>
      </c>
      <c r="G28" s="22" t="s">
        <v>268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ht="12.75" customHeight="1">
      <c r="A29" s="18" t="s">
        <v>198</v>
      </c>
      <c r="B29" s="19" t="s">
        <v>247</v>
      </c>
      <c r="C29" s="13">
        <f t="shared" si="3"/>
        <v>18.5</v>
      </c>
      <c r="D29" s="16">
        <f t="shared" si="4"/>
        <v>15</v>
      </c>
      <c r="E29" s="16">
        <v>16.0</v>
      </c>
      <c r="F29" s="16">
        <v>15.0</v>
      </c>
      <c r="G29" s="22" t="s">
        <v>247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ht="12.75" customHeight="1">
      <c r="A30" s="18" t="s">
        <v>190</v>
      </c>
      <c r="B30" s="19" t="s">
        <v>215</v>
      </c>
      <c r="C30" s="13">
        <f t="shared" si="3"/>
        <v>18.5</v>
      </c>
      <c r="D30" s="16">
        <f t="shared" si="4"/>
        <v>15</v>
      </c>
      <c r="E30" s="16">
        <v>16.0</v>
      </c>
      <c r="F30" s="16">
        <v>15.0</v>
      </c>
      <c r="G30" s="22" t="s">
        <v>145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ht="12.75" customHeight="1">
      <c r="A31" s="18" t="s">
        <v>204</v>
      </c>
      <c r="B31" s="19" t="s">
        <v>189</v>
      </c>
      <c r="C31" s="13">
        <f t="shared" si="3"/>
        <v>18.5</v>
      </c>
      <c r="D31" s="16">
        <f t="shared" si="4"/>
        <v>15</v>
      </c>
      <c r="E31" s="16">
        <v>16.0</v>
      </c>
      <c r="F31" s="16">
        <v>15.0</v>
      </c>
      <c r="G31" s="22" t="s">
        <v>189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ht="12.75" customHeight="1">
      <c r="A32" s="18" t="s">
        <v>217</v>
      </c>
      <c r="B32" s="19" t="s">
        <v>180</v>
      </c>
      <c r="C32" s="13">
        <f t="shared" si="3"/>
        <v>18.5</v>
      </c>
      <c r="D32" s="16">
        <f t="shared" si="4"/>
        <v>15</v>
      </c>
      <c r="E32" s="16">
        <v>16.0</v>
      </c>
      <c r="F32" s="16">
        <v>15.0</v>
      </c>
      <c r="G32" s="22" t="s">
        <v>180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ht="12.75" customHeight="1">
      <c r="A33" s="18" t="s">
        <v>194</v>
      </c>
      <c r="B33" s="19" t="s">
        <v>182</v>
      </c>
      <c r="C33" s="13">
        <f t="shared" si="3"/>
        <v>20</v>
      </c>
      <c r="D33" s="16">
        <f t="shared" si="4"/>
        <v>16</v>
      </c>
      <c r="E33" s="16">
        <v>16.0</v>
      </c>
      <c r="F33" s="16">
        <v>16.0</v>
      </c>
      <c r="G33" s="22" t="s">
        <v>182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ht="12.75" customHeight="1">
      <c r="A34" s="18" t="s">
        <v>212</v>
      </c>
      <c r="B34" s="19" t="s">
        <v>201</v>
      </c>
      <c r="C34" s="13">
        <f t="shared" si="3"/>
        <v>20</v>
      </c>
      <c r="D34" s="16">
        <f t="shared" si="4"/>
        <v>16</v>
      </c>
      <c r="E34" s="16">
        <v>16.0</v>
      </c>
      <c r="F34" s="16">
        <v>16.0</v>
      </c>
      <c r="G34" s="22" t="s">
        <v>201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ht="12.75" customHeight="1">
      <c r="A35" s="18" t="s">
        <v>179</v>
      </c>
      <c r="B35" s="19" t="s">
        <v>243</v>
      </c>
      <c r="C35" s="13">
        <f t="shared" si="3"/>
        <v>20</v>
      </c>
      <c r="D35" s="16">
        <f t="shared" si="4"/>
        <v>16</v>
      </c>
      <c r="E35" s="16">
        <v>16.0</v>
      </c>
      <c r="F35" s="16">
        <v>16.0</v>
      </c>
      <c r="G35" s="22" t="s">
        <v>243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ht="12.75" customHeight="1">
      <c r="A36" s="18" t="s">
        <v>143</v>
      </c>
      <c r="B36" s="19" t="s">
        <v>161</v>
      </c>
      <c r="C36" s="13">
        <f t="shared" si="3"/>
        <v>20</v>
      </c>
      <c r="D36" s="16">
        <f t="shared" si="4"/>
        <v>16</v>
      </c>
      <c r="E36" s="16">
        <v>16.0</v>
      </c>
      <c r="F36" s="16">
        <v>16.0</v>
      </c>
      <c r="G36" s="22" t="s">
        <v>161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ht="12.75" customHeight="1">
      <c r="A37" s="18" t="s">
        <v>122</v>
      </c>
      <c r="B37" s="19" t="s">
        <v>191</v>
      </c>
      <c r="C37" s="13">
        <f t="shared" si="3"/>
        <v>20</v>
      </c>
      <c r="D37" s="16">
        <f t="shared" si="4"/>
        <v>16</v>
      </c>
      <c r="E37" s="16">
        <v>16.0</v>
      </c>
      <c r="F37" s="16">
        <v>16.0</v>
      </c>
      <c r="G37" s="22" t="s">
        <v>191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ht="12.75" customHeight="1">
      <c r="A38" s="18" t="s">
        <v>181</v>
      </c>
      <c r="B38" s="19" t="s">
        <v>224</v>
      </c>
      <c r="C38" s="13">
        <f t="shared" si="3"/>
        <v>20</v>
      </c>
      <c r="D38" s="16">
        <f t="shared" si="4"/>
        <v>16</v>
      </c>
      <c r="E38" s="16">
        <v>16.0</v>
      </c>
      <c r="F38" s="16">
        <v>16.0</v>
      </c>
      <c r="G38" s="22" t="s">
        <v>224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ht="12.75" customHeight="1">
      <c r="A39" s="18" t="s">
        <v>185</v>
      </c>
      <c r="B39" s="19" t="s">
        <v>184</v>
      </c>
      <c r="C39" s="13">
        <f t="shared" si="3"/>
        <v>20</v>
      </c>
      <c r="D39" s="16">
        <f t="shared" si="4"/>
        <v>16</v>
      </c>
      <c r="E39" s="16">
        <v>16.0</v>
      </c>
      <c r="F39" s="16">
        <v>16.0</v>
      </c>
      <c r="G39" s="22" t="s">
        <v>184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ht="12.75" customHeight="1">
      <c r="A40" s="18" t="s">
        <v>257</v>
      </c>
      <c r="B40" s="19" t="s">
        <v>227</v>
      </c>
      <c r="C40" s="13">
        <f t="shared" si="3"/>
        <v>20</v>
      </c>
      <c r="D40" s="16">
        <f t="shared" si="4"/>
        <v>16</v>
      </c>
      <c r="E40" s="16">
        <v>16.0</v>
      </c>
      <c r="F40" s="16">
        <v>16.0</v>
      </c>
      <c r="G40" s="22" t="s">
        <v>227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ht="12.75" customHeight="1">
      <c r="A41" s="18" t="s">
        <v>253</v>
      </c>
      <c r="B41" s="19" t="s">
        <v>251</v>
      </c>
      <c r="C41" s="13">
        <f t="shared" si="3"/>
        <v>20</v>
      </c>
      <c r="D41" s="16">
        <f t="shared" si="4"/>
        <v>16</v>
      </c>
      <c r="E41" s="16">
        <v>16.0</v>
      </c>
      <c r="F41" s="16">
        <v>16.0</v>
      </c>
      <c r="G41" s="22" t="s">
        <v>251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ht="12.75" customHeight="1">
      <c r="A42" s="18" t="s">
        <v>226</v>
      </c>
      <c r="B42" s="19" t="s">
        <v>123</v>
      </c>
      <c r="C42" s="13">
        <f t="shared" si="3"/>
        <v>20</v>
      </c>
      <c r="D42" s="16">
        <f t="shared" si="4"/>
        <v>16</v>
      </c>
      <c r="E42" s="16">
        <v>16.0</v>
      </c>
      <c r="F42" s="16">
        <v>16.0</v>
      </c>
      <c r="G42" s="22" t="s">
        <v>269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ht="12.75" customHeight="1">
      <c r="A43" s="18" t="s">
        <v>177</v>
      </c>
      <c r="B43" s="19" t="s">
        <v>203</v>
      </c>
      <c r="C43" s="13">
        <f t="shared" si="3"/>
        <v>20</v>
      </c>
      <c r="D43" s="16">
        <f t="shared" si="4"/>
        <v>16</v>
      </c>
      <c r="E43" s="16">
        <v>16.0</v>
      </c>
      <c r="F43" s="16">
        <v>16.0</v>
      </c>
      <c r="G43" s="22" t="s">
        <v>203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ht="12.75" customHeight="1">
      <c r="A44" s="18" t="s">
        <v>170</v>
      </c>
      <c r="B44" s="19" t="s">
        <v>171</v>
      </c>
      <c r="C44" s="13">
        <f t="shared" si="3"/>
        <v>20</v>
      </c>
      <c r="D44" s="16">
        <f t="shared" si="4"/>
        <v>16</v>
      </c>
      <c r="E44" s="16">
        <v>16.0</v>
      </c>
      <c r="F44" s="16">
        <v>16.0</v>
      </c>
      <c r="G44" s="22" t="s">
        <v>270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ht="12.75" customHeight="1">
      <c r="A45" s="18" t="s">
        <v>238</v>
      </c>
      <c r="B45" s="19" t="s">
        <v>205</v>
      </c>
      <c r="C45" s="13">
        <f t="shared" si="3"/>
        <v>20</v>
      </c>
      <c r="D45" s="16">
        <f t="shared" si="4"/>
        <v>16</v>
      </c>
      <c r="E45" s="16">
        <v>16.0</v>
      </c>
      <c r="F45" s="16">
        <v>16.0</v>
      </c>
      <c r="G45" s="22" t="s">
        <v>205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ht="12.75" customHeight="1">
      <c r="A46" s="18" t="s">
        <v>246</v>
      </c>
      <c r="B46" s="19" t="s">
        <v>163</v>
      </c>
      <c r="C46" s="13">
        <f t="shared" si="3"/>
        <v>20</v>
      </c>
      <c r="D46" s="16">
        <f t="shared" si="4"/>
        <v>16</v>
      </c>
      <c r="E46" s="16">
        <v>16.0</v>
      </c>
      <c r="F46" s="16">
        <v>16.0</v>
      </c>
      <c r="G46" s="22" t="s">
        <v>163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ht="12.75" customHeight="1">
      <c r="A47" s="18" t="s">
        <v>229</v>
      </c>
      <c r="B47" s="19" t="s">
        <v>207</v>
      </c>
      <c r="C47" s="13">
        <f t="shared" si="3"/>
        <v>20</v>
      </c>
      <c r="D47" s="16">
        <f t="shared" si="4"/>
        <v>16</v>
      </c>
      <c r="E47" s="16">
        <v>16.0</v>
      </c>
      <c r="F47" s="16">
        <v>16.0</v>
      </c>
      <c r="G47" s="22" t="s">
        <v>207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ht="12.75" customHeight="1">
      <c r="A48" s="18" t="s">
        <v>151</v>
      </c>
      <c r="B48" s="19" t="s">
        <v>230</v>
      </c>
      <c r="C48" s="13">
        <f t="shared" si="3"/>
        <v>20</v>
      </c>
      <c r="D48" s="16">
        <f t="shared" si="4"/>
        <v>16</v>
      </c>
      <c r="E48" s="16">
        <v>16.0</v>
      </c>
      <c r="F48" s="16">
        <v>16.0</v>
      </c>
      <c r="G48" s="22" t="s">
        <v>230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ht="12.75" customHeight="1">
      <c r="A49" s="18" t="s">
        <v>192</v>
      </c>
      <c r="B49" s="19" t="s">
        <v>210</v>
      </c>
      <c r="C49" s="13">
        <f t="shared" si="3"/>
        <v>20</v>
      </c>
      <c r="D49" s="16">
        <f t="shared" si="4"/>
        <v>16</v>
      </c>
      <c r="E49" s="16">
        <v>16.0</v>
      </c>
      <c r="F49" s="16">
        <v>16.0</v>
      </c>
      <c r="G49" s="22" t="s">
        <v>210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ht="12.75" customHeight="1">
      <c r="A50" s="18" t="s">
        <v>214</v>
      </c>
      <c r="B50" s="19" t="s">
        <v>138</v>
      </c>
      <c r="C50" s="13">
        <f t="shared" si="3"/>
        <v>20</v>
      </c>
      <c r="D50" s="16">
        <f t="shared" si="4"/>
        <v>16</v>
      </c>
      <c r="E50" s="16">
        <v>16.0</v>
      </c>
      <c r="F50" s="16">
        <v>16.0</v>
      </c>
      <c r="G50" s="22" t="s">
        <v>145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ht="12.75" customHeight="1">
      <c r="A51" s="18" t="s">
        <v>116</v>
      </c>
      <c r="B51" s="19" t="s">
        <v>213</v>
      </c>
      <c r="C51" s="13">
        <f t="shared" si="3"/>
        <v>20</v>
      </c>
      <c r="D51" s="16">
        <f t="shared" si="4"/>
        <v>16</v>
      </c>
      <c r="E51" s="16">
        <v>16.0</v>
      </c>
      <c r="F51" s="16">
        <v>16.0</v>
      </c>
      <c r="G51" s="22" t="s">
        <v>145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ht="12.75" customHeight="1">
      <c r="A52" s="18" t="s">
        <v>250</v>
      </c>
      <c r="B52" s="19" t="s">
        <v>232</v>
      </c>
      <c r="C52" s="13">
        <f t="shared" si="3"/>
        <v>20</v>
      </c>
      <c r="D52" s="16">
        <f t="shared" si="4"/>
        <v>16</v>
      </c>
      <c r="E52" s="16">
        <v>16.0</v>
      </c>
      <c r="F52" s="16">
        <v>16.0</v>
      </c>
      <c r="G52" s="22" t="s">
        <v>232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ht="12.75" customHeight="1">
      <c r="A53" s="18" t="s">
        <v>149</v>
      </c>
      <c r="B53" s="19" t="s">
        <v>142</v>
      </c>
      <c r="C53" s="13">
        <f t="shared" si="3"/>
        <v>20</v>
      </c>
      <c r="D53" s="16">
        <f t="shared" si="4"/>
        <v>16</v>
      </c>
      <c r="E53" s="16">
        <v>16.0</v>
      </c>
      <c r="F53" s="16">
        <v>16.0</v>
      </c>
      <c r="G53" s="22" t="s">
        <v>142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ht="12.75" customHeight="1">
      <c r="A54" s="18" t="s">
        <v>168</v>
      </c>
      <c r="B54" s="19" t="s">
        <v>249</v>
      </c>
      <c r="C54" s="13">
        <f t="shared" si="3"/>
        <v>20</v>
      </c>
      <c r="D54" s="16">
        <f t="shared" si="4"/>
        <v>16</v>
      </c>
      <c r="E54" s="16">
        <v>16.0</v>
      </c>
      <c r="F54" s="16">
        <v>16.0</v>
      </c>
      <c r="G54" s="22" t="s">
        <v>249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ht="12.75" customHeight="1">
      <c r="A55" s="18" t="s">
        <v>206</v>
      </c>
      <c r="B55" s="19" t="s">
        <v>225</v>
      </c>
      <c r="C55" s="13">
        <f t="shared" si="3"/>
        <v>20</v>
      </c>
      <c r="D55" s="16">
        <f t="shared" si="4"/>
        <v>16</v>
      </c>
      <c r="E55" s="16">
        <v>16.0</v>
      </c>
      <c r="F55" s="16">
        <v>16.0</v>
      </c>
      <c r="G55" s="22" t="s">
        <v>225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ht="12.75" customHeight="1">
      <c r="A56" s="18" t="s">
        <v>166</v>
      </c>
      <c r="B56" s="19" t="s">
        <v>157</v>
      </c>
      <c r="C56" s="13">
        <f t="shared" si="3"/>
        <v>20</v>
      </c>
      <c r="D56" s="16">
        <f t="shared" si="4"/>
        <v>16</v>
      </c>
      <c r="E56" s="16">
        <v>16.0</v>
      </c>
      <c r="F56" s="16">
        <v>16.0</v>
      </c>
      <c r="G56" s="22" t="s">
        <v>157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ht="12.75" customHeight="1">
      <c r="A57" s="18" t="s">
        <v>240</v>
      </c>
      <c r="B57" s="19" t="s">
        <v>165</v>
      </c>
      <c r="C57" s="13">
        <f t="shared" si="3"/>
        <v>20</v>
      </c>
      <c r="D57" s="16">
        <f t="shared" si="4"/>
        <v>16</v>
      </c>
      <c r="E57" s="16">
        <v>16.0</v>
      </c>
      <c r="F57" s="16">
        <v>16.0</v>
      </c>
      <c r="G57" s="22" t="s">
        <v>165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ht="12.75" customHeight="1">
      <c r="A58" s="18" t="s">
        <v>223</v>
      </c>
      <c r="B58" s="19" t="s">
        <v>218</v>
      </c>
      <c r="C58" s="13">
        <f t="shared" si="3"/>
        <v>20</v>
      </c>
      <c r="D58" s="16">
        <f t="shared" si="4"/>
        <v>16</v>
      </c>
      <c r="E58" s="16">
        <v>16.0</v>
      </c>
      <c r="F58" s="16">
        <v>16.0</v>
      </c>
      <c r="G58" s="22" t="s">
        <v>218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ht="12.75" customHeight="1">
      <c r="A59" s="18" t="s">
        <v>202</v>
      </c>
      <c r="B59" s="19" t="s">
        <v>195</v>
      </c>
      <c r="C59" s="13">
        <f t="shared" si="3"/>
        <v>20</v>
      </c>
      <c r="D59" s="16">
        <f t="shared" si="4"/>
        <v>16</v>
      </c>
      <c r="E59" s="16">
        <v>16.0</v>
      </c>
      <c r="F59" s="16">
        <v>16.0</v>
      </c>
      <c r="G59" s="22" t="s">
        <v>195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ht="12.75" customHeight="1">
      <c r="A60" s="18" t="s">
        <v>158</v>
      </c>
      <c r="B60" s="19" t="s">
        <v>237</v>
      </c>
      <c r="C60" s="13">
        <f t="shared" si="3"/>
        <v>20</v>
      </c>
      <c r="D60" s="16">
        <f t="shared" si="4"/>
        <v>16</v>
      </c>
      <c r="E60" s="16">
        <v>16.0</v>
      </c>
      <c r="F60" s="16">
        <v>16.0</v>
      </c>
      <c r="G60" s="22" t="s">
        <v>237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ht="12.75" customHeight="1">
      <c r="A61" s="18" t="s">
        <v>162</v>
      </c>
      <c r="B61" s="19" t="s">
        <v>178</v>
      </c>
      <c r="C61" s="13">
        <f t="shared" si="3"/>
        <v>20</v>
      </c>
      <c r="D61" s="16">
        <f t="shared" si="4"/>
        <v>16</v>
      </c>
      <c r="E61" s="16">
        <v>16.0</v>
      </c>
      <c r="F61" s="16">
        <v>16.0</v>
      </c>
      <c r="G61" s="22" t="s">
        <v>178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ht="12.75" customHeight="1">
      <c r="A62" s="18" t="s">
        <v>146</v>
      </c>
      <c r="B62" s="19" t="s">
        <v>144</v>
      </c>
      <c r="C62" s="13">
        <f t="shared" si="3"/>
        <v>20</v>
      </c>
      <c r="D62" s="16">
        <f t="shared" si="4"/>
        <v>16</v>
      </c>
      <c r="E62" s="16">
        <v>16.0</v>
      </c>
      <c r="F62" s="16">
        <v>16.0</v>
      </c>
      <c r="G62" s="22" t="s">
        <v>271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ht="12.75" customHeight="1">
      <c r="A63" s="18" t="s">
        <v>196</v>
      </c>
      <c r="B63" s="19" t="s">
        <v>239</v>
      </c>
      <c r="C63" s="13">
        <f t="shared" si="3"/>
        <v>20</v>
      </c>
      <c r="D63" s="16">
        <f t="shared" si="4"/>
        <v>16</v>
      </c>
      <c r="E63" s="16">
        <v>16.0</v>
      </c>
      <c r="F63" s="16">
        <v>16.0</v>
      </c>
      <c r="G63" s="22" t="s">
        <v>239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ht="12.75" customHeight="1">
      <c r="A64" s="18" t="s">
        <v>119</v>
      </c>
      <c r="B64" s="19" t="s">
        <v>114</v>
      </c>
      <c r="C64" s="13">
        <f t="shared" si="3"/>
        <v>20</v>
      </c>
      <c r="D64" s="16">
        <f t="shared" si="4"/>
        <v>16</v>
      </c>
      <c r="E64" s="16">
        <v>16.0</v>
      </c>
      <c r="F64" s="16">
        <v>16.0</v>
      </c>
      <c r="G64" s="22" t="s">
        <v>145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ht="12.75" customHeight="1">
      <c r="A65" s="18" t="s">
        <v>130</v>
      </c>
      <c r="B65" s="19" t="s">
        <v>169</v>
      </c>
      <c r="C65" s="13">
        <f t="shared" si="3"/>
        <v>20</v>
      </c>
      <c r="D65" s="16">
        <f t="shared" si="4"/>
        <v>16</v>
      </c>
      <c r="E65" s="16">
        <v>16.0</v>
      </c>
      <c r="F65" s="16">
        <v>16.0</v>
      </c>
      <c r="G65" s="22" t="s">
        <v>169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ht="12.75" customHeight="1">
      <c r="A66" s="18" t="s">
        <v>113</v>
      </c>
      <c r="B66" s="19" t="s">
        <v>228</v>
      </c>
      <c r="C66" s="13">
        <f t="shared" si="3"/>
        <v>20</v>
      </c>
      <c r="D66" s="16">
        <f t="shared" si="4"/>
        <v>16</v>
      </c>
      <c r="E66" s="16">
        <v>16.0</v>
      </c>
      <c r="F66" s="16">
        <v>16.0</v>
      </c>
      <c r="G66" s="22" t="s">
        <v>272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ht="12.75" customHeight="1">
      <c r="A67" s="18" t="s">
        <v>233</v>
      </c>
      <c r="B67" s="19" t="s">
        <v>150</v>
      </c>
      <c r="C67" s="13">
        <f t="shared" si="3"/>
        <v>20</v>
      </c>
      <c r="D67" s="16">
        <f t="shared" si="4"/>
        <v>16</v>
      </c>
      <c r="E67" s="16">
        <v>16.0</v>
      </c>
      <c r="F67" s="16">
        <v>16.0</v>
      </c>
      <c r="G67" s="22" t="s">
        <v>150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ht="12.75" customHeight="1">
      <c r="A68" s="18" t="s">
        <v>153</v>
      </c>
      <c r="B68" s="19" t="s">
        <v>125</v>
      </c>
      <c r="C68" s="13">
        <f t="shared" si="3"/>
        <v>20</v>
      </c>
      <c r="D68" s="16">
        <f t="shared" si="4"/>
        <v>16</v>
      </c>
      <c r="E68" s="16">
        <v>16.0</v>
      </c>
      <c r="F68" s="16">
        <v>16.0</v>
      </c>
      <c r="G68" s="22" t="s">
        <v>273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ht="12.75" customHeight="1">
      <c r="A69" s="18" t="s">
        <v>200</v>
      </c>
      <c r="B69" s="19" t="s">
        <v>221</v>
      </c>
      <c r="C69" s="13">
        <f t="shared" si="3"/>
        <v>20</v>
      </c>
      <c r="D69" s="16">
        <f t="shared" si="4"/>
        <v>16</v>
      </c>
      <c r="E69" s="16">
        <v>16.0</v>
      </c>
      <c r="F69" s="16">
        <v>16.0</v>
      </c>
      <c r="G69" s="22" t="s">
        <v>222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</sheetData>
  <mergeCells count="2">
    <mergeCell ref="D2:E2"/>
    <mergeCell ref="D3:E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5.14"/>
    <col customWidth="1" min="3" max="5" width="10.86"/>
    <col customWidth="1" min="6" max="6" width="4.86"/>
    <col customWidth="1" min="7" max="7" width="10.86"/>
    <col customWidth="1" min="8" max="19" width="8.71"/>
  </cols>
  <sheetData>
    <row r="1" ht="12.75" customHeight="1">
      <c r="A1" s="8" t="s">
        <v>93</v>
      </c>
      <c r="B1" s="9" t="s">
        <v>94</v>
      </c>
      <c r="C1" s="8" t="s">
        <v>95</v>
      </c>
      <c r="D1" s="8" t="s">
        <v>96</v>
      </c>
      <c r="E1" s="8" t="s">
        <v>97</v>
      </c>
      <c r="F1" s="10" t="s">
        <v>262</v>
      </c>
      <c r="G1" s="11" t="s">
        <v>107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2.75" customHeight="1">
      <c r="A2" s="12"/>
      <c r="B2" s="12"/>
      <c r="C2" s="13">
        <v>20.0</v>
      </c>
      <c r="D2" s="14" t="s">
        <v>97</v>
      </c>
      <c r="E2" s="15"/>
      <c r="F2" s="16">
        <v>14.0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ht="12.75" customHeight="1">
      <c r="A3" s="12"/>
      <c r="B3" s="12"/>
      <c r="C3" s="13">
        <f>AVERAGE(C4,C14:C69)</f>
        <v>18.55263158</v>
      </c>
      <c r="D3" s="14" t="s">
        <v>108</v>
      </c>
      <c r="E3" s="15"/>
      <c r="F3" s="17">
        <f>AVERAGE(F4,F14:F69)/F2</f>
        <v>0.9285714286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ht="12.75" customHeight="1">
      <c r="A4" s="18" t="s">
        <v>236</v>
      </c>
      <c r="B4" s="19" t="s">
        <v>128</v>
      </c>
      <c r="C4" s="13">
        <f>IF($C$2&gt;0,MIN($C$2,ROUNDDOWN(D4/E4*$C$2/0.5,0)*0.5),ROUNDDOWN(D4/0.5,0)*0.5)</f>
        <v>0</v>
      </c>
      <c r="D4" s="16">
        <f>SUM(F4)</f>
        <v>0</v>
      </c>
      <c r="E4" s="16">
        <v>14.0</v>
      </c>
      <c r="F4" s="16">
        <v>0.0</v>
      </c>
      <c r="G4" s="22" t="s">
        <v>128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ht="12.75" customHeight="1">
      <c r="A5" s="18"/>
      <c r="B5" s="19" t="s">
        <v>123</v>
      </c>
      <c r="C5" s="20" t="s">
        <v>110</v>
      </c>
      <c r="D5" s="21">
        <f t="shared" ref="D5:D13" si="1">SUM(A5)</f>
        <v>0</v>
      </c>
      <c r="E5" s="21"/>
      <c r="F5" s="21"/>
      <c r="G5" s="2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ht="12.75" customHeight="1">
      <c r="A6" s="18"/>
      <c r="B6" s="19" t="s">
        <v>133</v>
      </c>
      <c r="C6" s="20" t="s">
        <v>110</v>
      </c>
      <c r="D6" s="21">
        <f t="shared" si="1"/>
        <v>0</v>
      </c>
      <c r="E6" s="21"/>
      <c r="F6" s="21"/>
      <c r="G6" s="2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ht="12.75" customHeight="1">
      <c r="A7" s="18"/>
      <c r="B7" s="19" t="s">
        <v>109</v>
      </c>
      <c r="C7" s="20" t="s">
        <v>110</v>
      </c>
      <c r="D7" s="21">
        <f t="shared" si="1"/>
        <v>0</v>
      </c>
      <c r="E7" s="21"/>
      <c r="F7" s="21"/>
      <c r="G7" s="2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ht="12.75" customHeight="1">
      <c r="A8" s="18"/>
      <c r="B8" s="19" t="s">
        <v>225</v>
      </c>
      <c r="C8" s="20" t="s">
        <v>110</v>
      </c>
      <c r="D8" s="21">
        <f t="shared" si="1"/>
        <v>0</v>
      </c>
      <c r="E8" s="21"/>
      <c r="F8" s="21"/>
      <c r="G8" s="2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ht="12.75" customHeight="1">
      <c r="A9" s="18"/>
      <c r="B9" s="19" t="s">
        <v>111</v>
      </c>
      <c r="C9" s="20" t="s">
        <v>110</v>
      </c>
      <c r="D9" s="21">
        <f t="shared" si="1"/>
        <v>0</v>
      </c>
      <c r="E9" s="21"/>
      <c r="F9" s="21"/>
      <c r="G9" s="2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ht="12.75" customHeight="1">
      <c r="A10" s="18"/>
      <c r="B10" s="19" t="s">
        <v>178</v>
      </c>
      <c r="C10" s="20" t="s">
        <v>110</v>
      </c>
      <c r="D10" s="21">
        <f t="shared" si="1"/>
        <v>0</v>
      </c>
      <c r="E10" s="21"/>
      <c r="F10" s="21"/>
      <c r="G10" s="2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ht="12.75" customHeight="1">
      <c r="A11" s="18"/>
      <c r="B11" s="19" t="s">
        <v>167</v>
      </c>
      <c r="C11" s="20" t="s">
        <v>110</v>
      </c>
      <c r="D11" s="21">
        <f t="shared" si="1"/>
        <v>0</v>
      </c>
      <c r="E11" s="21"/>
      <c r="F11" s="21"/>
      <c r="G11" s="2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ht="12.75" customHeight="1">
      <c r="A12" s="18"/>
      <c r="B12" s="19" t="s">
        <v>228</v>
      </c>
      <c r="C12" s="20" t="s">
        <v>110</v>
      </c>
      <c r="D12" s="21">
        <f t="shared" si="1"/>
        <v>0</v>
      </c>
      <c r="E12" s="21"/>
      <c r="F12" s="21"/>
      <c r="G12" s="2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ht="12.75" customHeight="1">
      <c r="A13" s="18"/>
      <c r="B13" s="19" t="s">
        <v>112</v>
      </c>
      <c r="C13" s="20" t="s">
        <v>110</v>
      </c>
      <c r="D13" s="21">
        <f t="shared" si="1"/>
        <v>0</v>
      </c>
      <c r="E13" s="21"/>
      <c r="F13" s="21"/>
      <c r="G13" s="2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ht="12.75" customHeight="1">
      <c r="A14" s="18" t="s">
        <v>170</v>
      </c>
      <c r="B14" s="19" t="s">
        <v>241</v>
      </c>
      <c r="C14" s="13">
        <f t="shared" ref="C14:C69" si="2">IF($C$2&gt;0,MIN($C$2,ROUNDDOWN(D14/E14*$C$2/0.5,0)*0.5),ROUNDDOWN(D14/0.5,0)*0.5)</f>
        <v>8.5</v>
      </c>
      <c r="D14" s="16">
        <f t="shared" ref="D14:D69" si="3">SUM(F14)</f>
        <v>6</v>
      </c>
      <c r="E14" s="16">
        <v>14.0</v>
      </c>
      <c r="F14" s="16">
        <v>6.0</v>
      </c>
      <c r="G14" s="22" t="s">
        <v>241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ht="12.75" customHeight="1">
      <c r="A15" s="18" t="s">
        <v>141</v>
      </c>
      <c r="B15" s="19" t="s">
        <v>163</v>
      </c>
      <c r="C15" s="13">
        <f t="shared" si="2"/>
        <v>8.5</v>
      </c>
      <c r="D15" s="16">
        <f t="shared" si="3"/>
        <v>6</v>
      </c>
      <c r="E15" s="16">
        <v>14.0</v>
      </c>
      <c r="F15" s="16">
        <v>6.0</v>
      </c>
      <c r="G15" s="22" t="s">
        <v>163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ht="12.75" customHeight="1">
      <c r="A16" s="18" t="s">
        <v>181</v>
      </c>
      <c r="B16" s="19" t="s">
        <v>234</v>
      </c>
      <c r="C16" s="13">
        <f t="shared" si="2"/>
        <v>8.5</v>
      </c>
      <c r="D16" s="16">
        <f t="shared" si="3"/>
        <v>6</v>
      </c>
      <c r="E16" s="16">
        <v>14.0</v>
      </c>
      <c r="F16" s="16">
        <v>6.0</v>
      </c>
      <c r="G16" s="22" t="s">
        <v>234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ht="12.75" customHeight="1">
      <c r="A17" s="18" t="s">
        <v>233</v>
      </c>
      <c r="B17" s="19" t="s">
        <v>245</v>
      </c>
      <c r="C17" s="13">
        <f t="shared" si="2"/>
        <v>10</v>
      </c>
      <c r="D17" s="16">
        <f t="shared" si="3"/>
        <v>7</v>
      </c>
      <c r="E17" s="16">
        <v>14.0</v>
      </c>
      <c r="F17" s="16">
        <v>7.0</v>
      </c>
      <c r="G17" s="22" t="s">
        <v>245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ht="12.75" customHeight="1">
      <c r="A18" s="18" t="s">
        <v>185</v>
      </c>
      <c r="B18" s="19" t="s">
        <v>152</v>
      </c>
      <c r="C18" s="13">
        <f t="shared" si="2"/>
        <v>18.5</v>
      </c>
      <c r="D18" s="16">
        <f t="shared" si="3"/>
        <v>13</v>
      </c>
      <c r="E18" s="16">
        <v>14.0</v>
      </c>
      <c r="F18" s="16">
        <v>13.0</v>
      </c>
      <c r="G18" s="22" t="s">
        <v>152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ht="12.75" customHeight="1">
      <c r="A19" s="18" t="s">
        <v>143</v>
      </c>
      <c r="B19" s="19" t="s">
        <v>199</v>
      </c>
      <c r="C19" s="13">
        <f t="shared" si="2"/>
        <v>18.5</v>
      </c>
      <c r="D19" s="16">
        <f t="shared" si="3"/>
        <v>13</v>
      </c>
      <c r="E19" s="16">
        <v>14.0</v>
      </c>
      <c r="F19" s="16">
        <v>13.0</v>
      </c>
      <c r="G19" s="22" t="s">
        <v>199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ht="12.75" customHeight="1">
      <c r="A20" s="18" t="s">
        <v>166</v>
      </c>
      <c r="B20" s="19" t="s">
        <v>159</v>
      </c>
      <c r="C20" s="13">
        <f t="shared" si="2"/>
        <v>18.5</v>
      </c>
      <c r="D20" s="16">
        <f t="shared" si="3"/>
        <v>13</v>
      </c>
      <c r="E20" s="16">
        <v>14.0</v>
      </c>
      <c r="F20" s="16">
        <v>13.0</v>
      </c>
      <c r="G20" s="22" t="s">
        <v>159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ht="12.75" customHeight="1">
      <c r="A21" s="18" t="s">
        <v>200</v>
      </c>
      <c r="B21" s="19" t="s">
        <v>203</v>
      </c>
      <c r="C21" s="13">
        <f t="shared" si="2"/>
        <v>18.5</v>
      </c>
      <c r="D21" s="16">
        <f t="shared" si="3"/>
        <v>13</v>
      </c>
      <c r="E21" s="16">
        <v>14.0</v>
      </c>
      <c r="F21" s="16">
        <v>13.0</v>
      </c>
      <c r="G21" s="22" t="s">
        <v>203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ht="12.75" customHeight="1">
      <c r="A22" s="18" t="s">
        <v>223</v>
      </c>
      <c r="B22" s="19" t="s">
        <v>205</v>
      </c>
      <c r="C22" s="13">
        <f t="shared" si="2"/>
        <v>18.5</v>
      </c>
      <c r="D22" s="16">
        <f t="shared" si="3"/>
        <v>13</v>
      </c>
      <c r="E22" s="16">
        <v>14.0</v>
      </c>
      <c r="F22" s="16">
        <v>13.0</v>
      </c>
      <c r="G22" s="22" t="s">
        <v>205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ht="12.75" customHeight="1">
      <c r="A23" s="18" t="s">
        <v>253</v>
      </c>
      <c r="B23" s="19" t="s">
        <v>254</v>
      </c>
      <c r="C23" s="13">
        <f t="shared" si="2"/>
        <v>18.5</v>
      </c>
      <c r="D23" s="16">
        <f t="shared" si="3"/>
        <v>13</v>
      </c>
      <c r="E23" s="16">
        <v>14.0</v>
      </c>
      <c r="F23" s="16">
        <v>13.0</v>
      </c>
      <c r="G23" s="22" t="s">
        <v>254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ht="12.75" customHeight="1">
      <c r="A24" s="18" t="s">
        <v>151</v>
      </c>
      <c r="B24" s="19" t="s">
        <v>186</v>
      </c>
      <c r="C24" s="13">
        <f t="shared" si="2"/>
        <v>18.5</v>
      </c>
      <c r="D24" s="16">
        <f t="shared" si="3"/>
        <v>13</v>
      </c>
      <c r="E24" s="16">
        <v>14.0</v>
      </c>
      <c r="F24" s="16">
        <v>13.0</v>
      </c>
      <c r="G24" s="22" t="s">
        <v>187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ht="12.75" customHeight="1">
      <c r="A25" s="18" t="s">
        <v>194</v>
      </c>
      <c r="B25" s="19" t="s">
        <v>215</v>
      </c>
      <c r="C25" s="13">
        <f t="shared" si="2"/>
        <v>18.5</v>
      </c>
      <c r="D25" s="16">
        <f t="shared" si="3"/>
        <v>13</v>
      </c>
      <c r="E25" s="16">
        <v>14.0</v>
      </c>
      <c r="F25" s="16">
        <v>13.0</v>
      </c>
      <c r="G25" s="22" t="s">
        <v>215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ht="12.75" customHeight="1">
      <c r="A26" s="18" t="s">
        <v>274</v>
      </c>
      <c r="B26" s="19" t="s">
        <v>218</v>
      </c>
      <c r="C26" s="13">
        <f t="shared" si="2"/>
        <v>18.5</v>
      </c>
      <c r="D26" s="16">
        <f t="shared" si="3"/>
        <v>13</v>
      </c>
      <c r="E26" s="16">
        <v>14.0</v>
      </c>
      <c r="F26" s="16">
        <v>13.0</v>
      </c>
      <c r="G26" s="22" t="s">
        <v>218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ht="12.75" customHeight="1">
      <c r="A27" s="18" t="s">
        <v>206</v>
      </c>
      <c r="B27" s="19" t="s">
        <v>239</v>
      </c>
      <c r="C27" s="13">
        <f t="shared" si="2"/>
        <v>18.5</v>
      </c>
      <c r="D27" s="16">
        <f t="shared" si="3"/>
        <v>13</v>
      </c>
      <c r="E27" s="16">
        <v>14.0</v>
      </c>
      <c r="F27" s="16">
        <v>13.0</v>
      </c>
      <c r="G27" s="22" t="s">
        <v>239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ht="12.75" customHeight="1">
      <c r="A28" s="18" t="s">
        <v>122</v>
      </c>
      <c r="B28" s="19" t="s">
        <v>180</v>
      </c>
      <c r="C28" s="13">
        <f t="shared" si="2"/>
        <v>18.5</v>
      </c>
      <c r="D28" s="16">
        <f t="shared" si="3"/>
        <v>13</v>
      </c>
      <c r="E28" s="16">
        <v>14.0</v>
      </c>
      <c r="F28" s="16">
        <v>13.0</v>
      </c>
      <c r="G28" s="22" t="s">
        <v>180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ht="12.75" customHeight="1">
      <c r="A29" s="18" t="s">
        <v>226</v>
      </c>
      <c r="B29" s="19" t="s">
        <v>125</v>
      </c>
      <c r="C29" s="13">
        <f t="shared" si="2"/>
        <v>18.5</v>
      </c>
      <c r="D29" s="16">
        <f t="shared" si="3"/>
        <v>13</v>
      </c>
      <c r="E29" s="16">
        <v>14.0</v>
      </c>
      <c r="F29" s="16">
        <v>13.0</v>
      </c>
      <c r="G29" s="22" t="s">
        <v>125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ht="12.75" customHeight="1">
      <c r="A30" s="18" t="s">
        <v>240</v>
      </c>
      <c r="B30" s="19" t="s">
        <v>182</v>
      </c>
      <c r="C30" s="13">
        <f t="shared" si="2"/>
        <v>20</v>
      </c>
      <c r="D30" s="16">
        <f t="shared" si="3"/>
        <v>14</v>
      </c>
      <c r="E30" s="16">
        <v>14.0</v>
      </c>
      <c r="F30" s="16">
        <v>14.0</v>
      </c>
      <c r="G30" s="22" t="s">
        <v>182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ht="12.75" customHeight="1">
      <c r="A31" s="18" t="s">
        <v>202</v>
      </c>
      <c r="B31" s="19" t="s">
        <v>197</v>
      </c>
      <c r="C31" s="13">
        <f t="shared" si="2"/>
        <v>20</v>
      </c>
      <c r="D31" s="16">
        <f t="shared" si="3"/>
        <v>14</v>
      </c>
      <c r="E31" s="16">
        <v>14.0</v>
      </c>
      <c r="F31" s="16">
        <v>14.0</v>
      </c>
      <c r="G31" s="22" t="s">
        <v>197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ht="12.75" customHeight="1">
      <c r="A32" s="18" t="s">
        <v>244</v>
      </c>
      <c r="B32" s="19" t="s">
        <v>201</v>
      </c>
      <c r="C32" s="13">
        <f t="shared" si="2"/>
        <v>20</v>
      </c>
      <c r="D32" s="16">
        <f t="shared" si="3"/>
        <v>14</v>
      </c>
      <c r="E32" s="16">
        <v>14.0</v>
      </c>
      <c r="F32" s="16">
        <v>14.0</v>
      </c>
      <c r="G32" s="22" t="s">
        <v>201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ht="12.75" customHeight="1">
      <c r="A33" s="18" t="s">
        <v>135</v>
      </c>
      <c r="B33" s="19" t="s">
        <v>243</v>
      </c>
      <c r="C33" s="13">
        <f t="shared" si="2"/>
        <v>20</v>
      </c>
      <c r="D33" s="16">
        <f t="shared" si="3"/>
        <v>14</v>
      </c>
      <c r="E33" s="16">
        <v>14.0</v>
      </c>
      <c r="F33" s="16">
        <v>14.0</v>
      </c>
      <c r="G33" s="22" t="s">
        <v>243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ht="12.75" customHeight="1">
      <c r="A34" s="18" t="s">
        <v>246</v>
      </c>
      <c r="B34" s="19" t="s">
        <v>117</v>
      </c>
      <c r="C34" s="13">
        <f t="shared" si="2"/>
        <v>20</v>
      </c>
      <c r="D34" s="16">
        <f t="shared" si="3"/>
        <v>14</v>
      </c>
      <c r="E34" s="16">
        <v>14.0</v>
      </c>
      <c r="F34" s="16">
        <v>14.0</v>
      </c>
      <c r="G34" s="22" t="s">
        <v>118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ht="12.75" customHeight="1">
      <c r="A35" s="18" t="s">
        <v>162</v>
      </c>
      <c r="B35" s="19" t="s">
        <v>161</v>
      </c>
      <c r="C35" s="13">
        <f t="shared" si="2"/>
        <v>20</v>
      </c>
      <c r="D35" s="16">
        <f t="shared" si="3"/>
        <v>14</v>
      </c>
      <c r="E35" s="16">
        <v>14.0</v>
      </c>
      <c r="F35" s="16">
        <v>14.0</v>
      </c>
      <c r="G35" s="22" t="s">
        <v>161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ht="12.75" customHeight="1">
      <c r="A36" s="18" t="s">
        <v>139</v>
      </c>
      <c r="B36" s="19" t="s">
        <v>191</v>
      </c>
      <c r="C36" s="13">
        <f t="shared" si="2"/>
        <v>20</v>
      </c>
      <c r="D36" s="16">
        <f t="shared" si="3"/>
        <v>14</v>
      </c>
      <c r="E36" s="16">
        <v>14.0</v>
      </c>
      <c r="F36" s="16">
        <v>14.0</v>
      </c>
      <c r="G36" s="22" t="s">
        <v>191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ht="12.75" customHeight="1">
      <c r="A37" s="18" t="s">
        <v>248</v>
      </c>
      <c r="B37" s="19" t="s">
        <v>224</v>
      </c>
      <c r="C37" s="13">
        <f t="shared" si="2"/>
        <v>20</v>
      </c>
      <c r="D37" s="16">
        <f t="shared" si="3"/>
        <v>14</v>
      </c>
      <c r="E37" s="16">
        <v>14.0</v>
      </c>
      <c r="F37" s="16">
        <v>14.0</v>
      </c>
      <c r="G37" s="22" t="s">
        <v>224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ht="12.75" customHeight="1">
      <c r="A38" s="18" t="s">
        <v>188</v>
      </c>
      <c r="B38" s="19" t="s">
        <v>184</v>
      </c>
      <c r="C38" s="13">
        <f t="shared" si="2"/>
        <v>20</v>
      </c>
      <c r="D38" s="16">
        <f t="shared" si="3"/>
        <v>14</v>
      </c>
      <c r="E38" s="16">
        <v>14.0</v>
      </c>
      <c r="F38" s="16">
        <v>14.0</v>
      </c>
      <c r="G38" s="22" t="s">
        <v>184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ht="12.75" customHeight="1">
      <c r="A39" s="18" t="s">
        <v>255</v>
      </c>
      <c r="B39" s="19" t="s">
        <v>227</v>
      </c>
      <c r="C39" s="13">
        <f t="shared" si="2"/>
        <v>20</v>
      </c>
      <c r="D39" s="16">
        <f t="shared" si="3"/>
        <v>14</v>
      </c>
      <c r="E39" s="16">
        <v>14.0</v>
      </c>
      <c r="F39" s="16">
        <v>14.0</v>
      </c>
      <c r="G39" s="22" t="s">
        <v>227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ht="12.75" customHeight="1">
      <c r="A40" s="18" t="s">
        <v>217</v>
      </c>
      <c r="B40" s="19" t="s">
        <v>251</v>
      </c>
      <c r="C40" s="13">
        <f t="shared" si="2"/>
        <v>20</v>
      </c>
      <c r="D40" s="16">
        <f t="shared" si="3"/>
        <v>14</v>
      </c>
      <c r="E40" s="16">
        <v>14.0</v>
      </c>
      <c r="F40" s="16">
        <v>14.0</v>
      </c>
      <c r="G40" s="22" t="s">
        <v>251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ht="12.75" customHeight="1">
      <c r="A41" s="18" t="s">
        <v>220</v>
      </c>
      <c r="B41" s="19" t="s">
        <v>131</v>
      </c>
      <c r="C41" s="13">
        <f t="shared" si="2"/>
        <v>20</v>
      </c>
      <c r="D41" s="16">
        <f t="shared" si="3"/>
        <v>14</v>
      </c>
      <c r="E41" s="16">
        <v>14.0</v>
      </c>
      <c r="F41" s="16">
        <v>14.0</v>
      </c>
      <c r="G41" s="22" t="s">
        <v>131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ht="12.75" customHeight="1">
      <c r="A42" s="18" t="s">
        <v>146</v>
      </c>
      <c r="B42" s="19" t="s">
        <v>171</v>
      </c>
      <c r="C42" s="13">
        <f t="shared" si="2"/>
        <v>20</v>
      </c>
      <c r="D42" s="16">
        <f t="shared" si="3"/>
        <v>14</v>
      </c>
      <c r="E42" s="16">
        <v>14.0</v>
      </c>
      <c r="F42" s="16">
        <v>14.0</v>
      </c>
      <c r="G42" s="22" t="s">
        <v>171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ht="12.75" customHeight="1">
      <c r="A43" s="18" t="s">
        <v>231</v>
      </c>
      <c r="B43" s="19" t="s">
        <v>120</v>
      </c>
      <c r="C43" s="13">
        <f t="shared" si="2"/>
        <v>20</v>
      </c>
      <c r="D43" s="16">
        <f t="shared" si="3"/>
        <v>14</v>
      </c>
      <c r="E43" s="16">
        <v>14.0</v>
      </c>
      <c r="F43" s="16">
        <v>14.0</v>
      </c>
      <c r="G43" s="22" t="s">
        <v>120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ht="12.75" customHeight="1">
      <c r="A44" s="18" t="s">
        <v>175</v>
      </c>
      <c r="B44" s="19" t="s">
        <v>207</v>
      </c>
      <c r="C44" s="13">
        <f t="shared" si="2"/>
        <v>20</v>
      </c>
      <c r="D44" s="16">
        <f t="shared" si="3"/>
        <v>14</v>
      </c>
      <c r="E44" s="16">
        <v>14.0</v>
      </c>
      <c r="F44" s="16">
        <v>14.0</v>
      </c>
      <c r="G44" s="22" t="s">
        <v>207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ht="12.75" customHeight="1">
      <c r="A45" s="18" t="s">
        <v>179</v>
      </c>
      <c r="B45" s="19" t="s">
        <v>193</v>
      </c>
      <c r="C45" s="13">
        <f t="shared" si="2"/>
        <v>20</v>
      </c>
      <c r="D45" s="16">
        <f t="shared" si="3"/>
        <v>14</v>
      </c>
      <c r="E45" s="16">
        <v>14.0</v>
      </c>
      <c r="F45" s="16">
        <v>14.0</v>
      </c>
      <c r="G45" s="22" t="s">
        <v>193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ht="12.75" customHeight="1">
      <c r="A46" s="18" t="s">
        <v>198</v>
      </c>
      <c r="B46" s="19" t="s">
        <v>136</v>
      </c>
      <c r="C46" s="13">
        <f t="shared" si="2"/>
        <v>20</v>
      </c>
      <c r="D46" s="16">
        <f t="shared" si="3"/>
        <v>14</v>
      </c>
      <c r="E46" s="16">
        <v>14.0</v>
      </c>
      <c r="F46" s="16">
        <v>14.0</v>
      </c>
      <c r="G46" s="22" t="s">
        <v>136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ht="12.75" customHeight="1">
      <c r="A47" s="18" t="s">
        <v>242</v>
      </c>
      <c r="B47" s="19" t="s">
        <v>230</v>
      </c>
      <c r="C47" s="13">
        <f t="shared" si="2"/>
        <v>20</v>
      </c>
      <c r="D47" s="16">
        <f t="shared" si="3"/>
        <v>14</v>
      </c>
      <c r="E47" s="16">
        <v>14.0</v>
      </c>
      <c r="F47" s="16">
        <v>14.0</v>
      </c>
      <c r="G47" s="22" t="s">
        <v>230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ht="12.75" customHeight="1">
      <c r="A48" s="18" t="s">
        <v>158</v>
      </c>
      <c r="B48" s="19" t="s">
        <v>210</v>
      </c>
      <c r="C48" s="13">
        <f t="shared" si="2"/>
        <v>20</v>
      </c>
      <c r="D48" s="16">
        <f t="shared" si="3"/>
        <v>14</v>
      </c>
      <c r="E48" s="16">
        <v>14.0</v>
      </c>
      <c r="F48" s="16">
        <v>14.0</v>
      </c>
      <c r="G48" s="22" t="s">
        <v>210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ht="12.75" customHeight="1">
      <c r="A49" s="18" t="s">
        <v>204</v>
      </c>
      <c r="B49" s="19" t="s">
        <v>140</v>
      </c>
      <c r="C49" s="13">
        <f t="shared" si="2"/>
        <v>20</v>
      </c>
      <c r="D49" s="16">
        <f t="shared" si="3"/>
        <v>14</v>
      </c>
      <c r="E49" s="16">
        <v>14.0</v>
      </c>
      <c r="F49" s="16">
        <v>14.0</v>
      </c>
      <c r="G49" s="22" t="s">
        <v>140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ht="12.75" customHeight="1">
      <c r="A50" s="18" t="s">
        <v>153</v>
      </c>
      <c r="B50" s="19" t="s">
        <v>138</v>
      </c>
      <c r="C50" s="13">
        <f t="shared" si="2"/>
        <v>20</v>
      </c>
      <c r="D50" s="16">
        <f t="shared" si="3"/>
        <v>14</v>
      </c>
      <c r="E50" s="16">
        <v>14.0</v>
      </c>
      <c r="F50" s="16">
        <v>14.0</v>
      </c>
      <c r="G50" s="22" t="s">
        <v>275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ht="12.75" customHeight="1">
      <c r="A51" s="18" t="s">
        <v>250</v>
      </c>
      <c r="B51" s="19" t="s">
        <v>213</v>
      </c>
      <c r="C51" s="13">
        <f t="shared" si="2"/>
        <v>20</v>
      </c>
      <c r="D51" s="16">
        <f t="shared" si="3"/>
        <v>14</v>
      </c>
      <c r="E51" s="16">
        <v>14.0</v>
      </c>
      <c r="F51" s="16">
        <v>14.0</v>
      </c>
      <c r="G51" s="22" t="s">
        <v>213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ht="12.75" customHeight="1">
      <c r="A52" s="18" t="s">
        <v>212</v>
      </c>
      <c r="B52" s="19" t="s">
        <v>232</v>
      </c>
      <c r="C52" s="13">
        <f t="shared" si="2"/>
        <v>20</v>
      </c>
      <c r="D52" s="16">
        <f t="shared" si="3"/>
        <v>14</v>
      </c>
      <c r="E52" s="16">
        <v>14.0</v>
      </c>
      <c r="F52" s="16">
        <v>14.0</v>
      </c>
      <c r="G52" s="22" t="s">
        <v>232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ht="12.75" customHeight="1">
      <c r="A53" s="18" t="s">
        <v>257</v>
      </c>
      <c r="B53" s="19" t="s">
        <v>142</v>
      </c>
      <c r="C53" s="13">
        <f t="shared" si="2"/>
        <v>20</v>
      </c>
      <c r="D53" s="16">
        <f t="shared" si="3"/>
        <v>14</v>
      </c>
      <c r="E53" s="16">
        <v>14.0</v>
      </c>
      <c r="F53" s="16">
        <v>14.0</v>
      </c>
      <c r="G53" s="22" t="s">
        <v>142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ht="12.75" customHeight="1">
      <c r="A54" s="18" t="s">
        <v>183</v>
      </c>
      <c r="B54" s="19" t="s">
        <v>247</v>
      </c>
      <c r="C54" s="13">
        <f t="shared" si="2"/>
        <v>20</v>
      </c>
      <c r="D54" s="16">
        <f t="shared" si="3"/>
        <v>14</v>
      </c>
      <c r="E54" s="16">
        <v>14.0</v>
      </c>
      <c r="F54" s="16">
        <v>14.0</v>
      </c>
      <c r="G54" s="22" t="s">
        <v>247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ht="12.75" customHeight="1">
      <c r="A55" s="18" t="s">
        <v>196</v>
      </c>
      <c r="B55" s="19" t="s">
        <v>249</v>
      </c>
      <c r="C55" s="13">
        <f t="shared" si="2"/>
        <v>20</v>
      </c>
      <c r="D55" s="16">
        <f t="shared" si="3"/>
        <v>14</v>
      </c>
      <c r="E55" s="16">
        <v>14.0</v>
      </c>
      <c r="F55" s="16">
        <v>14.0</v>
      </c>
      <c r="G55" s="22" t="s">
        <v>249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ht="12.75" customHeight="1">
      <c r="A56" s="18" t="s">
        <v>192</v>
      </c>
      <c r="B56" s="19" t="s">
        <v>154</v>
      </c>
      <c r="C56" s="13">
        <f t="shared" si="2"/>
        <v>20</v>
      </c>
      <c r="D56" s="16">
        <f t="shared" si="3"/>
        <v>14</v>
      </c>
      <c r="E56" s="16">
        <v>14.0</v>
      </c>
      <c r="F56" s="16">
        <v>14.0</v>
      </c>
      <c r="G56" s="22" t="s">
        <v>154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ht="12.75" customHeight="1">
      <c r="A57" s="18" t="s">
        <v>113</v>
      </c>
      <c r="B57" s="19" t="s">
        <v>173</v>
      </c>
      <c r="C57" s="13">
        <f t="shared" si="2"/>
        <v>20</v>
      </c>
      <c r="D57" s="16">
        <f t="shared" si="3"/>
        <v>14</v>
      </c>
      <c r="E57" s="16">
        <v>14.0</v>
      </c>
      <c r="F57" s="16">
        <v>14.0</v>
      </c>
      <c r="G57" s="22" t="s">
        <v>173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ht="12.75" customHeight="1">
      <c r="A58" s="18" t="s">
        <v>119</v>
      </c>
      <c r="B58" s="19" t="s">
        <v>157</v>
      </c>
      <c r="C58" s="13">
        <f t="shared" si="2"/>
        <v>20</v>
      </c>
      <c r="D58" s="16">
        <f t="shared" si="3"/>
        <v>14</v>
      </c>
      <c r="E58" s="16">
        <v>14.0</v>
      </c>
      <c r="F58" s="16">
        <v>14.0</v>
      </c>
      <c r="G58" s="22" t="s">
        <v>157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ht="12.75" customHeight="1">
      <c r="A59" s="18" t="s">
        <v>130</v>
      </c>
      <c r="B59" s="19" t="s">
        <v>165</v>
      </c>
      <c r="C59" s="13">
        <f t="shared" si="2"/>
        <v>20</v>
      </c>
      <c r="D59" s="16">
        <f t="shared" si="3"/>
        <v>14</v>
      </c>
      <c r="E59" s="16">
        <v>14.0</v>
      </c>
      <c r="F59" s="16">
        <v>14.0</v>
      </c>
      <c r="G59" s="22" t="s">
        <v>165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ht="12.75" customHeight="1">
      <c r="A60" s="18" t="s">
        <v>156</v>
      </c>
      <c r="B60" s="19" t="s">
        <v>189</v>
      </c>
      <c r="C60" s="13">
        <f t="shared" si="2"/>
        <v>20</v>
      </c>
      <c r="D60" s="16">
        <f t="shared" si="3"/>
        <v>14</v>
      </c>
      <c r="E60" s="16">
        <v>14.0</v>
      </c>
      <c r="F60" s="16">
        <v>14.0</v>
      </c>
      <c r="G60" s="22" t="s">
        <v>189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ht="12.75" customHeight="1">
      <c r="A61" s="18" t="s">
        <v>168</v>
      </c>
      <c r="B61" s="19" t="s">
        <v>195</v>
      </c>
      <c r="C61" s="13">
        <f t="shared" si="2"/>
        <v>20</v>
      </c>
      <c r="D61" s="16">
        <f t="shared" si="3"/>
        <v>14</v>
      </c>
      <c r="E61" s="16">
        <v>14.0</v>
      </c>
      <c r="F61" s="16">
        <v>14.0</v>
      </c>
      <c r="G61" s="22" t="s">
        <v>195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ht="12.75" customHeight="1">
      <c r="A62" s="18" t="s">
        <v>229</v>
      </c>
      <c r="B62" s="19" t="s">
        <v>237</v>
      </c>
      <c r="C62" s="13">
        <f t="shared" si="2"/>
        <v>20</v>
      </c>
      <c r="D62" s="16">
        <f t="shared" si="3"/>
        <v>14</v>
      </c>
      <c r="E62" s="16">
        <v>14.0</v>
      </c>
      <c r="F62" s="16">
        <v>14.0</v>
      </c>
      <c r="G62" s="22" t="s">
        <v>237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ht="12.75" customHeight="1">
      <c r="A63" s="18" t="s">
        <v>149</v>
      </c>
      <c r="B63" s="19" t="s">
        <v>176</v>
      </c>
      <c r="C63" s="13">
        <f t="shared" si="2"/>
        <v>20</v>
      </c>
      <c r="D63" s="16">
        <f t="shared" si="3"/>
        <v>14</v>
      </c>
      <c r="E63" s="16">
        <v>14.0</v>
      </c>
      <c r="F63" s="16">
        <v>14.0</v>
      </c>
      <c r="G63" s="22" t="s">
        <v>176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ht="12.75" customHeight="1">
      <c r="A64" s="18" t="s">
        <v>127</v>
      </c>
      <c r="B64" s="19" t="s">
        <v>144</v>
      </c>
      <c r="C64" s="13">
        <f t="shared" si="2"/>
        <v>20</v>
      </c>
      <c r="D64" s="16">
        <f t="shared" si="3"/>
        <v>14</v>
      </c>
      <c r="E64" s="16">
        <v>14.0</v>
      </c>
      <c r="F64" s="16">
        <v>14.0</v>
      </c>
      <c r="G64" s="22" t="s">
        <v>261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ht="12.75" customHeight="1">
      <c r="A65" s="18" t="s">
        <v>137</v>
      </c>
      <c r="B65" s="19" t="s">
        <v>114</v>
      </c>
      <c r="C65" s="13">
        <f t="shared" si="2"/>
        <v>20</v>
      </c>
      <c r="D65" s="16">
        <f t="shared" si="3"/>
        <v>14</v>
      </c>
      <c r="E65" s="16">
        <v>14.0</v>
      </c>
      <c r="F65" s="16">
        <v>14.0</v>
      </c>
      <c r="G65" s="22" t="s">
        <v>114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ht="12.75" customHeight="1">
      <c r="A66" s="18" t="s">
        <v>177</v>
      </c>
      <c r="B66" s="19" t="s">
        <v>169</v>
      </c>
      <c r="C66" s="13">
        <f t="shared" si="2"/>
        <v>20</v>
      </c>
      <c r="D66" s="16">
        <f t="shared" si="3"/>
        <v>14</v>
      </c>
      <c r="E66" s="16">
        <v>14.0</v>
      </c>
      <c r="F66" s="16">
        <v>14.0</v>
      </c>
      <c r="G66" s="22" t="s">
        <v>169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ht="12.75" customHeight="1">
      <c r="A67" s="18" t="s">
        <v>132</v>
      </c>
      <c r="B67" s="19" t="s">
        <v>147</v>
      </c>
      <c r="C67" s="13">
        <f t="shared" si="2"/>
        <v>20</v>
      </c>
      <c r="D67" s="16">
        <f t="shared" si="3"/>
        <v>14</v>
      </c>
      <c r="E67" s="16">
        <v>14.0</v>
      </c>
      <c r="F67" s="16">
        <v>14.0</v>
      </c>
      <c r="G67" s="22" t="s">
        <v>147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ht="12.75" customHeight="1">
      <c r="A68" s="18" t="s">
        <v>160</v>
      </c>
      <c r="B68" s="19" t="s">
        <v>150</v>
      </c>
      <c r="C68" s="13">
        <f t="shared" si="2"/>
        <v>20</v>
      </c>
      <c r="D68" s="16">
        <f t="shared" si="3"/>
        <v>14</v>
      </c>
      <c r="E68" s="16">
        <v>14.0</v>
      </c>
      <c r="F68" s="16">
        <v>14.0</v>
      </c>
      <c r="G68" s="22" t="s">
        <v>150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ht="12.75" customHeight="1">
      <c r="A69" s="18" t="s">
        <v>238</v>
      </c>
      <c r="B69" s="19" t="s">
        <v>221</v>
      </c>
      <c r="C69" s="13">
        <f t="shared" si="2"/>
        <v>20</v>
      </c>
      <c r="D69" s="16">
        <f t="shared" si="3"/>
        <v>14</v>
      </c>
      <c r="E69" s="16">
        <v>14.0</v>
      </c>
      <c r="F69" s="16">
        <v>14.0</v>
      </c>
      <c r="G69" s="22" t="s">
        <v>222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</sheetData>
  <mergeCells count="2">
    <mergeCell ref="D2:E2"/>
    <mergeCell ref="D3:E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5.14"/>
    <col customWidth="1" min="3" max="5" width="10.86"/>
    <col customWidth="1" min="6" max="12" width="4.86"/>
    <col customWidth="1" min="13" max="13" width="10.86"/>
    <col customWidth="1" min="14" max="19" width="8.71"/>
  </cols>
  <sheetData>
    <row r="1" ht="12.75" customHeight="1">
      <c r="A1" s="8" t="s">
        <v>93</v>
      </c>
      <c r="B1" s="9" t="s">
        <v>94</v>
      </c>
      <c r="C1" s="8" t="s">
        <v>95</v>
      </c>
      <c r="D1" s="8" t="s">
        <v>96</v>
      </c>
      <c r="E1" s="8" t="s">
        <v>97</v>
      </c>
      <c r="F1" s="10" t="s">
        <v>276</v>
      </c>
      <c r="G1" s="10" t="s">
        <v>277</v>
      </c>
      <c r="H1" s="10" t="s">
        <v>278</v>
      </c>
      <c r="I1" s="10" t="s">
        <v>279</v>
      </c>
      <c r="J1" s="10" t="s">
        <v>101</v>
      </c>
      <c r="K1" s="10" t="s">
        <v>104</v>
      </c>
      <c r="L1" s="10" t="s">
        <v>280</v>
      </c>
      <c r="M1" s="11" t="s">
        <v>107</v>
      </c>
      <c r="N1" s="12"/>
      <c r="O1" s="12"/>
      <c r="P1" s="12"/>
      <c r="Q1" s="12"/>
      <c r="R1" s="12"/>
      <c r="S1" s="12"/>
    </row>
    <row r="2" ht="12.75" customHeight="1">
      <c r="A2" s="12"/>
      <c r="B2" s="12"/>
      <c r="C2" s="13">
        <v>20.0</v>
      </c>
      <c r="D2" s="14" t="s">
        <v>97</v>
      </c>
      <c r="E2" s="15"/>
      <c r="F2" s="16">
        <v>16.0</v>
      </c>
      <c r="G2" s="16">
        <v>12.0</v>
      </c>
      <c r="H2" s="16">
        <v>1.0</v>
      </c>
      <c r="I2" s="16">
        <v>14.0</v>
      </c>
      <c r="J2" s="16">
        <v>36.0</v>
      </c>
      <c r="K2" s="16">
        <v>78.0</v>
      </c>
      <c r="L2" s="16">
        <v>40.0</v>
      </c>
      <c r="M2" s="12"/>
      <c r="N2" s="12"/>
      <c r="O2" s="12"/>
      <c r="P2" s="12"/>
      <c r="Q2" s="12"/>
      <c r="R2" s="12"/>
      <c r="S2" s="12"/>
    </row>
    <row r="3" ht="12.75" customHeight="1">
      <c r="A3" s="12"/>
      <c r="B3" s="12"/>
      <c r="C3" s="13">
        <f>AVERAGE(C12:C69)</f>
        <v>12.98275862</v>
      </c>
      <c r="D3" s="14" t="s">
        <v>108</v>
      </c>
      <c r="E3" s="15"/>
      <c r="F3" s="17">
        <f t="shared" ref="F3:L3" si="1">AVERAGE(F12:F69)/F2</f>
        <v>0.5872844828</v>
      </c>
      <c r="G3" s="17">
        <f t="shared" si="1"/>
        <v>0.4885057471</v>
      </c>
      <c r="H3" s="17">
        <f t="shared" si="1"/>
        <v>0.8620689655</v>
      </c>
      <c r="I3" s="17">
        <f t="shared" si="1"/>
        <v>0.5024630542</v>
      </c>
      <c r="J3" s="17">
        <f t="shared" si="1"/>
        <v>0.594348659</v>
      </c>
      <c r="K3" s="17">
        <f t="shared" si="1"/>
        <v>0.7320954907</v>
      </c>
      <c r="L3" s="17">
        <f t="shared" si="1"/>
        <v>0.7206896552</v>
      </c>
      <c r="M3" s="12"/>
      <c r="N3" s="12"/>
      <c r="O3" s="12"/>
      <c r="P3" s="12"/>
      <c r="Q3" s="12"/>
      <c r="R3" s="12"/>
      <c r="S3" s="12"/>
    </row>
    <row r="4" ht="12.75" customHeight="1">
      <c r="A4" s="18"/>
      <c r="B4" s="19" t="s">
        <v>203</v>
      </c>
      <c r="C4" s="20" t="s">
        <v>110</v>
      </c>
      <c r="D4" s="21">
        <f t="shared" ref="D4:D11" si="2">SUM(A4)</f>
        <v>0</v>
      </c>
      <c r="E4" s="21"/>
      <c r="F4" s="21"/>
      <c r="G4" s="21"/>
      <c r="H4" s="21"/>
      <c r="I4" s="21"/>
      <c r="J4" s="21"/>
      <c r="K4" s="21"/>
      <c r="L4" s="21"/>
      <c r="M4" s="22"/>
      <c r="N4" s="12"/>
      <c r="O4" s="12"/>
      <c r="P4" s="12"/>
      <c r="Q4" s="12"/>
      <c r="R4" s="12"/>
      <c r="S4" s="12"/>
    </row>
    <row r="5" ht="12.75" customHeight="1">
      <c r="A5" s="18"/>
      <c r="B5" s="19" t="s">
        <v>230</v>
      </c>
      <c r="C5" s="20" t="s">
        <v>110</v>
      </c>
      <c r="D5" s="21">
        <f t="shared" si="2"/>
        <v>0</v>
      </c>
      <c r="E5" s="21"/>
      <c r="F5" s="21"/>
      <c r="G5" s="21"/>
      <c r="H5" s="21"/>
      <c r="I5" s="21"/>
      <c r="J5" s="21"/>
      <c r="K5" s="21"/>
      <c r="L5" s="21"/>
      <c r="M5" s="22"/>
      <c r="N5" s="12"/>
      <c r="O5" s="12"/>
      <c r="P5" s="12"/>
      <c r="Q5" s="12"/>
      <c r="R5" s="12"/>
      <c r="S5" s="12"/>
    </row>
    <row r="6" ht="12.75" customHeight="1">
      <c r="A6" s="18"/>
      <c r="B6" s="19" t="s">
        <v>109</v>
      </c>
      <c r="C6" s="20" t="s">
        <v>110</v>
      </c>
      <c r="D6" s="21">
        <f t="shared" si="2"/>
        <v>0</v>
      </c>
      <c r="E6" s="21"/>
      <c r="F6" s="21"/>
      <c r="G6" s="21"/>
      <c r="H6" s="21"/>
      <c r="I6" s="21"/>
      <c r="J6" s="21"/>
      <c r="K6" s="21"/>
      <c r="L6" s="21"/>
      <c r="M6" s="22"/>
      <c r="N6" s="12"/>
      <c r="O6" s="12"/>
      <c r="P6" s="12"/>
      <c r="Q6" s="12"/>
      <c r="R6" s="12"/>
      <c r="S6" s="12"/>
    </row>
    <row r="7" ht="12.75" customHeight="1">
      <c r="A7" s="18"/>
      <c r="B7" s="19" t="s">
        <v>111</v>
      </c>
      <c r="C7" s="20" t="s">
        <v>110</v>
      </c>
      <c r="D7" s="21">
        <f t="shared" si="2"/>
        <v>0</v>
      </c>
      <c r="E7" s="21"/>
      <c r="F7" s="21"/>
      <c r="G7" s="21"/>
      <c r="H7" s="21"/>
      <c r="I7" s="21"/>
      <c r="J7" s="21"/>
      <c r="K7" s="21"/>
      <c r="L7" s="21"/>
      <c r="M7" s="22"/>
      <c r="N7" s="12"/>
      <c r="O7" s="12"/>
      <c r="P7" s="12"/>
      <c r="Q7" s="12"/>
      <c r="R7" s="12"/>
      <c r="S7" s="12"/>
    </row>
    <row r="8" ht="12.75" customHeight="1">
      <c r="A8" s="18"/>
      <c r="B8" s="19" t="s">
        <v>234</v>
      </c>
      <c r="C8" s="20" t="s">
        <v>110</v>
      </c>
      <c r="D8" s="21">
        <f t="shared" si="2"/>
        <v>0</v>
      </c>
      <c r="E8" s="21"/>
      <c r="F8" s="21"/>
      <c r="G8" s="21"/>
      <c r="H8" s="21"/>
      <c r="I8" s="21"/>
      <c r="J8" s="21"/>
      <c r="K8" s="21"/>
      <c r="L8" s="21"/>
      <c r="M8" s="22"/>
      <c r="N8" s="12"/>
      <c r="O8" s="12"/>
      <c r="P8" s="12"/>
      <c r="Q8" s="12"/>
      <c r="R8" s="12"/>
      <c r="S8" s="12"/>
    </row>
    <row r="9" ht="12.75" customHeight="1">
      <c r="A9" s="18"/>
      <c r="B9" s="19" t="s">
        <v>167</v>
      </c>
      <c r="C9" s="20" t="s">
        <v>110</v>
      </c>
      <c r="D9" s="21">
        <f t="shared" si="2"/>
        <v>0</v>
      </c>
      <c r="E9" s="21"/>
      <c r="F9" s="21"/>
      <c r="G9" s="21"/>
      <c r="H9" s="21"/>
      <c r="I9" s="21"/>
      <c r="J9" s="21"/>
      <c r="K9" s="21"/>
      <c r="L9" s="21"/>
      <c r="M9" s="22"/>
      <c r="N9" s="12"/>
      <c r="O9" s="12"/>
      <c r="P9" s="12"/>
      <c r="Q9" s="12"/>
      <c r="R9" s="12"/>
      <c r="S9" s="12"/>
    </row>
    <row r="10" ht="12.75" customHeight="1">
      <c r="A10" s="18"/>
      <c r="B10" s="19" t="s">
        <v>150</v>
      </c>
      <c r="C10" s="20" t="s">
        <v>110</v>
      </c>
      <c r="D10" s="21">
        <f t="shared" si="2"/>
        <v>0</v>
      </c>
      <c r="E10" s="21"/>
      <c r="F10" s="21"/>
      <c r="G10" s="21"/>
      <c r="H10" s="21"/>
      <c r="I10" s="21"/>
      <c r="J10" s="21"/>
      <c r="K10" s="21"/>
      <c r="L10" s="21"/>
      <c r="M10" s="22"/>
      <c r="N10" s="12"/>
      <c r="O10" s="12"/>
      <c r="P10" s="12"/>
      <c r="Q10" s="12"/>
      <c r="R10" s="12"/>
      <c r="S10" s="12"/>
    </row>
    <row r="11" ht="12.75" customHeight="1">
      <c r="A11" s="18"/>
      <c r="B11" s="19" t="s">
        <v>112</v>
      </c>
      <c r="C11" s="20" t="s">
        <v>110</v>
      </c>
      <c r="D11" s="21">
        <f t="shared" si="2"/>
        <v>0</v>
      </c>
      <c r="E11" s="21"/>
      <c r="F11" s="21"/>
      <c r="G11" s="21"/>
      <c r="H11" s="21"/>
      <c r="I11" s="21"/>
      <c r="J11" s="21"/>
      <c r="K11" s="21"/>
      <c r="L11" s="21"/>
      <c r="M11" s="22"/>
      <c r="N11" s="12"/>
      <c r="O11" s="12"/>
      <c r="P11" s="12"/>
      <c r="Q11" s="12"/>
      <c r="R11" s="12"/>
      <c r="S11" s="12"/>
    </row>
    <row r="12" ht="12.75" customHeight="1">
      <c r="A12" s="18" t="s">
        <v>151</v>
      </c>
      <c r="B12" s="19" t="s">
        <v>136</v>
      </c>
      <c r="C12" s="13">
        <f t="shared" ref="C12:C69" si="3">IF($C$2&gt;0,MIN($C$2,ROUNDDOWN(D12/E12*$C$2/0.5,0)*0.5),ROUNDDOWN(D12/0.5,0)*0.5)</f>
        <v>4.5</v>
      </c>
      <c r="D12" s="16">
        <f t="shared" ref="D12:D69" si="4">SUM(F12:L12)</f>
        <v>45</v>
      </c>
      <c r="E12" s="16">
        <v>197.0</v>
      </c>
      <c r="F12" s="16">
        <v>3.0</v>
      </c>
      <c r="G12" s="16">
        <v>0.0</v>
      </c>
      <c r="H12" s="16">
        <v>1.0</v>
      </c>
      <c r="I12" s="16">
        <v>0.0</v>
      </c>
      <c r="J12" s="16">
        <v>16.0</v>
      </c>
      <c r="K12" s="16">
        <v>25.0</v>
      </c>
      <c r="L12" s="16">
        <v>0.0</v>
      </c>
      <c r="M12" s="22" t="s">
        <v>136</v>
      </c>
      <c r="N12" s="12"/>
      <c r="O12" s="12"/>
      <c r="P12" s="12"/>
      <c r="Q12" s="12"/>
      <c r="R12" s="12"/>
      <c r="S12" s="12"/>
    </row>
    <row r="13" ht="12.75" customHeight="1">
      <c r="A13" s="18" t="s">
        <v>206</v>
      </c>
      <c r="B13" s="19" t="s">
        <v>133</v>
      </c>
      <c r="C13" s="13">
        <f t="shared" si="3"/>
        <v>6</v>
      </c>
      <c r="D13" s="16">
        <f t="shared" si="4"/>
        <v>61</v>
      </c>
      <c r="E13" s="16">
        <v>197.0</v>
      </c>
      <c r="F13" s="16">
        <v>3.0</v>
      </c>
      <c r="G13" s="16">
        <v>5.0</v>
      </c>
      <c r="H13" s="23">
        <v>0.0</v>
      </c>
      <c r="I13" s="16">
        <v>0.0</v>
      </c>
      <c r="J13" s="16">
        <v>8.0</v>
      </c>
      <c r="K13" s="16">
        <v>38.0</v>
      </c>
      <c r="L13" s="16">
        <v>7.0</v>
      </c>
      <c r="M13" s="22" t="s">
        <v>281</v>
      </c>
      <c r="N13" s="12"/>
      <c r="O13" s="12"/>
      <c r="P13" s="12"/>
      <c r="Q13" s="12"/>
      <c r="R13" s="12"/>
      <c r="S13" s="12"/>
    </row>
    <row r="14" ht="12.75" customHeight="1">
      <c r="A14" s="18" t="s">
        <v>119</v>
      </c>
      <c r="B14" s="19" t="s">
        <v>176</v>
      </c>
      <c r="C14" s="13">
        <f t="shared" si="3"/>
        <v>6.5</v>
      </c>
      <c r="D14" s="16">
        <f t="shared" si="4"/>
        <v>68</v>
      </c>
      <c r="E14" s="16">
        <v>197.0</v>
      </c>
      <c r="F14" s="16">
        <v>0.0</v>
      </c>
      <c r="G14" s="16">
        <v>0.0</v>
      </c>
      <c r="H14" s="16">
        <v>0.0</v>
      </c>
      <c r="I14" s="16">
        <v>13.0</v>
      </c>
      <c r="J14" s="16">
        <v>0.0</v>
      </c>
      <c r="K14" s="16">
        <v>49.0</v>
      </c>
      <c r="L14" s="16">
        <v>6.0</v>
      </c>
      <c r="M14" s="22" t="s">
        <v>176</v>
      </c>
      <c r="N14" s="12"/>
      <c r="O14" s="12"/>
      <c r="P14" s="12"/>
      <c r="Q14" s="12"/>
      <c r="R14" s="12"/>
      <c r="S14" s="12"/>
    </row>
    <row r="15" ht="12.75" customHeight="1">
      <c r="A15" s="18" t="s">
        <v>220</v>
      </c>
      <c r="B15" s="19" t="s">
        <v>197</v>
      </c>
      <c r="C15" s="13">
        <f t="shared" si="3"/>
        <v>7</v>
      </c>
      <c r="D15" s="16">
        <f t="shared" si="4"/>
        <v>73</v>
      </c>
      <c r="E15" s="16">
        <v>197.0</v>
      </c>
      <c r="F15" s="16">
        <v>8.0</v>
      </c>
      <c r="G15" s="16">
        <v>4.0</v>
      </c>
      <c r="H15" s="16">
        <v>1.0</v>
      </c>
      <c r="I15" s="16">
        <v>6.0</v>
      </c>
      <c r="J15" s="16">
        <v>16.0</v>
      </c>
      <c r="K15" s="16">
        <v>38.0</v>
      </c>
      <c r="L15" s="16">
        <v>0.0</v>
      </c>
      <c r="M15" s="22" t="s">
        <v>197</v>
      </c>
      <c r="N15" s="12"/>
      <c r="O15" s="12"/>
      <c r="P15" s="12"/>
      <c r="Q15" s="12"/>
      <c r="R15" s="12"/>
      <c r="S15" s="12"/>
    </row>
    <row r="16" ht="12.75" customHeight="1">
      <c r="A16" s="18" t="s">
        <v>236</v>
      </c>
      <c r="B16" s="19" t="s">
        <v>140</v>
      </c>
      <c r="C16" s="13">
        <f t="shared" si="3"/>
        <v>7</v>
      </c>
      <c r="D16" s="16">
        <f t="shared" si="4"/>
        <v>72</v>
      </c>
      <c r="E16" s="16">
        <v>197.0</v>
      </c>
      <c r="F16" s="16">
        <v>4.0</v>
      </c>
      <c r="G16" s="16">
        <v>5.0</v>
      </c>
      <c r="H16" s="16">
        <v>1.0</v>
      </c>
      <c r="I16" s="16">
        <v>0.0</v>
      </c>
      <c r="J16" s="16">
        <v>6.0</v>
      </c>
      <c r="K16" s="16">
        <v>38.0</v>
      </c>
      <c r="L16" s="16">
        <v>18.0</v>
      </c>
      <c r="M16" s="22" t="s">
        <v>140</v>
      </c>
      <c r="N16" s="12"/>
      <c r="O16" s="12"/>
      <c r="P16" s="12"/>
      <c r="Q16" s="12"/>
      <c r="R16" s="12"/>
      <c r="S16" s="12"/>
    </row>
    <row r="17" ht="12.75" customHeight="1">
      <c r="A17" s="18" t="s">
        <v>190</v>
      </c>
      <c r="B17" s="19" t="s">
        <v>152</v>
      </c>
      <c r="C17" s="13">
        <f t="shared" si="3"/>
        <v>7.5</v>
      </c>
      <c r="D17" s="16">
        <f t="shared" si="4"/>
        <v>75</v>
      </c>
      <c r="E17" s="16">
        <v>197.0</v>
      </c>
      <c r="F17" s="23">
        <v>0.0</v>
      </c>
      <c r="G17" s="23">
        <v>0.0</v>
      </c>
      <c r="H17" s="16">
        <v>1.0</v>
      </c>
      <c r="I17" s="23">
        <v>0.0</v>
      </c>
      <c r="J17" s="23">
        <v>0.0</v>
      </c>
      <c r="K17" s="16">
        <v>65.0</v>
      </c>
      <c r="L17" s="16">
        <v>9.0</v>
      </c>
      <c r="M17" s="22" t="s">
        <v>145</v>
      </c>
      <c r="N17" s="12"/>
      <c r="O17" s="12"/>
      <c r="P17" s="12"/>
      <c r="Q17" s="12"/>
      <c r="R17" s="12"/>
      <c r="S17" s="12"/>
    </row>
    <row r="18" ht="12.75" customHeight="1">
      <c r="A18" s="18" t="s">
        <v>188</v>
      </c>
      <c r="B18" s="19" t="s">
        <v>128</v>
      </c>
      <c r="C18" s="13">
        <f t="shared" si="3"/>
        <v>7.5</v>
      </c>
      <c r="D18" s="16">
        <f t="shared" si="4"/>
        <v>75</v>
      </c>
      <c r="E18" s="16">
        <v>197.0</v>
      </c>
      <c r="F18" s="16">
        <v>3.0</v>
      </c>
      <c r="G18" s="16">
        <v>0.0</v>
      </c>
      <c r="H18" s="16">
        <v>1.0</v>
      </c>
      <c r="I18" s="16">
        <v>0.0</v>
      </c>
      <c r="J18" s="16">
        <v>15.0</v>
      </c>
      <c r="K18" s="16">
        <v>49.0</v>
      </c>
      <c r="L18" s="16">
        <v>7.0</v>
      </c>
      <c r="M18" s="22" t="s">
        <v>235</v>
      </c>
      <c r="N18" s="12"/>
      <c r="O18" s="12"/>
      <c r="P18" s="12"/>
      <c r="Q18" s="12"/>
      <c r="R18" s="12"/>
      <c r="S18" s="12"/>
    </row>
    <row r="19" ht="12.75" customHeight="1">
      <c r="A19" s="18" t="s">
        <v>231</v>
      </c>
      <c r="B19" s="19" t="s">
        <v>201</v>
      </c>
      <c r="C19" s="13">
        <f t="shared" si="3"/>
        <v>8</v>
      </c>
      <c r="D19" s="16">
        <f t="shared" si="4"/>
        <v>82</v>
      </c>
      <c r="E19" s="16">
        <v>197.0</v>
      </c>
      <c r="F19" s="16">
        <v>8.0</v>
      </c>
      <c r="G19" s="16">
        <v>6.0</v>
      </c>
      <c r="H19" s="16">
        <v>1.0</v>
      </c>
      <c r="I19" s="16">
        <v>0.0</v>
      </c>
      <c r="J19" s="16">
        <v>0.0</v>
      </c>
      <c r="K19" s="16">
        <v>38.0</v>
      </c>
      <c r="L19" s="16">
        <v>29.0</v>
      </c>
      <c r="M19" s="22" t="s">
        <v>201</v>
      </c>
      <c r="N19" s="12"/>
      <c r="O19" s="12"/>
      <c r="P19" s="12"/>
      <c r="Q19" s="12"/>
      <c r="R19" s="12"/>
      <c r="S19" s="12"/>
    </row>
    <row r="20" ht="12.75" customHeight="1">
      <c r="A20" s="18" t="s">
        <v>153</v>
      </c>
      <c r="B20" s="19" t="s">
        <v>163</v>
      </c>
      <c r="C20" s="13">
        <f t="shared" si="3"/>
        <v>8</v>
      </c>
      <c r="D20" s="16">
        <f t="shared" si="4"/>
        <v>83</v>
      </c>
      <c r="E20" s="16">
        <v>197.0</v>
      </c>
      <c r="F20" s="16">
        <v>4.0</v>
      </c>
      <c r="G20" s="16">
        <v>0.0</v>
      </c>
      <c r="H20" s="16">
        <v>1.0</v>
      </c>
      <c r="I20" s="16">
        <v>14.0</v>
      </c>
      <c r="J20" s="16">
        <v>26.0</v>
      </c>
      <c r="K20" s="16">
        <v>38.0</v>
      </c>
      <c r="L20" s="16">
        <v>0.0</v>
      </c>
      <c r="M20" s="22" t="s">
        <v>163</v>
      </c>
      <c r="N20" s="12"/>
      <c r="O20" s="12"/>
      <c r="P20" s="12"/>
      <c r="Q20" s="12"/>
      <c r="R20" s="12"/>
      <c r="S20" s="12"/>
    </row>
    <row r="21" ht="12.75" customHeight="1">
      <c r="A21" s="18" t="s">
        <v>185</v>
      </c>
      <c r="B21" s="19" t="s">
        <v>173</v>
      </c>
      <c r="C21" s="13">
        <f t="shared" si="3"/>
        <v>8</v>
      </c>
      <c r="D21" s="16">
        <f t="shared" si="4"/>
        <v>81</v>
      </c>
      <c r="E21" s="16">
        <v>197.0</v>
      </c>
      <c r="F21" s="16">
        <v>0.0</v>
      </c>
      <c r="G21" s="16">
        <v>0.0</v>
      </c>
      <c r="H21" s="16">
        <v>1.0</v>
      </c>
      <c r="I21" s="16">
        <v>0.0</v>
      </c>
      <c r="J21" s="16">
        <v>25.0</v>
      </c>
      <c r="K21" s="16">
        <v>37.0</v>
      </c>
      <c r="L21" s="16">
        <v>18.0</v>
      </c>
      <c r="M21" s="22" t="s">
        <v>173</v>
      </c>
      <c r="N21" s="12"/>
      <c r="O21" s="12"/>
      <c r="P21" s="12"/>
      <c r="Q21" s="12"/>
      <c r="R21" s="12"/>
      <c r="S21" s="12"/>
    </row>
    <row r="22" ht="12.75" customHeight="1">
      <c r="A22" s="18" t="s">
        <v>242</v>
      </c>
      <c r="B22" s="19" t="s">
        <v>159</v>
      </c>
      <c r="C22" s="13">
        <f t="shared" si="3"/>
        <v>8.5</v>
      </c>
      <c r="D22" s="16">
        <f t="shared" si="4"/>
        <v>84</v>
      </c>
      <c r="E22" s="16">
        <v>197.0</v>
      </c>
      <c r="F22" s="16">
        <v>4.0</v>
      </c>
      <c r="G22" s="16">
        <v>5.0</v>
      </c>
      <c r="H22" s="16">
        <v>1.0</v>
      </c>
      <c r="I22" s="16">
        <v>6.0</v>
      </c>
      <c r="J22" s="16">
        <v>0.0</v>
      </c>
      <c r="K22" s="16">
        <v>50.0</v>
      </c>
      <c r="L22" s="16">
        <v>18.0</v>
      </c>
      <c r="M22" s="22" t="s">
        <v>159</v>
      </c>
      <c r="N22" s="12"/>
      <c r="O22" s="12"/>
      <c r="P22" s="12"/>
      <c r="Q22" s="12"/>
      <c r="R22" s="12"/>
      <c r="S22" s="12"/>
    </row>
    <row r="23" ht="12.75" customHeight="1">
      <c r="A23" s="18" t="s">
        <v>156</v>
      </c>
      <c r="B23" s="19" t="s">
        <v>120</v>
      </c>
      <c r="C23" s="13">
        <f t="shared" si="3"/>
        <v>8.5</v>
      </c>
      <c r="D23" s="16">
        <f t="shared" si="4"/>
        <v>84</v>
      </c>
      <c r="E23" s="16">
        <v>197.0</v>
      </c>
      <c r="F23" s="16">
        <v>11.0</v>
      </c>
      <c r="G23" s="16">
        <v>0.0</v>
      </c>
      <c r="H23" s="23">
        <v>0.0</v>
      </c>
      <c r="I23" s="16">
        <v>6.0</v>
      </c>
      <c r="J23" s="16">
        <v>0.0</v>
      </c>
      <c r="K23" s="16">
        <v>49.0</v>
      </c>
      <c r="L23" s="16">
        <v>18.0</v>
      </c>
      <c r="M23" s="22" t="s">
        <v>121</v>
      </c>
      <c r="N23" s="12"/>
      <c r="O23" s="12"/>
      <c r="P23" s="12"/>
      <c r="Q23" s="12"/>
      <c r="R23" s="12"/>
      <c r="S23" s="12"/>
    </row>
    <row r="24" ht="12.75" customHeight="1">
      <c r="A24" s="18" t="s">
        <v>137</v>
      </c>
      <c r="B24" s="19" t="s">
        <v>237</v>
      </c>
      <c r="C24" s="13">
        <f t="shared" si="3"/>
        <v>9</v>
      </c>
      <c r="D24" s="16">
        <f t="shared" si="4"/>
        <v>93</v>
      </c>
      <c r="E24" s="16">
        <v>197.0</v>
      </c>
      <c r="F24" s="16">
        <v>8.0</v>
      </c>
      <c r="G24" s="16">
        <v>12.0</v>
      </c>
      <c r="H24" s="16">
        <v>1.0</v>
      </c>
      <c r="I24" s="16">
        <v>0.0</v>
      </c>
      <c r="J24" s="16">
        <v>6.0</v>
      </c>
      <c r="K24" s="16">
        <v>38.0</v>
      </c>
      <c r="L24" s="16">
        <v>28.0</v>
      </c>
      <c r="M24" s="22" t="s">
        <v>237</v>
      </c>
      <c r="N24" s="12"/>
      <c r="O24" s="12"/>
      <c r="P24" s="12"/>
      <c r="Q24" s="12"/>
      <c r="R24" s="12"/>
      <c r="S24" s="12"/>
    </row>
    <row r="25" ht="12.75" customHeight="1">
      <c r="A25" s="18" t="s">
        <v>253</v>
      </c>
      <c r="B25" s="19" t="s">
        <v>138</v>
      </c>
      <c r="C25" s="13">
        <f t="shared" si="3"/>
        <v>10</v>
      </c>
      <c r="D25" s="16">
        <f t="shared" si="4"/>
        <v>102</v>
      </c>
      <c r="E25" s="16">
        <v>197.0</v>
      </c>
      <c r="F25" s="16">
        <v>8.0</v>
      </c>
      <c r="G25" s="16">
        <v>0.0</v>
      </c>
      <c r="H25" s="16">
        <v>1.0</v>
      </c>
      <c r="I25" s="16">
        <v>6.0</v>
      </c>
      <c r="J25" s="16">
        <v>16.0</v>
      </c>
      <c r="K25" s="16">
        <v>52.0</v>
      </c>
      <c r="L25" s="16">
        <v>19.0</v>
      </c>
      <c r="M25" s="22" t="s">
        <v>145</v>
      </c>
      <c r="N25" s="12"/>
      <c r="O25" s="12"/>
      <c r="P25" s="12"/>
      <c r="Q25" s="12"/>
      <c r="R25" s="12"/>
      <c r="S25" s="12"/>
    </row>
    <row r="26" ht="12.75" customHeight="1">
      <c r="A26" s="18" t="s">
        <v>202</v>
      </c>
      <c r="B26" s="19" t="s">
        <v>215</v>
      </c>
      <c r="C26" s="13">
        <f t="shared" si="3"/>
        <v>10</v>
      </c>
      <c r="D26" s="16">
        <f t="shared" si="4"/>
        <v>103</v>
      </c>
      <c r="E26" s="16">
        <v>197.0</v>
      </c>
      <c r="F26" s="16">
        <v>3.0</v>
      </c>
      <c r="G26" s="16">
        <v>5.0</v>
      </c>
      <c r="H26" s="16">
        <v>0.0</v>
      </c>
      <c r="I26" s="16">
        <v>7.0</v>
      </c>
      <c r="J26" s="16">
        <v>16.0</v>
      </c>
      <c r="K26" s="16">
        <v>63.0</v>
      </c>
      <c r="L26" s="16">
        <v>9.0</v>
      </c>
      <c r="M26" s="22" t="s">
        <v>282</v>
      </c>
      <c r="N26" s="12"/>
      <c r="O26" s="12"/>
      <c r="P26" s="12"/>
      <c r="Q26" s="12"/>
      <c r="R26" s="12"/>
      <c r="S26" s="12"/>
    </row>
    <row r="27" ht="12.75" customHeight="1">
      <c r="A27" s="18" t="s">
        <v>240</v>
      </c>
      <c r="B27" s="19" t="s">
        <v>180</v>
      </c>
      <c r="C27" s="13">
        <f t="shared" si="3"/>
        <v>10.5</v>
      </c>
      <c r="D27" s="16">
        <f t="shared" si="4"/>
        <v>106</v>
      </c>
      <c r="E27" s="16">
        <v>197.0</v>
      </c>
      <c r="F27" s="16">
        <v>0.0</v>
      </c>
      <c r="G27" s="16">
        <v>0.0</v>
      </c>
      <c r="H27" s="16">
        <v>0.0</v>
      </c>
      <c r="I27" s="16">
        <v>0.0</v>
      </c>
      <c r="J27" s="16">
        <v>15.0</v>
      </c>
      <c r="K27" s="16">
        <v>62.0</v>
      </c>
      <c r="L27" s="16">
        <v>29.0</v>
      </c>
      <c r="M27" s="22" t="s">
        <v>180</v>
      </c>
      <c r="N27" s="12"/>
      <c r="O27" s="12"/>
      <c r="P27" s="12"/>
      <c r="Q27" s="12"/>
      <c r="R27" s="12"/>
      <c r="S27" s="12"/>
    </row>
    <row r="28" ht="12.75" customHeight="1">
      <c r="A28" s="18" t="s">
        <v>183</v>
      </c>
      <c r="B28" s="19" t="s">
        <v>207</v>
      </c>
      <c r="C28" s="13">
        <f t="shared" si="3"/>
        <v>11</v>
      </c>
      <c r="D28" s="16">
        <f t="shared" si="4"/>
        <v>112</v>
      </c>
      <c r="E28" s="16">
        <v>197.0</v>
      </c>
      <c r="F28" s="16">
        <v>4.0</v>
      </c>
      <c r="G28" s="16">
        <v>5.0</v>
      </c>
      <c r="H28" s="16">
        <v>1.0</v>
      </c>
      <c r="I28" s="16">
        <v>6.0</v>
      </c>
      <c r="J28" s="16">
        <v>26.0</v>
      </c>
      <c r="K28" s="16">
        <v>52.0</v>
      </c>
      <c r="L28" s="16">
        <v>18.0</v>
      </c>
      <c r="M28" s="22" t="s">
        <v>207</v>
      </c>
      <c r="N28" s="12"/>
      <c r="O28" s="12"/>
      <c r="P28" s="12"/>
      <c r="Q28" s="12"/>
      <c r="R28" s="12"/>
      <c r="S28" s="12"/>
    </row>
    <row r="29" ht="12.75" customHeight="1">
      <c r="A29" s="18" t="s">
        <v>143</v>
      </c>
      <c r="B29" s="19" t="s">
        <v>218</v>
      </c>
      <c r="C29" s="13">
        <f t="shared" si="3"/>
        <v>11</v>
      </c>
      <c r="D29" s="16">
        <f t="shared" si="4"/>
        <v>110</v>
      </c>
      <c r="E29" s="16">
        <v>197.0</v>
      </c>
      <c r="F29" s="16">
        <v>8.0</v>
      </c>
      <c r="G29" s="16">
        <v>6.0</v>
      </c>
      <c r="H29" s="16">
        <v>1.0</v>
      </c>
      <c r="I29" s="16">
        <v>0.0</v>
      </c>
      <c r="J29" s="16">
        <v>16.0</v>
      </c>
      <c r="K29" s="16">
        <v>50.0</v>
      </c>
      <c r="L29" s="16">
        <v>29.0</v>
      </c>
      <c r="M29" s="22" t="s">
        <v>218</v>
      </c>
      <c r="N29" s="12"/>
      <c r="O29" s="12"/>
      <c r="P29" s="12"/>
      <c r="Q29" s="12"/>
      <c r="R29" s="12"/>
      <c r="S29" s="12"/>
    </row>
    <row r="30" ht="12.75" customHeight="1">
      <c r="A30" s="18" t="s">
        <v>172</v>
      </c>
      <c r="B30" s="19" t="s">
        <v>114</v>
      </c>
      <c r="C30" s="13">
        <f t="shared" si="3"/>
        <v>11</v>
      </c>
      <c r="D30" s="16">
        <f t="shared" si="4"/>
        <v>109</v>
      </c>
      <c r="E30" s="16">
        <v>197.0</v>
      </c>
      <c r="F30" s="16">
        <v>4.0</v>
      </c>
      <c r="G30" s="16">
        <v>0.0</v>
      </c>
      <c r="H30" s="16">
        <v>1.0</v>
      </c>
      <c r="I30" s="16">
        <v>0.0</v>
      </c>
      <c r="J30" s="16">
        <v>26.0</v>
      </c>
      <c r="K30" s="16">
        <v>38.0</v>
      </c>
      <c r="L30" s="16">
        <v>40.0</v>
      </c>
      <c r="M30" s="22" t="s">
        <v>114</v>
      </c>
      <c r="N30" s="12"/>
      <c r="O30" s="12"/>
      <c r="P30" s="12"/>
      <c r="Q30" s="12"/>
      <c r="R30" s="12"/>
      <c r="S30" s="12"/>
    </row>
    <row r="31" ht="12.75" customHeight="1">
      <c r="A31" s="18" t="s">
        <v>127</v>
      </c>
      <c r="B31" s="19" t="s">
        <v>123</v>
      </c>
      <c r="C31" s="13">
        <f t="shared" si="3"/>
        <v>11.5</v>
      </c>
      <c r="D31" s="16">
        <f t="shared" si="4"/>
        <v>114</v>
      </c>
      <c r="E31" s="16">
        <v>197.0</v>
      </c>
      <c r="F31" s="16">
        <v>4.0</v>
      </c>
      <c r="G31" s="16">
        <v>6.0</v>
      </c>
      <c r="H31" s="16">
        <v>0.0</v>
      </c>
      <c r="I31" s="16">
        <v>14.0</v>
      </c>
      <c r="J31" s="16">
        <v>0.0</v>
      </c>
      <c r="K31" s="16">
        <v>61.0</v>
      </c>
      <c r="L31" s="16">
        <v>29.0</v>
      </c>
      <c r="M31" s="22" t="s">
        <v>123</v>
      </c>
      <c r="N31" s="12"/>
      <c r="O31" s="12"/>
      <c r="P31" s="12"/>
      <c r="Q31" s="12"/>
      <c r="R31" s="12"/>
      <c r="S31" s="12"/>
    </row>
    <row r="32" ht="12.75" customHeight="1">
      <c r="A32" s="18" t="s">
        <v>200</v>
      </c>
      <c r="B32" s="19" t="s">
        <v>193</v>
      </c>
      <c r="C32" s="13">
        <f t="shared" si="3"/>
        <v>11.5</v>
      </c>
      <c r="D32" s="16">
        <f t="shared" si="4"/>
        <v>117</v>
      </c>
      <c r="E32" s="16">
        <v>197.0</v>
      </c>
      <c r="F32" s="16">
        <v>4.0</v>
      </c>
      <c r="G32" s="16">
        <v>5.0</v>
      </c>
      <c r="H32" s="16">
        <v>1.0</v>
      </c>
      <c r="I32" s="16">
        <v>14.0</v>
      </c>
      <c r="J32" s="16">
        <v>26.0</v>
      </c>
      <c r="K32" s="16">
        <v>49.0</v>
      </c>
      <c r="L32" s="16">
        <v>18.0</v>
      </c>
      <c r="M32" s="22" t="s">
        <v>193</v>
      </c>
      <c r="N32" s="12"/>
      <c r="O32" s="12"/>
      <c r="P32" s="12"/>
      <c r="Q32" s="12"/>
      <c r="R32" s="12"/>
      <c r="S32" s="12"/>
    </row>
    <row r="33" ht="12.75" customHeight="1">
      <c r="A33" s="18" t="s">
        <v>248</v>
      </c>
      <c r="B33" s="19" t="s">
        <v>239</v>
      </c>
      <c r="C33" s="13">
        <f t="shared" si="3"/>
        <v>11.5</v>
      </c>
      <c r="D33" s="16">
        <f t="shared" si="4"/>
        <v>118</v>
      </c>
      <c r="E33" s="16">
        <v>197.0</v>
      </c>
      <c r="F33" s="16">
        <v>11.0</v>
      </c>
      <c r="G33" s="16">
        <v>5.0</v>
      </c>
      <c r="H33" s="16">
        <v>0.0</v>
      </c>
      <c r="I33" s="16">
        <v>14.0</v>
      </c>
      <c r="J33" s="16">
        <v>6.0</v>
      </c>
      <c r="K33" s="16">
        <v>63.0</v>
      </c>
      <c r="L33" s="16">
        <v>19.0</v>
      </c>
      <c r="M33" s="22" t="s">
        <v>239</v>
      </c>
      <c r="N33" s="12"/>
      <c r="O33" s="12"/>
      <c r="P33" s="12"/>
      <c r="Q33" s="12"/>
      <c r="R33" s="12"/>
      <c r="S33" s="12"/>
    </row>
    <row r="34" ht="12.75" customHeight="1">
      <c r="A34" s="18" t="s">
        <v>204</v>
      </c>
      <c r="B34" s="19" t="s">
        <v>210</v>
      </c>
      <c r="C34" s="13">
        <f t="shared" si="3"/>
        <v>12</v>
      </c>
      <c r="D34" s="16">
        <f t="shared" si="4"/>
        <v>122</v>
      </c>
      <c r="E34" s="16">
        <v>197.0</v>
      </c>
      <c r="F34" s="16">
        <v>8.0</v>
      </c>
      <c r="G34" s="23">
        <v>0.0</v>
      </c>
      <c r="H34" s="16">
        <v>1.0</v>
      </c>
      <c r="I34" s="23">
        <v>0.0</v>
      </c>
      <c r="J34" s="16">
        <v>27.0</v>
      </c>
      <c r="K34" s="16">
        <v>76.0</v>
      </c>
      <c r="L34" s="16">
        <v>10.0</v>
      </c>
      <c r="M34" s="22" t="s">
        <v>210</v>
      </c>
      <c r="N34" s="12"/>
      <c r="O34" s="12"/>
      <c r="P34" s="12"/>
      <c r="Q34" s="12"/>
      <c r="R34" s="12"/>
      <c r="S34" s="12"/>
    </row>
    <row r="35" ht="12.75" customHeight="1">
      <c r="A35" s="18" t="s">
        <v>175</v>
      </c>
      <c r="B35" s="19" t="s">
        <v>147</v>
      </c>
      <c r="C35" s="13">
        <f t="shared" si="3"/>
        <v>12</v>
      </c>
      <c r="D35" s="16">
        <f t="shared" si="4"/>
        <v>119</v>
      </c>
      <c r="E35" s="16">
        <v>197.0</v>
      </c>
      <c r="F35" s="16">
        <v>16.0</v>
      </c>
      <c r="G35" s="16">
        <v>0.0</v>
      </c>
      <c r="H35" s="16">
        <v>1.0</v>
      </c>
      <c r="I35" s="16">
        <v>6.0</v>
      </c>
      <c r="J35" s="16">
        <v>17.0</v>
      </c>
      <c r="K35" s="16">
        <v>49.0</v>
      </c>
      <c r="L35" s="16">
        <v>30.0</v>
      </c>
      <c r="M35" s="22" t="s">
        <v>147</v>
      </c>
      <c r="N35" s="12"/>
      <c r="O35" s="12"/>
      <c r="P35" s="12"/>
      <c r="Q35" s="12"/>
      <c r="R35" s="12"/>
      <c r="S35" s="12"/>
    </row>
    <row r="36" ht="12.75" customHeight="1">
      <c r="A36" s="18" t="s">
        <v>194</v>
      </c>
      <c r="B36" s="19" t="s">
        <v>184</v>
      </c>
      <c r="C36" s="13">
        <f t="shared" si="3"/>
        <v>13</v>
      </c>
      <c r="D36" s="16">
        <f t="shared" si="4"/>
        <v>129</v>
      </c>
      <c r="E36" s="16">
        <v>197.0</v>
      </c>
      <c r="F36" s="16">
        <v>8.0</v>
      </c>
      <c r="G36" s="16">
        <v>12.0</v>
      </c>
      <c r="H36" s="16">
        <v>1.0</v>
      </c>
      <c r="I36" s="16">
        <v>0.0</v>
      </c>
      <c r="J36" s="16">
        <v>15.0</v>
      </c>
      <c r="K36" s="16">
        <v>76.0</v>
      </c>
      <c r="L36" s="16">
        <v>17.0</v>
      </c>
      <c r="M36" s="22" t="s">
        <v>184</v>
      </c>
      <c r="N36" s="12"/>
      <c r="O36" s="12"/>
      <c r="P36" s="12"/>
      <c r="Q36" s="12"/>
      <c r="R36" s="12"/>
      <c r="S36" s="12"/>
    </row>
    <row r="37" ht="12.75" customHeight="1">
      <c r="A37" s="18" t="s">
        <v>132</v>
      </c>
      <c r="B37" s="19" t="s">
        <v>232</v>
      </c>
      <c r="C37" s="13">
        <f t="shared" si="3"/>
        <v>13</v>
      </c>
      <c r="D37" s="16">
        <f t="shared" si="4"/>
        <v>131</v>
      </c>
      <c r="E37" s="16">
        <v>197.0</v>
      </c>
      <c r="F37" s="16">
        <v>8.0</v>
      </c>
      <c r="G37" s="16">
        <v>5.0</v>
      </c>
      <c r="H37" s="16">
        <v>1.0</v>
      </c>
      <c r="I37" s="16">
        <v>0.0</v>
      </c>
      <c r="J37" s="16">
        <v>26.0</v>
      </c>
      <c r="K37" s="16">
        <v>51.0</v>
      </c>
      <c r="L37" s="16">
        <v>40.0</v>
      </c>
      <c r="M37" s="22" t="s">
        <v>232</v>
      </c>
      <c r="N37" s="12"/>
      <c r="O37" s="12"/>
      <c r="P37" s="12"/>
      <c r="Q37" s="12"/>
      <c r="R37" s="12"/>
      <c r="S37" s="12"/>
    </row>
    <row r="38" ht="12.75" customHeight="1">
      <c r="A38" s="18" t="s">
        <v>170</v>
      </c>
      <c r="B38" s="19" t="s">
        <v>247</v>
      </c>
      <c r="C38" s="13">
        <f t="shared" si="3"/>
        <v>13.5</v>
      </c>
      <c r="D38" s="16">
        <f t="shared" si="4"/>
        <v>136</v>
      </c>
      <c r="E38" s="16">
        <v>197.0</v>
      </c>
      <c r="F38" s="16">
        <v>8.0</v>
      </c>
      <c r="G38" s="16">
        <v>12.0</v>
      </c>
      <c r="H38" s="16">
        <v>1.0</v>
      </c>
      <c r="I38" s="16">
        <v>7.0</v>
      </c>
      <c r="J38" s="16">
        <v>17.0</v>
      </c>
      <c r="K38" s="16">
        <v>51.0</v>
      </c>
      <c r="L38" s="16">
        <v>40.0</v>
      </c>
      <c r="M38" s="22" t="s">
        <v>247</v>
      </c>
      <c r="N38" s="12"/>
      <c r="O38" s="12"/>
      <c r="P38" s="12"/>
      <c r="Q38" s="12"/>
      <c r="R38" s="12"/>
      <c r="S38" s="12"/>
    </row>
    <row r="39" ht="12.75" customHeight="1">
      <c r="A39" s="18" t="s">
        <v>238</v>
      </c>
      <c r="B39" s="19" t="s">
        <v>189</v>
      </c>
      <c r="C39" s="13">
        <f t="shared" si="3"/>
        <v>13.5</v>
      </c>
      <c r="D39" s="16">
        <f t="shared" si="4"/>
        <v>135</v>
      </c>
      <c r="E39" s="16">
        <v>197.0</v>
      </c>
      <c r="F39" s="16">
        <v>8.0</v>
      </c>
      <c r="G39" s="16">
        <v>5.0</v>
      </c>
      <c r="H39" s="16">
        <v>0.0</v>
      </c>
      <c r="I39" s="16">
        <v>6.0</v>
      </c>
      <c r="J39" s="16">
        <v>26.0</v>
      </c>
      <c r="K39" s="16">
        <v>51.0</v>
      </c>
      <c r="L39" s="16">
        <v>39.0</v>
      </c>
      <c r="M39" s="22" t="s">
        <v>189</v>
      </c>
      <c r="N39" s="12"/>
      <c r="O39" s="12"/>
      <c r="P39" s="12"/>
      <c r="Q39" s="12"/>
      <c r="R39" s="12"/>
      <c r="S39" s="12"/>
    </row>
    <row r="40" ht="12.75" customHeight="1">
      <c r="A40" s="18" t="s">
        <v>168</v>
      </c>
      <c r="B40" s="19" t="s">
        <v>199</v>
      </c>
      <c r="C40" s="13">
        <f t="shared" si="3"/>
        <v>14</v>
      </c>
      <c r="D40" s="16">
        <f t="shared" si="4"/>
        <v>140</v>
      </c>
      <c r="E40" s="16">
        <v>197.0</v>
      </c>
      <c r="F40" s="16">
        <v>8.0</v>
      </c>
      <c r="G40" s="16">
        <v>5.0</v>
      </c>
      <c r="H40" s="16">
        <v>1.0</v>
      </c>
      <c r="I40" s="16">
        <v>6.0</v>
      </c>
      <c r="J40" s="16">
        <v>16.0</v>
      </c>
      <c r="K40" s="16">
        <v>64.0</v>
      </c>
      <c r="L40" s="16">
        <v>40.0</v>
      </c>
      <c r="M40" s="22" t="s">
        <v>199</v>
      </c>
      <c r="N40" s="12"/>
      <c r="O40" s="12"/>
      <c r="P40" s="12"/>
      <c r="Q40" s="12"/>
      <c r="R40" s="12"/>
      <c r="S40" s="12"/>
    </row>
    <row r="41" ht="12.75" customHeight="1">
      <c r="A41" s="18" t="s">
        <v>166</v>
      </c>
      <c r="B41" s="19" t="s">
        <v>178</v>
      </c>
      <c r="C41" s="13">
        <f t="shared" si="3"/>
        <v>14</v>
      </c>
      <c r="D41" s="16">
        <f t="shared" si="4"/>
        <v>141</v>
      </c>
      <c r="E41" s="16">
        <v>197.0</v>
      </c>
      <c r="F41" s="16">
        <v>16.0</v>
      </c>
      <c r="G41" s="23">
        <v>0.0</v>
      </c>
      <c r="H41" s="16">
        <v>1.0</v>
      </c>
      <c r="I41" s="16">
        <v>14.0</v>
      </c>
      <c r="J41" s="16">
        <v>6.0</v>
      </c>
      <c r="K41" s="16">
        <v>74.0</v>
      </c>
      <c r="L41" s="16">
        <v>30.0</v>
      </c>
      <c r="M41" s="22" t="s">
        <v>178</v>
      </c>
      <c r="N41" s="12"/>
      <c r="O41" s="12"/>
      <c r="P41" s="12"/>
      <c r="Q41" s="12"/>
      <c r="R41" s="12"/>
      <c r="S41" s="12"/>
    </row>
    <row r="42" ht="12.75" customHeight="1">
      <c r="A42" s="18" t="s">
        <v>246</v>
      </c>
      <c r="B42" s="19" t="s">
        <v>241</v>
      </c>
      <c r="C42" s="13">
        <f t="shared" si="3"/>
        <v>14.5</v>
      </c>
      <c r="D42" s="16">
        <f t="shared" si="4"/>
        <v>147</v>
      </c>
      <c r="E42" s="16">
        <v>197.0</v>
      </c>
      <c r="F42" s="16">
        <v>16.0</v>
      </c>
      <c r="G42" s="16">
        <v>6.0</v>
      </c>
      <c r="H42" s="16">
        <v>1.0</v>
      </c>
      <c r="I42" s="16">
        <v>14.0</v>
      </c>
      <c r="J42" s="16">
        <v>36.0</v>
      </c>
      <c r="K42" s="16">
        <v>64.0</v>
      </c>
      <c r="L42" s="16">
        <v>10.0</v>
      </c>
      <c r="M42" s="22" t="s">
        <v>241</v>
      </c>
      <c r="N42" s="12"/>
      <c r="O42" s="12"/>
      <c r="P42" s="12"/>
      <c r="Q42" s="12"/>
      <c r="R42" s="12"/>
      <c r="S42" s="12"/>
    </row>
    <row r="43" ht="12.75" customHeight="1">
      <c r="A43" s="18" t="s">
        <v>223</v>
      </c>
      <c r="B43" s="19" t="s">
        <v>243</v>
      </c>
      <c r="C43" s="13">
        <f t="shared" si="3"/>
        <v>14.5</v>
      </c>
      <c r="D43" s="16">
        <f t="shared" si="4"/>
        <v>143</v>
      </c>
      <c r="E43" s="16">
        <v>197.0</v>
      </c>
      <c r="F43" s="16">
        <v>4.0</v>
      </c>
      <c r="G43" s="16">
        <v>12.0</v>
      </c>
      <c r="H43" s="16">
        <v>1.0</v>
      </c>
      <c r="I43" s="16">
        <v>6.0</v>
      </c>
      <c r="J43" s="16">
        <v>17.0</v>
      </c>
      <c r="K43" s="16">
        <v>63.0</v>
      </c>
      <c r="L43" s="16">
        <v>40.0</v>
      </c>
      <c r="M43" s="22" t="s">
        <v>243</v>
      </c>
      <c r="N43" s="12"/>
      <c r="O43" s="12"/>
      <c r="P43" s="12"/>
      <c r="Q43" s="12"/>
      <c r="R43" s="12"/>
      <c r="S43" s="12"/>
    </row>
    <row r="44" ht="12.75" customHeight="1">
      <c r="A44" s="18" t="s">
        <v>146</v>
      </c>
      <c r="B44" s="19" t="s">
        <v>171</v>
      </c>
      <c r="C44" s="13">
        <f t="shared" si="3"/>
        <v>14.5</v>
      </c>
      <c r="D44" s="16">
        <f t="shared" si="4"/>
        <v>146</v>
      </c>
      <c r="E44" s="16">
        <v>197.0</v>
      </c>
      <c r="F44" s="16">
        <v>12.0</v>
      </c>
      <c r="G44" s="16">
        <v>5.0</v>
      </c>
      <c r="H44" s="16">
        <v>1.0</v>
      </c>
      <c r="I44" s="16">
        <v>6.0</v>
      </c>
      <c r="J44" s="16">
        <v>17.0</v>
      </c>
      <c r="K44" s="16">
        <v>65.0</v>
      </c>
      <c r="L44" s="16">
        <v>40.0</v>
      </c>
      <c r="M44" s="22" t="s">
        <v>171</v>
      </c>
      <c r="N44" s="12"/>
      <c r="O44" s="12"/>
      <c r="P44" s="12"/>
      <c r="Q44" s="12"/>
      <c r="R44" s="12"/>
      <c r="S44" s="12"/>
    </row>
    <row r="45" ht="12.75" customHeight="1">
      <c r="A45" s="18" t="s">
        <v>257</v>
      </c>
      <c r="B45" s="19" t="s">
        <v>254</v>
      </c>
      <c r="C45" s="13">
        <f t="shared" si="3"/>
        <v>14.5</v>
      </c>
      <c r="D45" s="16">
        <f t="shared" si="4"/>
        <v>144</v>
      </c>
      <c r="E45" s="16">
        <v>197.0</v>
      </c>
      <c r="F45" s="16">
        <v>16.0</v>
      </c>
      <c r="G45" s="16">
        <v>12.0</v>
      </c>
      <c r="H45" s="16">
        <v>1.0</v>
      </c>
      <c r="I45" s="16">
        <v>6.0</v>
      </c>
      <c r="J45" s="16">
        <v>18.0</v>
      </c>
      <c r="K45" s="16">
        <v>51.0</v>
      </c>
      <c r="L45" s="16">
        <v>40.0</v>
      </c>
      <c r="M45" s="22" t="s">
        <v>254</v>
      </c>
      <c r="N45" s="12"/>
      <c r="O45" s="12"/>
      <c r="P45" s="12"/>
      <c r="Q45" s="12"/>
      <c r="R45" s="12"/>
      <c r="S45" s="12"/>
    </row>
    <row r="46" ht="12.75" customHeight="1">
      <c r="A46" s="18" t="s">
        <v>177</v>
      </c>
      <c r="B46" s="19" t="s">
        <v>125</v>
      </c>
      <c r="C46" s="13">
        <f t="shared" si="3"/>
        <v>14.5</v>
      </c>
      <c r="D46" s="16">
        <f t="shared" si="4"/>
        <v>146</v>
      </c>
      <c r="E46" s="16">
        <v>197.0</v>
      </c>
      <c r="F46" s="16">
        <v>12.0</v>
      </c>
      <c r="G46" s="16">
        <v>5.0</v>
      </c>
      <c r="H46" s="16">
        <v>1.0</v>
      </c>
      <c r="I46" s="16">
        <v>6.0</v>
      </c>
      <c r="J46" s="16">
        <v>7.0</v>
      </c>
      <c r="K46" s="16">
        <v>75.0</v>
      </c>
      <c r="L46" s="16">
        <v>40.0</v>
      </c>
      <c r="M46" s="22" t="s">
        <v>283</v>
      </c>
      <c r="N46" s="12"/>
      <c r="O46" s="12"/>
      <c r="P46" s="12"/>
      <c r="Q46" s="12"/>
      <c r="R46" s="12"/>
      <c r="S46" s="12"/>
    </row>
    <row r="47" ht="12.75" customHeight="1">
      <c r="A47" s="18" t="s">
        <v>179</v>
      </c>
      <c r="B47" s="19" t="s">
        <v>221</v>
      </c>
      <c r="C47" s="13">
        <f t="shared" si="3"/>
        <v>14.5</v>
      </c>
      <c r="D47" s="16">
        <f t="shared" si="4"/>
        <v>143</v>
      </c>
      <c r="E47" s="16">
        <v>197.0</v>
      </c>
      <c r="F47" s="16">
        <v>16.0</v>
      </c>
      <c r="G47" s="16">
        <v>6.0</v>
      </c>
      <c r="H47" s="16">
        <v>1.0</v>
      </c>
      <c r="I47" s="16">
        <v>0.0</v>
      </c>
      <c r="J47" s="16">
        <v>27.0</v>
      </c>
      <c r="K47" s="16">
        <v>63.0</v>
      </c>
      <c r="L47" s="16">
        <v>30.0</v>
      </c>
      <c r="M47" s="22" t="s">
        <v>222</v>
      </c>
      <c r="N47" s="12"/>
      <c r="O47" s="12"/>
      <c r="P47" s="12"/>
      <c r="Q47" s="12"/>
      <c r="R47" s="12"/>
      <c r="S47" s="12"/>
    </row>
    <row r="48" ht="12.75" customHeight="1">
      <c r="A48" s="18" t="s">
        <v>229</v>
      </c>
      <c r="B48" s="19" t="s">
        <v>191</v>
      </c>
      <c r="C48" s="13">
        <f t="shared" si="3"/>
        <v>15</v>
      </c>
      <c r="D48" s="16">
        <f t="shared" si="4"/>
        <v>150</v>
      </c>
      <c r="E48" s="16">
        <v>197.0</v>
      </c>
      <c r="F48" s="16">
        <v>12.0</v>
      </c>
      <c r="G48" s="16">
        <v>6.0</v>
      </c>
      <c r="H48" s="16">
        <v>1.0</v>
      </c>
      <c r="I48" s="16">
        <v>6.0</v>
      </c>
      <c r="J48" s="16">
        <v>36.0</v>
      </c>
      <c r="K48" s="16">
        <v>49.0</v>
      </c>
      <c r="L48" s="16">
        <v>40.0</v>
      </c>
      <c r="M48" s="22" t="s">
        <v>191</v>
      </c>
      <c r="N48" s="12"/>
      <c r="O48" s="12"/>
      <c r="P48" s="12"/>
      <c r="Q48" s="12"/>
      <c r="R48" s="12"/>
      <c r="S48" s="12"/>
    </row>
    <row r="49" ht="12.75" customHeight="1">
      <c r="A49" s="18" t="s">
        <v>198</v>
      </c>
      <c r="B49" s="19" t="s">
        <v>157</v>
      </c>
      <c r="C49" s="13">
        <f t="shared" si="3"/>
        <v>15</v>
      </c>
      <c r="D49" s="16">
        <f t="shared" si="4"/>
        <v>151</v>
      </c>
      <c r="E49" s="16">
        <v>197.0</v>
      </c>
      <c r="F49" s="16">
        <v>12.0</v>
      </c>
      <c r="G49" s="16">
        <v>5.0</v>
      </c>
      <c r="H49" s="16">
        <v>1.0</v>
      </c>
      <c r="I49" s="16">
        <v>6.0</v>
      </c>
      <c r="J49" s="16">
        <v>36.0</v>
      </c>
      <c r="K49" s="16">
        <v>51.0</v>
      </c>
      <c r="L49" s="16">
        <v>40.0</v>
      </c>
      <c r="M49" s="22" t="s">
        <v>157</v>
      </c>
      <c r="N49" s="12"/>
      <c r="O49" s="12"/>
      <c r="P49" s="12"/>
      <c r="Q49" s="12"/>
      <c r="R49" s="12"/>
      <c r="S49" s="12"/>
    </row>
    <row r="50" ht="12.75" customHeight="1">
      <c r="A50" s="18" t="s">
        <v>255</v>
      </c>
      <c r="B50" s="19" t="s">
        <v>228</v>
      </c>
      <c r="C50" s="13">
        <f t="shared" si="3"/>
        <v>15.5</v>
      </c>
      <c r="D50" s="16">
        <f t="shared" si="4"/>
        <v>156</v>
      </c>
      <c r="E50" s="16">
        <v>197.0</v>
      </c>
      <c r="F50" s="16">
        <v>8.0</v>
      </c>
      <c r="G50" s="16">
        <v>12.0</v>
      </c>
      <c r="H50" s="16">
        <v>1.0</v>
      </c>
      <c r="I50" s="16">
        <v>6.0</v>
      </c>
      <c r="J50" s="16">
        <v>27.0</v>
      </c>
      <c r="K50" s="16">
        <v>62.0</v>
      </c>
      <c r="L50" s="16">
        <v>40.0</v>
      </c>
      <c r="M50" s="22" t="s">
        <v>228</v>
      </c>
      <c r="N50" s="12"/>
      <c r="O50" s="12"/>
      <c r="P50" s="12"/>
      <c r="Q50" s="12"/>
      <c r="R50" s="12"/>
      <c r="S50" s="12"/>
    </row>
    <row r="51" ht="12.75" customHeight="1">
      <c r="A51" s="18" t="s">
        <v>226</v>
      </c>
      <c r="B51" s="19" t="s">
        <v>117</v>
      </c>
      <c r="C51" s="13">
        <f t="shared" si="3"/>
        <v>16</v>
      </c>
      <c r="D51" s="16">
        <f t="shared" si="4"/>
        <v>161</v>
      </c>
      <c r="E51" s="16">
        <v>197.0</v>
      </c>
      <c r="F51" s="16">
        <v>12.0</v>
      </c>
      <c r="G51" s="16">
        <v>5.0</v>
      </c>
      <c r="H51" s="16">
        <v>1.0</v>
      </c>
      <c r="I51" s="16">
        <v>0.0</v>
      </c>
      <c r="J51" s="16">
        <v>26.0</v>
      </c>
      <c r="K51" s="16">
        <v>77.0</v>
      </c>
      <c r="L51" s="16">
        <v>40.0</v>
      </c>
      <c r="M51" s="22" t="s">
        <v>118</v>
      </c>
      <c r="N51" s="12"/>
      <c r="O51" s="12"/>
      <c r="P51" s="12"/>
      <c r="Q51" s="12"/>
      <c r="R51" s="12"/>
      <c r="S51" s="12"/>
    </row>
    <row r="52" ht="12.75" customHeight="1">
      <c r="A52" s="18" t="s">
        <v>217</v>
      </c>
      <c r="B52" s="19" t="s">
        <v>249</v>
      </c>
      <c r="C52" s="13">
        <f t="shared" si="3"/>
        <v>16</v>
      </c>
      <c r="D52" s="16">
        <f t="shared" si="4"/>
        <v>161</v>
      </c>
      <c r="E52" s="16">
        <v>197.0</v>
      </c>
      <c r="F52" s="16">
        <v>12.0</v>
      </c>
      <c r="G52" s="16">
        <v>12.0</v>
      </c>
      <c r="H52" s="16">
        <v>1.0</v>
      </c>
      <c r="I52" s="16">
        <v>6.0</v>
      </c>
      <c r="J52" s="16">
        <v>36.0</v>
      </c>
      <c r="K52" s="16">
        <v>65.0</v>
      </c>
      <c r="L52" s="16">
        <v>29.0</v>
      </c>
      <c r="M52" s="22" t="s">
        <v>249</v>
      </c>
      <c r="N52" s="12"/>
      <c r="O52" s="12"/>
      <c r="P52" s="12"/>
      <c r="Q52" s="12"/>
      <c r="R52" s="12"/>
      <c r="S52" s="12"/>
    </row>
    <row r="53" ht="12.75" customHeight="1">
      <c r="A53" s="18" t="s">
        <v>122</v>
      </c>
      <c r="B53" s="19" t="s">
        <v>154</v>
      </c>
      <c r="C53" s="13">
        <f t="shared" si="3"/>
        <v>16</v>
      </c>
      <c r="D53" s="16">
        <f t="shared" si="4"/>
        <v>161</v>
      </c>
      <c r="E53" s="16">
        <v>197.0</v>
      </c>
      <c r="F53" s="16">
        <v>12.0</v>
      </c>
      <c r="G53" s="16">
        <v>5.0</v>
      </c>
      <c r="H53" s="16">
        <v>1.0</v>
      </c>
      <c r="I53" s="16">
        <v>0.0</v>
      </c>
      <c r="J53" s="16">
        <v>26.0</v>
      </c>
      <c r="K53" s="16">
        <v>77.0</v>
      </c>
      <c r="L53" s="16">
        <v>40.0</v>
      </c>
      <c r="M53" s="22" t="s">
        <v>258</v>
      </c>
      <c r="N53" s="12"/>
      <c r="O53" s="12"/>
      <c r="P53" s="12"/>
      <c r="Q53" s="12"/>
      <c r="R53" s="12"/>
      <c r="S53" s="12"/>
    </row>
    <row r="54" ht="12.75" customHeight="1">
      <c r="A54" s="18" t="s">
        <v>164</v>
      </c>
      <c r="B54" s="19" t="s">
        <v>195</v>
      </c>
      <c r="C54" s="13">
        <f t="shared" si="3"/>
        <v>16</v>
      </c>
      <c r="D54" s="16">
        <f t="shared" si="4"/>
        <v>159</v>
      </c>
      <c r="E54" s="16">
        <v>197.0</v>
      </c>
      <c r="F54" s="16">
        <v>16.0</v>
      </c>
      <c r="G54" s="16">
        <v>12.0</v>
      </c>
      <c r="H54" s="16">
        <v>1.0</v>
      </c>
      <c r="I54" s="16">
        <v>14.0</v>
      </c>
      <c r="J54" s="16">
        <v>26.0</v>
      </c>
      <c r="K54" s="16">
        <v>50.0</v>
      </c>
      <c r="L54" s="16">
        <v>40.0</v>
      </c>
      <c r="M54" s="22" t="s">
        <v>195</v>
      </c>
      <c r="N54" s="12"/>
      <c r="O54" s="12"/>
      <c r="P54" s="12"/>
      <c r="Q54" s="12"/>
      <c r="R54" s="12"/>
      <c r="S54" s="12"/>
    </row>
    <row r="55" ht="12.75" customHeight="1">
      <c r="A55" s="18" t="s">
        <v>250</v>
      </c>
      <c r="B55" s="19" t="s">
        <v>169</v>
      </c>
      <c r="C55" s="13">
        <f t="shared" si="3"/>
        <v>16</v>
      </c>
      <c r="D55" s="16">
        <f t="shared" si="4"/>
        <v>160</v>
      </c>
      <c r="E55" s="16">
        <v>197.0</v>
      </c>
      <c r="F55" s="16">
        <v>12.0</v>
      </c>
      <c r="G55" s="16">
        <v>0.0</v>
      </c>
      <c r="H55" s="16">
        <v>1.0</v>
      </c>
      <c r="I55" s="16">
        <v>7.0</v>
      </c>
      <c r="J55" s="16">
        <v>26.0</v>
      </c>
      <c r="K55" s="16">
        <v>74.0</v>
      </c>
      <c r="L55" s="16">
        <v>40.0</v>
      </c>
      <c r="M55" s="22" t="s">
        <v>169</v>
      </c>
      <c r="N55" s="12"/>
      <c r="O55" s="12"/>
      <c r="P55" s="12"/>
      <c r="Q55" s="12"/>
      <c r="R55" s="12"/>
      <c r="S55" s="12"/>
    </row>
    <row r="56" ht="12.75" customHeight="1">
      <c r="A56" s="18" t="s">
        <v>162</v>
      </c>
      <c r="B56" s="19" t="s">
        <v>182</v>
      </c>
      <c r="C56" s="13">
        <f t="shared" si="3"/>
        <v>16.5</v>
      </c>
      <c r="D56" s="16">
        <f t="shared" si="4"/>
        <v>167</v>
      </c>
      <c r="E56" s="16">
        <v>197.0</v>
      </c>
      <c r="F56" s="16">
        <v>12.0</v>
      </c>
      <c r="G56" s="16">
        <v>12.0</v>
      </c>
      <c r="H56" s="16">
        <v>1.0</v>
      </c>
      <c r="I56" s="16">
        <v>14.0</v>
      </c>
      <c r="J56" s="16">
        <v>36.0</v>
      </c>
      <c r="K56" s="16">
        <v>52.0</v>
      </c>
      <c r="L56" s="16">
        <v>40.0</v>
      </c>
      <c r="M56" s="22" t="s">
        <v>182</v>
      </c>
      <c r="N56" s="12"/>
      <c r="O56" s="12"/>
      <c r="P56" s="12"/>
      <c r="Q56" s="12"/>
      <c r="R56" s="12"/>
      <c r="S56" s="12"/>
    </row>
    <row r="57" ht="12.75" customHeight="1">
      <c r="A57" s="18" t="s">
        <v>244</v>
      </c>
      <c r="B57" s="19" t="s">
        <v>245</v>
      </c>
      <c r="C57" s="13">
        <f t="shared" si="3"/>
        <v>16.5</v>
      </c>
      <c r="D57" s="16">
        <f t="shared" si="4"/>
        <v>164</v>
      </c>
      <c r="E57" s="16">
        <v>197.0</v>
      </c>
      <c r="F57" s="16">
        <v>4.0</v>
      </c>
      <c r="G57" s="23">
        <v>0.0</v>
      </c>
      <c r="H57" s="16">
        <v>1.0</v>
      </c>
      <c r="I57" s="16">
        <v>14.0</v>
      </c>
      <c r="J57" s="16">
        <v>27.0</v>
      </c>
      <c r="K57" s="16">
        <v>78.0</v>
      </c>
      <c r="L57" s="16">
        <v>40.0</v>
      </c>
      <c r="M57" s="22" t="s">
        <v>245</v>
      </c>
      <c r="N57" s="12"/>
      <c r="O57" s="12"/>
      <c r="P57" s="12"/>
      <c r="Q57" s="12"/>
      <c r="R57" s="12"/>
      <c r="S57" s="12"/>
    </row>
    <row r="58" ht="12.75" customHeight="1">
      <c r="A58" s="18" t="s">
        <v>139</v>
      </c>
      <c r="B58" s="19" t="s">
        <v>251</v>
      </c>
      <c r="C58" s="13">
        <f t="shared" si="3"/>
        <v>16.5</v>
      </c>
      <c r="D58" s="16">
        <f t="shared" si="4"/>
        <v>167</v>
      </c>
      <c r="E58" s="16">
        <v>197.0</v>
      </c>
      <c r="F58" s="16">
        <v>16.0</v>
      </c>
      <c r="G58" s="16">
        <v>5.0</v>
      </c>
      <c r="H58" s="16">
        <v>1.0</v>
      </c>
      <c r="I58" s="16">
        <v>14.0</v>
      </c>
      <c r="J58" s="16">
        <v>26.0</v>
      </c>
      <c r="K58" s="16">
        <v>65.0</v>
      </c>
      <c r="L58" s="16">
        <v>40.0</v>
      </c>
      <c r="M58" s="22" t="s">
        <v>251</v>
      </c>
      <c r="N58" s="12"/>
      <c r="O58" s="12"/>
      <c r="P58" s="12"/>
      <c r="Q58" s="12"/>
      <c r="R58" s="12"/>
      <c r="S58" s="12"/>
    </row>
    <row r="59" ht="12.75" customHeight="1">
      <c r="A59" s="18" t="s">
        <v>158</v>
      </c>
      <c r="B59" s="19" t="s">
        <v>131</v>
      </c>
      <c r="C59" s="13">
        <f t="shared" si="3"/>
        <v>16.5</v>
      </c>
      <c r="D59" s="16">
        <f t="shared" si="4"/>
        <v>167</v>
      </c>
      <c r="E59" s="16">
        <v>197.0</v>
      </c>
      <c r="F59" s="16">
        <v>16.0</v>
      </c>
      <c r="G59" s="16">
        <v>5.0</v>
      </c>
      <c r="H59" s="16">
        <v>1.0</v>
      </c>
      <c r="I59" s="16">
        <v>14.0</v>
      </c>
      <c r="J59" s="16">
        <v>26.0</v>
      </c>
      <c r="K59" s="16">
        <v>65.0</v>
      </c>
      <c r="L59" s="16">
        <v>40.0</v>
      </c>
      <c r="M59" s="22" t="s">
        <v>131</v>
      </c>
      <c r="N59" s="12"/>
      <c r="O59" s="12"/>
      <c r="P59" s="12"/>
      <c r="Q59" s="12"/>
      <c r="R59" s="12"/>
      <c r="S59" s="12"/>
    </row>
    <row r="60" ht="12.75" customHeight="1">
      <c r="A60" s="18" t="s">
        <v>149</v>
      </c>
      <c r="B60" s="19" t="s">
        <v>142</v>
      </c>
      <c r="C60" s="13">
        <f t="shared" si="3"/>
        <v>16.5</v>
      </c>
      <c r="D60" s="16">
        <f t="shared" si="4"/>
        <v>163</v>
      </c>
      <c r="E60" s="16">
        <v>197.0</v>
      </c>
      <c r="F60" s="16">
        <v>15.0</v>
      </c>
      <c r="G60" s="16">
        <v>12.0</v>
      </c>
      <c r="H60" s="16">
        <v>1.0</v>
      </c>
      <c r="I60" s="16">
        <v>6.0</v>
      </c>
      <c r="J60" s="16">
        <v>26.0</v>
      </c>
      <c r="K60" s="16">
        <v>64.0</v>
      </c>
      <c r="L60" s="16">
        <v>39.0</v>
      </c>
      <c r="M60" s="22" t="s">
        <v>145</v>
      </c>
      <c r="N60" s="12"/>
      <c r="O60" s="12"/>
      <c r="P60" s="12"/>
      <c r="Q60" s="12"/>
      <c r="R60" s="12"/>
      <c r="S60" s="12"/>
    </row>
    <row r="61" ht="12.75" customHeight="1">
      <c r="A61" s="18" t="s">
        <v>130</v>
      </c>
      <c r="B61" s="19" t="s">
        <v>161</v>
      </c>
      <c r="C61" s="13">
        <f t="shared" si="3"/>
        <v>17</v>
      </c>
      <c r="D61" s="16">
        <f t="shared" si="4"/>
        <v>171</v>
      </c>
      <c r="E61" s="16">
        <v>197.0</v>
      </c>
      <c r="F61" s="16">
        <v>16.0</v>
      </c>
      <c r="G61" s="16">
        <v>12.0</v>
      </c>
      <c r="H61" s="16">
        <v>1.0</v>
      </c>
      <c r="I61" s="16">
        <v>14.0</v>
      </c>
      <c r="J61" s="16">
        <v>36.0</v>
      </c>
      <c r="K61" s="16">
        <v>52.0</v>
      </c>
      <c r="L61" s="16">
        <v>40.0</v>
      </c>
      <c r="M61" s="22" t="s">
        <v>161</v>
      </c>
      <c r="N61" s="12"/>
      <c r="O61" s="12"/>
      <c r="P61" s="12"/>
      <c r="Q61" s="12"/>
      <c r="R61" s="12"/>
      <c r="S61" s="12"/>
    </row>
    <row r="62" ht="12.75" customHeight="1">
      <c r="A62" s="18" t="s">
        <v>181</v>
      </c>
      <c r="B62" s="19" t="s">
        <v>227</v>
      </c>
      <c r="C62" s="13">
        <f t="shared" si="3"/>
        <v>17</v>
      </c>
      <c r="D62" s="16">
        <f t="shared" si="4"/>
        <v>170</v>
      </c>
      <c r="E62" s="16">
        <v>197.0</v>
      </c>
      <c r="F62" s="16">
        <v>8.0</v>
      </c>
      <c r="G62" s="16">
        <v>5.0</v>
      </c>
      <c r="H62" s="16">
        <v>1.0</v>
      </c>
      <c r="I62" s="16">
        <v>6.0</v>
      </c>
      <c r="J62" s="16">
        <v>36.0</v>
      </c>
      <c r="K62" s="16">
        <v>74.0</v>
      </c>
      <c r="L62" s="16">
        <v>40.0</v>
      </c>
      <c r="M62" s="22" t="s">
        <v>286</v>
      </c>
      <c r="N62" s="12"/>
      <c r="O62" s="12"/>
      <c r="P62" s="12"/>
      <c r="Q62" s="12"/>
      <c r="R62" s="12"/>
      <c r="S62" s="12"/>
    </row>
    <row r="63" ht="12.75" customHeight="1">
      <c r="A63" s="18" t="s">
        <v>135</v>
      </c>
      <c r="B63" s="19" t="s">
        <v>205</v>
      </c>
      <c r="C63" s="13">
        <f t="shared" si="3"/>
        <v>17</v>
      </c>
      <c r="D63" s="16">
        <f t="shared" si="4"/>
        <v>171</v>
      </c>
      <c r="E63" s="16">
        <v>197.0</v>
      </c>
      <c r="F63" s="16">
        <v>16.0</v>
      </c>
      <c r="G63" s="16">
        <v>12.0</v>
      </c>
      <c r="H63" s="16">
        <v>1.0</v>
      </c>
      <c r="I63" s="16">
        <v>14.0</v>
      </c>
      <c r="J63" s="16">
        <v>36.0</v>
      </c>
      <c r="K63" s="16">
        <v>52.0</v>
      </c>
      <c r="L63" s="16">
        <v>40.0</v>
      </c>
      <c r="M63" s="22" t="s">
        <v>205</v>
      </c>
      <c r="N63" s="12"/>
      <c r="O63" s="12"/>
      <c r="P63" s="12"/>
      <c r="Q63" s="12"/>
      <c r="R63" s="12"/>
      <c r="S63" s="12"/>
    </row>
    <row r="64" ht="12.75" customHeight="1">
      <c r="A64" s="18" t="s">
        <v>233</v>
      </c>
      <c r="B64" s="19" t="s">
        <v>213</v>
      </c>
      <c r="C64" s="13">
        <f t="shared" si="3"/>
        <v>17</v>
      </c>
      <c r="D64" s="16">
        <f t="shared" si="4"/>
        <v>171</v>
      </c>
      <c r="E64" s="16">
        <v>197.0</v>
      </c>
      <c r="F64" s="16">
        <v>16.0</v>
      </c>
      <c r="G64" s="16">
        <v>12.0</v>
      </c>
      <c r="H64" s="16">
        <v>1.0</v>
      </c>
      <c r="I64" s="16">
        <v>14.0</v>
      </c>
      <c r="J64" s="16">
        <v>36.0</v>
      </c>
      <c r="K64" s="16">
        <v>52.0</v>
      </c>
      <c r="L64" s="16">
        <v>40.0</v>
      </c>
      <c r="M64" s="22" t="s">
        <v>213</v>
      </c>
      <c r="N64" s="12"/>
      <c r="O64" s="12"/>
      <c r="P64" s="12"/>
      <c r="Q64" s="12"/>
      <c r="R64" s="12"/>
      <c r="S64" s="12"/>
    </row>
    <row r="65" ht="12.75" customHeight="1">
      <c r="A65" s="18" t="s">
        <v>113</v>
      </c>
      <c r="B65" s="19" t="s">
        <v>186</v>
      </c>
      <c r="C65" s="13">
        <f t="shared" si="3"/>
        <v>18</v>
      </c>
      <c r="D65" s="16">
        <f t="shared" si="4"/>
        <v>180</v>
      </c>
      <c r="E65" s="16">
        <v>197.0</v>
      </c>
      <c r="F65" s="16">
        <v>12.0</v>
      </c>
      <c r="G65" s="16">
        <v>12.0</v>
      </c>
      <c r="H65" s="16">
        <v>1.0</v>
      </c>
      <c r="I65" s="16">
        <v>14.0</v>
      </c>
      <c r="J65" s="16">
        <v>36.0</v>
      </c>
      <c r="K65" s="16">
        <v>65.0</v>
      </c>
      <c r="L65" s="16">
        <v>40.0</v>
      </c>
      <c r="M65" s="22" t="s">
        <v>187</v>
      </c>
      <c r="N65" s="12"/>
      <c r="O65" s="12"/>
      <c r="P65" s="12"/>
      <c r="Q65" s="12"/>
      <c r="R65" s="12"/>
      <c r="S65" s="12"/>
    </row>
    <row r="66" ht="12.75" customHeight="1">
      <c r="A66" s="18" t="s">
        <v>116</v>
      </c>
      <c r="B66" s="19" t="s">
        <v>225</v>
      </c>
      <c r="C66" s="13">
        <f t="shared" si="3"/>
        <v>18</v>
      </c>
      <c r="D66" s="16">
        <f t="shared" si="4"/>
        <v>181</v>
      </c>
      <c r="E66" s="16">
        <v>197.0</v>
      </c>
      <c r="F66" s="16">
        <v>16.0</v>
      </c>
      <c r="G66" s="16">
        <v>6.0</v>
      </c>
      <c r="H66" s="16">
        <v>1.0</v>
      </c>
      <c r="I66" s="16">
        <v>14.0</v>
      </c>
      <c r="J66" s="16">
        <v>36.0</v>
      </c>
      <c r="K66" s="16">
        <v>78.0</v>
      </c>
      <c r="L66" s="16">
        <v>30.0</v>
      </c>
      <c r="M66" s="22" t="s">
        <v>225</v>
      </c>
      <c r="N66" s="12"/>
      <c r="O66" s="12"/>
      <c r="P66" s="12"/>
      <c r="Q66" s="12"/>
      <c r="R66" s="12"/>
      <c r="S66" s="12"/>
    </row>
    <row r="67" ht="12.75" customHeight="1">
      <c r="A67" s="18" t="s">
        <v>212</v>
      </c>
      <c r="B67" s="19" t="s">
        <v>165</v>
      </c>
      <c r="C67" s="13">
        <f t="shared" si="3"/>
        <v>18</v>
      </c>
      <c r="D67" s="16">
        <f t="shared" si="4"/>
        <v>180</v>
      </c>
      <c r="E67" s="16">
        <v>197.0</v>
      </c>
      <c r="F67" s="16">
        <v>12.0</v>
      </c>
      <c r="G67" s="16">
        <v>12.0</v>
      </c>
      <c r="H67" s="16">
        <v>1.0</v>
      </c>
      <c r="I67" s="16">
        <v>14.0</v>
      </c>
      <c r="J67" s="16">
        <v>36.0</v>
      </c>
      <c r="K67" s="16">
        <v>65.0</v>
      </c>
      <c r="L67" s="16">
        <v>40.0</v>
      </c>
      <c r="M67" s="22" t="s">
        <v>165</v>
      </c>
      <c r="N67" s="12"/>
      <c r="O67" s="12"/>
      <c r="P67" s="12"/>
      <c r="Q67" s="12"/>
      <c r="R67" s="12"/>
      <c r="S67" s="12"/>
    </row>
    <row r="68" ht="12.75" customHeight="1">
      <c r="A68" s="18" t="s">
        <v>192</v>
      </c>
      <c r="B68" s="19" t="s">
        <v>224</v>
      </c>
      <c r="C68" s="13">
        <f t="shared" si="3"/>
        <v>18.5</v>
      </c>
      <c r="D68" s="16">
        <f t="shared" si="4"/>
        <v>184</v>
      </c>
      <c r="E68" s="16">
        <v>197.0</v>
      </c>
      <c r="F68" s="16">
        <v>16.0</v>
      </c>
      <c r="G68" s="16">
        <v>12.0</v>
      </c>
      <c r="H68" s="16">
        <v>1.0</v>
      </c>
      <c r="I68" s="16">
        <v>14.0</v>
      </c>
      <c r="J68" s="16">
        <v>36.0</v>
      </c>
      <c r="K68" s="16">
        <v>65.0</v>
      </c>
      <c r="L68" s="16">
        <v>40.0</v>
      </c>
      <c r="M68" s="22" t="s">
        <v>224</v>
      </c>
      <c r="N68" s="12"/>
      <c r="O68" s="12"/>
      <c r="P68" s="12"/>
      <c r="Q68" s="12"/>
      <c r="R68" s="12"/>
      <c r="S68" s="12"/>
    </row>
    <row r="69" ht="12.75" customHeight="1">
      <c r="A69" s="18" t="s">
        <v>160</v>
      </c>
      <c r="B69" s="19" t="s">
        <v>144</v>
      </c>
      <c r="C69" s="13">
        <f t="shared" si="3"/>
        <v>18.5</v>
      </c>
      <c r="D69" s="16">
        <f t="shared" si="4"/>
        <v>184</v>
      </c>
      <c r="E69" s="16">
        <v>197.0</v>
      </c>
      <c r="F69" s="16">
        <v>16.0</v>
      </c>
      <c r="G69" s="16">
        <v>12.0</v>
      </c>
      <c r="H69" s="16">
        <v>1.0</v>
      </c>
      <c r="I69" s="16">
        <v>14.0</v>
      </c>
      <c r="J69" s="16">
        <v>36.0</v>
      </c>
      <c r="K69" s="16">
        <v>65.0</v>
      </c>
      <c r="L69" s="16">
        <v>40.0</v>
      </c>
      <c r="M69" s="22" t="s">
        <v>261</v>
      </c>
      <c r="N69" s="12"/>
      <c r="O69" s="12"/>
      <c r="P69" s="12"/>
      <c r="Q69" s="12"/>
      <c r="R69" s="12"/>
      <c r="S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</sheetData>
  <mergeCells count="2">
    <mergeCell ref="D2:E2"/>
    <mergeCell ref="D3:E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5.14"/>
    <col customWidth="1" min="3" max="5" width="10.86"/>
    <col customWidth="1" min="6" max="12" width="4.86"/>
    <col customWidth="1" min="13" max="13" width="10.86"/>
    <col customWidth="1" min="14" max="19" width="8.71"/>
  </cols>
  <sheetData>
    <row r="1" ht="12.75" customHeight="1">
      <c r="A1" s="8" t="s">
        <v>93</v>
      </c>
      <c r="B1" s="9" t="s">
        <v>94</v>
      </c>
      <c r="C1" s="8" t="s">
        <v>95</v>
      </c>
      <c r="D1" s="8" t="s">
        <v>96</v>
      </c>
      <c r="E1" s="8" t="s">
        <v>97</v>
      </c>
      <c r="F1" s="10" t="s">
        <v>276</v>
      </c>
      <c r="G1" s="10" t="s">
        <v>277</v>
      </c>
      <c r="H1" s="10" t="s">
        <v>278</v>
      </c>
      <c r="I1" s="10" t="s">
        <v>279</v>
      </c>
      <c r="J1" s="10" t="s">
        <v>101</v>
      </c>
      <c r="K1" s="10" t="s">
        <v>104</v>
      </c>
      <c r="L1" s="10" t="s">
        <v>280</v>
      </c>
      <c r="M1" s="11" t="s">
        <v>107</v>
      </c>
      <c r="N1" s="12"/>
      <c r="O1" s="12"/>
      <c r="P1" s="12"/>
      <c r="Q1" s="12"/>
      <c r="R1" s="12"/>
      <c r="S1" s="12"/>
    </row>
    <row r="2" ht="12.75" customHeight="1">
      <c r="A2" s="12"/>
      <c r="B2" s="12"/>
      <c r="C2" s="13">
        <v>20.0</v>
      </c>
      <c r="D2" s="14" t="s">
        <v>97</v>
      </c>
      <c r="E2" s="15"/>
      <c r="F2" s="16">
        <v>18.0</v>
      </c>
      <c r="G2" s="16">
        <v>18.0</v>
      </c>
      <c r="H2" s="16">
        <v>1.0</v>
      </c>
      <c r="I2" s="16">
        <v>14.0</v>
      </c>
      <c r="J2" s="16">
        <v>36.0</v>
      </c>
      <c r="K2" s="16">
        <v>72.0</v>
      </c>
      <c r="L2" s="16">
        <v>52.0</v>
      </c>
      <c r="M2" s="12"/>
      <c r="N2" s="12"/>
      <c r="O2" s="12"/>
      <c r="P2" s="12"/>
      <c r="Q2" s="12"/>
      <c r="R2" s="12"/>
      <c r="S2" s="12"/>
    </row>
    <row r="3" ht="12.75" customHeight="1">
      <c r="A3" s="12"/>
      <c r="B3" s="12"/>
      <c r="C3" s="13">
        <f>AVERAGE(C18:C69)</f>
        <v>15.625</v>
      </c>
      <c r="D3" s="14" t="s">
        <v>108</v>
      </c>
      <c r="E3" s="15"/>
      <c r="F3" s="17">
        <f t="shared" ref="F3:L3" si="1">AVERAGE(F18:F69)/F2</f>
        <v>0.6698717949</v>
      </c>
      <c r="G3" s="17">
        <f t="shared" si="1"/>
        <v>0.5790598291</v>
      </c>
      <c r="H3" s="17">
        <f t="shared" si="1"/>
        <v>0.9038461538</v>
      </c>
      <c r="I3" s="17">
        <f t="shared" si="1"/>
        <v>0.657967033</v>
      </c>
      <c r="J3" s="17">
        <f t="shared" si="1"/>
        <v>0.8028846154</v>
      </c>
      <c r="K3" s="17">
        <f t="shared" si="1"/>
        <v>0.858974359</v>
      </c>
      <c r="L3" s="17">
        <f t="shared" si="1"/>
        <v>0.8513313609</v>
      </c>
      <c r="M3" s="12"/>
      <c r="N3" s="12"/>
      <c r="O3" s="12"/>
      <c r="P3" s="12"/>
      <c r="Q3" s="12"/>
      <c r="R3" s="12"/>
      <c r="S3" s="12"/>
    </row>
    <row r="4" ht="12.75" customHeight="1">
      <c r="A4" s="18"/>
      <c r="B4" s="19" t="s">
        <v>161</v>
      </c>
      <c r="C4" s="20" t="s">
        <v>110</v>
      </c>
      <c r="D4" s="21">
        <f t="shared" ref="D4:D17" si="2">SUM(A4)</f>
        <v>0</v>
      </c>
      <c r="E4" s="21"/>
      <c r="F4" s="21"/>
      <c r="G4" s="21"/>
      <c r="H4" s="21"/>
      <c r="I4" s="21"/>
      <c r="J4" s="21"/>
      <c r="K4" s="21"/>
      <c r="L4" s="21"/>
      <c r="M4" s="22"/>
      <c r="N4" s="12"/>
      <c r="O4" s="12"/>
      <c r="P4" s="12"/>
      <c r="Q4" s="12"/>
      <c r="R4" s="12"/>
      <c r="S4" s="12"/>
    </row>
    <row r="5" ht="12.75" customHeight="1">
      <c r="A5" s="18"/>
      <c r="B5" s="19" t="s">
        <v>171</v>
      </c>
      <c r="C5" s="20" t="s">
        <v>110</v>
      </c>
      <c r="D5" s="21">
        <f t="shared" si="2"/>
        <v>0</v>
      </c>
      <c r="E5" s="21"/>
      <c r="F5" s="21"/>
      <c r="G5" s="21"/>
      <c r="H5" s="21"/>
      <c r="I5" s="21"/>
      <c r="J5" s="21"/>
      <c r="K5" s="21"/>
      <c r="L5" s="21"/>
      <c r="M5" s="22"/>
      <c r="N5" s="12"/>
      <c r="O5" s="12"/>
      <c r="P5" s="12"/>
      <c r="Q5" s="12"/>
      <c r="R5" s="12"/>
      <c r="S5" s="12"/>
    </row>
    <row r="6" ht="12.75" customHeight="1">
      <c r="A6" s="18"/>
      <c r="B6" s="19" t="s">
        <v>205</v>
      </c>
      <c r="C6" s="20" t="s">
        <v>110</v>
      </c>
      <c r="D6" s="21">
        <f t="shared" si="2"/>
        <v>0</v>
      </c>
      <c r="E6" s="21"/>
      <c r="F6" s="21"/>
      <c r="G6" s="21"/>
      <c r="H6" s="21"/>
      <c r="I6" s="21"/>
      <c r="J6" s="21"/>
      <c r="K6" s="21"/>
      <c r="L6" s="21"/>
      <c r="M6" s="22"/>
      <c r="N6" s="12"/>
      <c r="O6" s="12"/>
      <c r="P6" s="12"/>
      <c r="Q6" s="12"/>
      <c r="R6" s="12"/>
      <c r="S6" s="12"/>
    </row>
    <row r="7" ht="12.75" customHeight="1">
      <c r="A7" s="18"/>
      <c r="B7" s="19" t="s">
        <v>163</v>
      </c>
      <c r="C7" s="20" t="s">
        <v>110</v>
      </c>
      <c r="D7" s="21">
        <f t="shared" si="2"/>
        <v>0</v>
      </c>
      <c r="E7" s="21"/>
      <c r="F7" s="21"/>
      <c r="G7" s="21"/>
      <c r="H7" s="21"/>
      <c r="I7" s="21"/>
      <c r="J7" s="21"/>
      <c r="K7" s="21"/>
      <c r="L7" s="21"/>
      <c r="M7" s="22"/>
      <c r="N7" s="12"/>
      <c r="O7" s="12"/>
      <c r="P7" s="12"/>
      <c r="Q7" s="12"/>
      <c r="R7" s="12"/>
      <c r="S7" s="12"/>
    </row>
    <row r="8" ht="12.75" customHeight="1">
      <c r="A8" s="18"/>
      <c r="B8" s="19" t="s">
        <v>213</v>
      </c>
      <c r="C8" s="20" t="s">
        <v>110</v>
      </c>
      <c r="D8" s="21">
        <f t="shared" si="2"/>
        <v>0</v>
      </c>
      <c r="E8" s="21"/>
      <c r="F8" s="21"/>
      <c r="G8" s="21"/>
      <c r="H8" s="21"/>
      <c r="I8" s="21"/>
      <c r="J8" s="21"/>
      <c r="K8" s="21"/>
      <c r="L8" s="21"/>
      <c r="M8" s="22"/>
      <c r="N8" s="12"/>
      <c r="O8" s="12"/>
      <c r="P8" s="12"/>
      <c r="Q8" s="12"/>
      <c r="R8" s="12"/>
      <c r="S8" s="12"/>
    </row>
    <row r="9" ht="12.75" customHeight="1">
      <c r="A9" s="18"/>
      <c r="B9" s="19" t="s">
        <v>109</v>
      </c>
      <c r="C9" s="20" t="s">
        <v>110</v>
      </c>
      <c r="D9" s="21">
        <f t="shared" si="2"/>
        <v>0</v>
      </c>
      <c r="E9" s="21"/>
      <c r="F9" s="21"/>
      <c r="G9" s="21"/>
      <c r="H9" s="21"/>
      <c r="I9" s="21"/>
      <c r="J9" s="21"/>
      <c r="K9" s="21"/>
      <c r="L9" s="21"/>
      <c r="M9" s="22"/>
      <c r="N9" s="12"/>
      <c r="O9" s="12"/>
      <c r="P9" s="12"/>
      <c r="Q9" s="12"/>
      <c r="R9" s="12"/>
      <c r="S9" s="12"/>
    </row>
    <row r="10" ht="12.75" customHeight="1">
      <c r="A10" s="18"/>
      <c r="B10" s="19" t="s">
        <v>186</v>
      </c>
      <c r="C10" s="20" t="s">
        <v>110</v>
      </c>
      <c r="D10" s="21">
        <f t="shared" si="2"/>
        <v>0</v>
      </c>
      <c r="E10" s="21"/>
      <c r="F10" s="21"/>
      <c r="G10" s="21"/>
      <c r="H10" s="21"/>
      <c r="I10" s="21"/>
      <c r="J10" s="21"/>
      <c r="K10" s="21"/>
      <c r="L10" s="21"/>
      <c r="M10" s="22"/>
      <c r="N10" s="12"/>
      <c r="O10" s="12"/>
      <c r="P10" s="12"/>
      <c r="Q10" s="12"/>
      <c r="R10" s="12"/>
      <c r="S10" s="12"/>
    </row>
    <row r="11" ht="12.75" customHeight="1">
      <c r="A11" s="18"/>
      <c r="B11" s="19" t="s">
        <v>225</v>
      </c>
      <c r="C11" s="20" t="s">
        <v>110</v>
      </c>
      <c r="D11" s="21">
        <f t="shared" si="2"/>
        <v>0</v>
      </c>
      <c r="E11" s="21"/>
      <c r="F11" s="21"/>
      <c r="G11" s="21"/>
      <c r="H11" s="21"/>
      <c r="I11" s="21"/>
      <c r="J11" s="21"/>
      <c r="K11" s="21"/>
      <c r="L11" s="21"/>
      <c r="M11" s="22"/>
      <c r="N11" s="12"/>
      <c r="O11" s="12"/>
      <c r="P11" s="12"/>
      <c r="Q11" s="12"/>
      <c r="R11" s="12"/>
      <c r="S11" s="12"/>
    </row>
    <row r="12" ht="12.75" customHeight="1">
      <c r="A12" s="18"/>
      <c r="B12" s="19" t="s">
        <v>111</v>
      </c>
      <c r="C12" s="20" t="s">
        <v>110</v>
      </c>
      <c r="D12" s="21">
        <f t="shared" si="2"/>
        <v>0</v>
      </c>
      <c r="E12" s="21"/>
      <c r="F12" s="21"/>
      <c r="G12" s="21"/>
      <c r="H12" s="21"/>
      <c r="I12" s="21"/>
      <c r="J12" s="21"/>
      <c r="K12" s="21"/>
      <c r="L12" s="21"/>
      <c r="M12" s="22"/>
      <c r="N12" s="12"/>
      <c r="O12" s="12"/>
      <c r="P12" s="12"/>
      <c r="Q12" s="12"/>
      <c r="R12" s="12"/>
      <c r="S12" s="12"/>
    </row>
    <row r="13" ht="12.75" customHeight="1">
      <c r="A13" s="18"/>
      <c r="B13" s="19" t="s">
        <v>234</v>
      </c>
      <c r="C13" s="20" t="s">
        <v>110</v>
      </c>
      <c r="D13" s="21">
        <f t="shared" si="2"/>
        <v>0</v>
      </c>
      <c r="E13" s="21"/>
      <c r="F13" s="21"/>
      <c r="G13" s="21"/>
      <c r="H13" s="21"/>
      <c r="I13" s="21"/>
      <c r="J13" s="21"/>
      <c r="K13" s="21"/>
      <c r="L13" s="21"/>
      <c r="M13" s="22"/>
      <c r="N13" s="12"/>
      <c r="O13" s="12"/>
      <c r="P13" s="12"/>
      <c r="Q13" s="12"/>
      <c r="R13" s="12"/>
      <c r="S13" s="12"/>
    </row>
    <row r="14" ht="12.75" customHeight="1">
      <c r="A14" s="18"/>
      <c r="B14" s="19" t="s">
        <v>195</v>
      </c>
      <c r="C14" s="20" t="s">
        <v>110</v>
      </c>
      <c r="D14" s="21">
        <f t="shared" si="2"/>
        <v>0</v>
      </c>
      <c r="E14" s="21"/>
      <c r="F14" s="21"/>
      <c r="G14" s="21"/>
      <c r="H14" s="21"/>
      <c r="I14" s="21"/>
      <c r="J14" s="21"/>
      <c r="K14" s="21"/>
      <c r="L14" s="21"/>
      <c r="M14" s="22"/>
      <c r="N14" s="12"/>
      <c r="O14" s="12"/>
      <c r="P14" s="12"/>
      <c r="Q14" s="12"/>
      <c r="R14" s="12"/>
      <c r="S14" s="12"/>
    </row>
    <row r="15" ht="12.75" customHeight="1">
      <c r="A15" s="18"/>
      <c r="B15" s="19" t="s">
        <v>178</v>
      </c>
      <c r="C15" s="20" t="s">
        <v>110</v>
      </c>
      <c r="D15" s="21">
        <f t="shared" si="2"/>
        <v>0</v>
      </c>
      <c r="E15" s="21"/>
      <c r="F15" s="21"/>
      <c r="G15" s="21"/>
      <c r="H15" s="21"/>
      <c r="I15" s="21"/>
      <c r="J15" s="21"/>
      <c r="K15" s="21"/>
      <c r="L15" s="21"/>
      <c r="M15" s="22"/>
      <c r="N15" s="12"/>
      <c r="O15" s="12"/>
      <c r="P15" s="12"/>
      <c r="Q15" s="12"/>
      <c r="R15" s="12"/>
      <c r="S15" s="12"/>
    </row>
    <row r="16" ht="12.75" customHeight="1">
      <c r="A16" s="18"/>
      <c r="B16" s="19" t="s">
        <v>167</v>
      </c>
      <c r="C16" s="20" t="s">
        <v>110</v>
      </c>
      <c r="D16" s="21">
        <f t="shared" si="2"/>
        <v>0</v>
      </c>
      <c r="E16" s="21"/>
      <c r="F16" s="21"/>
      <c r="G16" s="21"/>
      <c r="H16" s="21"/>
      <c r="I16" s="21"/>
      <c r="J16" s="21"/>
      <c r="K16" s="21"/>
      <c r="L16" s="21"/>
      <c r="M16" s="22"/>
      <c r="N16" s="12"/>
      <c r="O16" s="12"/>
      <c r="P16" s="12"/>
      <c r="Q16" s="12"/>
      <c r="R16" s="12"/>
      <c r="S16" s="12"/>
    </row>
    <row r="17" ht="12.75" customHeight="1">
      <c r="A17" s="18"/>
      <c r="B17" s="19" t="s">
        <v>112</v>
      </c>
      <c r="C17" s="20" t="s">
        <v>110</v>
      </c>
      <c r="D17" s="21">
        <f t="shared" si="2"/>
        <v>0</v>
      </c>
      <c r="E17" s="21"/>
      <c r="F17" s="21"/>
      <c r="G17" s="21"/>
      <c r="H17" s="21"/>
      <c r="I17" s="21"/>
      <c r="J17" s="21"/>
      <c r="K17" s="21"/>
      <c r="L17" s="21"/>
      <c r="M17" s="22"/>
      <c r="N17" s="12"/>
      <c r="O17" s="12"/>
      <c r="P17" s="12"/>
      <c r="Q17" s="12"/>
      <c r="R17" s="12"/>
      <c r="S17" s="12"/>
    </row>
    <row r="18" ht="12.75" customHeight="1">
      <c r="A18" s="18" t="s">
        <v>135</v>
      </c>
      <c r="B18" s="19" t="s">
        <v>128</v>
      </c>
      <c r="C18" s="13">
        <f t="shared" ref="C18:C69" si="3">IF($C$2&gt;0,MIN($C$2,ROUNDDOWN(D18/E18*$C$2/0.5,0)*0.5),ROUNDDOWN(D18/0.5,0)*0.5)</f>
        <v>7</v>
      </c>
      <c r="D18" s="16">
        <f t="shared" ref="D18:D69" si="4">SUM(F18:L18)</f>
        <v>79</v>
      </c>
      <c r="E18" s="16">
        <v>211.0</v>
      </c>
      <c r="F18" s="23">
        <v>0.0</v>
      </c>
      <c r="G18" s="16">
        <v>4.0</v>
      </c>
      <c r="H18" s="16">
        <v>0.0</v>
      </c>
      <c r="I18" s="16">
        <v>0.0</v>
      </c>
      <c r="J18" s="16">
        <v>16.0</v>
      </c>
      <c r="K18" s="16">
        <v>59.0</v>
      </c>
      <c r="L18" s="16">
        <v>0.0</v>
      </c>
      <c r="M18" s="22" t="s">
        <v>235</v>
      </c>
      <c r="N18" s="12"/>
      <c r="O18" s="12"/>
      <c r="P18" s="12"/>
      <c r="Q18" s="12"/>
      <c r="R18" s="12"/>
      <c r="S18" s="12"/>
    </row>
    <row r="19" ht="12.75" customHeight="1">
      <c r="A19" s="18" t="s">
        <v>236</v>
      </c>
      <c r="B19" s="19" t="s">
        <v>176</v>
      </c>
      <c r="C19" s="13">
        <f t="shared" si="3"/>
        <v>8</v>
      </c>
      <c r="D19" s="16">
        <f t="shared" si="4"/>
        <v>88</v>
      </c>
      <c r="E19" s="16">
        <v>211.0</v>
      </c>
      <c r="F19" s="16">
        <v>12.0</v>
      </c>
      <c r="G19" s="16">
        <v>5.0</v>
      </c>
      <c r="H19" s="16">
        <v>1.0</v>
      </c>
      <c r="I19" s="16">
        <v>3.0</v>
      </c>
      <c r="J19" s="16">
        <v>7.0</v>
      </c>
      <c r="K19" s="16">
        <v>60.0</v>
      </c>
      <c r="L19" s="16">
        <v>0.0</v>
      </c>
      <c r="M19" s="22" t="s">
        <v>176</v>
      </c>
      <c r="N19" s="12"/>
      <c r="O19" s="12"/>
      <c r="P19" s="12"/>
      <c r="Q19" s="12"/>
      <c r="R19" s="12"/>
      <c r="S19" s="12"/>
    </row>
    <row r="20" ht="12.75" customHeight="1">
      <c r="A20" s="18" t="s">
        <v>202</v>
      </c>
      <c r="B20" s="19" t="s">
        <v>133</v>
      </c>
      <c r="C20" s="13">
        <f t="shared" si="3"/>
        <v>9</v>
      </c>
      <c r="D20" s="16">
        <f t="shared" si="4"/>
        <v>99</v>
      </c>
      <c r="E20" s="16">
        <v>211.0</v>
      </c>
      <c r="F20" s="16">
        <v>0.0</v>
      </c>
      <c r="G20" s="16">
        <v>12.0</v>
      </c>
      <c r="H20" s="16">
        <v>1.0</v>
      </c>
      <c r="I20" s="16">
        <v>0.0</v>
      </c>
      <c r="J20" s="23">
        <v>0.0</v>
      </c>
      <c r="K20" s="16">
        <v>34.0</v>
      </c>
      <c r="L20" s="16">
        <v>52.0</v>
      </c>
      <c r="M20" s="22" t="s">
        <v>284</v>
      </c>
      <c r="N20" s="12"/>
      <c r="O20" s="12"/>
      <c r="P20" s="12"/>
      <c r="Q20" s="12"/>
      <c r="R20" s="12"/>
      <c r="S20" s="12"/>
    </row>
    <row r="21" ht="12.75" customHeight="1">
      <c r="A21" s="18" t="s">
        <v>179</v>
      </c>
      <c r="B21" s="19" t="s">
        <v>150</v>
      </c>
      <c r="C21" s="13">
        <f t="shared" si="3"/>
        <v>9</v>
      </c>
      <c r="D21" s="16">
        <f t="shared" si="4"/>
        <v>95</v>
      </c>
      <c r="E21" s="16">
        <v>211.0</v>
      </c>
      <c r="F21" s="16">
        <v>12.0</v>
      </c>
      <c r="G21" s="16">
        <v>6.0</v>
      </c>
      <c r="H21" s="16">
        <v>1.0</v>
      </c>
      <c r="I21" s="16">
        <v>0.0</v>
      </c>
      <c r="J21" s="16">
        <v>16.0</v>
      </c>
      <c r="K21" s="16">
        <v>60.0</v>
      </c>
      <c r="L21" s="16">
        <v>0.0</v>
      </c>
      <c r="M21" s="22" t="s">
        <v>150</v>
      </c>
      <c r="N21" s="12"/>
      <c r="O21" s="12"/>
      <c r="P21" s="12"/>
      <c r="Q21" s="12"/>
      <c r="R21" s="12"/>
      <c r="S21" s="12"/>
    </row>
    <row r="22" ht="12.75" customHeight="1">
      <c r="A22" s="18" t="s">
        <v>175</v>
      </c>
      <c r="B22" s="19" t="s">
        <v>173</v>
      </c>
      <c r="C22" s="13">
        <f t="shared" si="3"/>
        <v>11</v>
      </c>
      <c r="D22" s="16">
        <f t="shared" si="4"/>
        <v>120</v>
      </c>
      <c r="E22" s="16">
        <v>211.0</v>
      </c>
      <c r="F22" s="16">
        <v>6.0</v>
      </c>
      <c r="G22" s="16">
        <v>6.0</v>
      </c>
      <c r="H22" s="16">
        <v>0.0</v>
      </c>
      <c r="I22" s="16">
        <v>0.0</v>
      </c>
      <c r="J22" s="16">
        <v>26.0</v>
      </c>
      <c r="K22" s="16">
        <v>70.0</v>
      </c>
      <c r="L22" s="16">
        <v>12.0</v>
      </c>
      <c r="M22" s="22" t="s">
        <v>285</v>
      </c>
      <c r="N22" s="12"/>
      <c r="O22" s="12"/>
      <c r="P22" s="12"/>
      <c r="Q22" s="12"/>
      <c r="R22" s="12"/>
      <c r="S22" s="12"/>
    </row>
    <row r="23" ht="12.75" customHeight="1">
      <c r="A23" s="18" t="s">
        <v>253</v>
      </c>
      <c r="B23" s="19" t="s">
        <v>140</v>
      </c>
      <c r="C23" s="13">
        <f t="shared" si="3"/>
        <v>11.5</v>
      </c>
      <c r="D23" s="16">
        <f t="shared" si="4"/>
        <v>125</v>
      </c>
      <c r="E23" s="16">
        <v>211.0</v>
      </c>
      <c r="F23" s="16">
        <v>5.0</v>
      </c>
      <c r="G23" s="16">
        <v>4.0</v>
      </c>
      <c r="H23" s="16">
        <v>0.0</v>
      </c>
      <c r="I23" s="16">
        <v>6.0</v>
      </c>
      <c r="J23" s="16">
        <v>26.0</v>
      </c>
      <c r="K23" s="16">
        <v>60.0</v>
      </c>
      <c r="L23" s="16">
        <v>24.0</v>
      </c>
      <c r="M23" s="22" t="s">
        <v>140</v>
      </c>
      <c r="N23" s="12"/>
      <c r="O23" s="12"/>
      <c r="P23" s="12"/>
      <c r="Q23" s="12"/>
      <c r="R23" s="12"/>
      <c r="S23" s="12"/>
    </row>
    <row r="24" ht="12.75" customHeight="1">
      <c r="A24" s="18" t="s">
        <v>220</v>
      </c>
      <c r="B24" s="19" t="s">
        <v>245</v>
      </c>
      <c r="C24" s="13">
        <f t="shared" si="3"/>
        <v>12.5</v>
      </c>
      <c r="D24" s="16">
        <f t="shared" si="4"/>
        <v>135</v>
      </c>
      <c r="E24" s="16">
        <v>211.0</v>
      </c>
      <c r="F24" s="23">
        <v>0.0</v>
      </c>
      <c r="G24" s="16">
        <v>6.0</v>
      </c>
      <c r="H24" s="16">
        <v>0.0</v>
      </c>
      <c r="I24" s="16">
        <v>7.0</v>
      </c>
      <c r="J24" s="16">
        <v>36.0</v>
      </c>
      <c r="K24" s="16">
        <v>60.0</v>
      </c>
      <c r="L24" s="16">
        <v>26.0</v>
      </c>
      <c r="M24" s="22" t="s">
        <v>245</v>
      </c>
      <c r="N24" s="12"/>
      <c r="O24" s="12"/>
      <c r="P24" s="12"/>
      <c r="Q24" s="12"/>
      <c r="R24" s="12"/>
      <c r="S24" s="12"/>
    </row>
    <row r="25" ht="12.75" customHeight="1">
      <c r="A25" s="18" t="s">
        <v>139</v>
      </c>
      <c r="B25" s="19" t="s">
        <v>154</v>
      </c>
      <c r="C25" s="13">
        <f t="shared" si="3"/>
        <v>12.5</v>
      </c>
      <c r="D25" s="16">
        <f t="shared" si="4"/>
        <v>136</v>
      </c>
      <c r="E25" s="16">
        <v>211.0</v>
      </c>
      <c r="F25" s="16">
        <v>12.0</v>
      </c>
      <c r="G25" s="16">
        <v>11.0</v>
      </c>
      <c r="H25" s="16">
        <v>1.0</v>
      </c>
      <c r="I25" s="16">
        <v>6.0</v>
      </c>
      <c r="J25" s="16">
        <v>6.0</v>
      </c>
      <c r="K25" s="16">
        <v>48.0</v>
      </c>
      <c r="L25" s="16">
        <v>52.0</v>
      </c>
      <c r="M25" s="22" t="s">
        <v>258</v>
      </c>
      <c r="N25" s="12"/>
      <c r="O25" s="12"/>
      <c r="P25" s="12"/>
      <c r="Q25" s="12"/>
      <c r="R25" s="12"/>
      <c r="S25" s="12"/>
    </row>
    <row r="26" ht="12.75" customHeight="1">
      <c r="A26" s="18" t="s">
        <v>181</v>
      </c>
      <c r="B26" s="19" t="s">
        <v>180</v>
      </c>
      <c r="C26" s="13">
        <f t="shared" si="3"/>
        <v>12.5</v>
      </c>
      <c r="D26" s="16">
        <f t="shared" si="4"/>
        <v>133</v>
      </c>
      <c r="E26" s="16">
        <v>211.0</v>
      </c>
      <c r="F26" s="16">
        <v>17.0</v>
      </c>
      <c r="G26" s="16">
        <v>6.0</v>
      </c>
      <c r="H26" s="16">
        <v>1.0</v>
      </c>
      <c r="I26" s="16">
        <v>6.0</v>
      </c>
      <c r="J26" s="16">
        <v>7.0</v>
      </c>
      <c r="K26" s="16">
        <v>72.0</v>
      </c>
      <c r="L26" s="16">
        <v>24.0</v>
      </c>
      <c r="M26" s="22" t="s">
        <v>180</v>
      </c>
      <c r="N26" s="12"/>
      <c r="O26" s="12"/>
      <c r="P26" s="12"/>
      <c r="Q26" s="12"/>
      <c r="R26" s="12"/>
      <c r="S26" s="12"/>
    </row>
    <row r="27" ht="12.75" customHeight="1">
      <c r="A27" s="18" t="s">
        <v>233</v>
      </c>
      <c r="B27" s="19" t="s">
        <v>152</v>
      </c>
      <c r="C27" s="13">
        <f t="shared" si="3"/>
        <v>13</v>
      </c>
      <c r="D27" s="16">
        <f t="shared" si="4"/>
        <v>141</v>
      </c>
      <c r="E27" s="16">
        <v>211.0</v>
      </c>
      <c r="F27" s="16">
        <v>11.0</v>
      </c>
      <c r="G27" s="16">
        <v>4.0</v>
      </c>
      <c r="H27" s="16">
        <v>1.0</v>
      </c>
      <c r="I27" s="16">
        <v>6.0</v>
      </c>
      <c r="J27" s="16">
        <v>7.0</v>
      </c>
      <c r="K27" s="16">
        <v>60.0</v>
      </c>
      <c r="L27" s="16">
        <v>52.0</v>
      </c>
      <c r="M27" s="22" t="s">
        <v>152</v>
      </c>
      <c r="N27" s="12"/>
      <c r="O27" s="12"/>
      <c r="P27" s="12"/>
      <c r="Q27" s="12"/>
      <c r="R27" s="12"/>
      <c r="S27" s="12"/>
    </row>
    <row r="28" ht="12.75" customHeight="1">
      <c r="A28" s="18" t="s">
        <v>244</v>
      </c>
      <c r="B28" s="19" t="s">
        <v>184</v>
      </c>
      <c r="C28" s="13">
        <f t="shared" si="3"/>
        <v>13</v>
      </c>
      <c r="D28" s="16">
        <f t="shared" si="4"/>
        <v>141</v>
      </c>
      <c r="E28" s="16">
        <v>211.0</v>
      </c>
      <c r="F28" s="16">
        <v>18.0</v>
      </c>
      <c r="G28" s="16">
        <v>12.0</v>
      </c>
      <c r="H28" s="16">
        <v>1.0</v>
      </c>
      <c r="I28" s="16">
        <v>14.0</v>
      </c>
      <c r="J28" s="16">
        <v>36.0</v>
      </c>
      <c r="K28" s="16">
        <v>60.0</v>
      </c>
      <c r="L28" s="16">
        <v>0.0</v>
      </c>
      <c r="M28" s="22" t="s">
        <v>184</v>
      </c>
      <c r="N28" s="12"/>
      <c r="O28" s="12"/>
      <c r="P28" s="12"/>
      <c r="Q28" s="12"/>
      <c r="R28" s="12"/>
      <c r="S28" s="12"/>
    </row>
    <row r="29" ht="12.75" customHeight="1">
      <c r="A29" s="18" t="s">
        <v>217</v>
      </c>
      <c r="B29" s="19" t="s">
        <v>199</v>
      </c>
      <c r="C29" s="13">
        <f t="shared" si="3"/>
        <v>14</v>
      </c>
      <c r="D29" s="16">
        <f t="shared" si="4"/>
        <v>149</v>
      </c>
      <c r="E29" s="16">
        <v>211.0</v>
      </c>
      <c r="F29" s="16">
        <v>6.0</v>
      </c>
      <c r="G29" s="16">
        <v>18.0</v>
      </c>
      <c r="H29" s="16">
        <v>1.0</v>
      </c>
      <c r="I29" s="16">
        <v>6.0</v>
      </c>
      <c r="J29" s="16">
        <v>18.0</v>
      </c>
      <c r="K29" s="16">
        <v>48.0</v>
      </c>
      <c r="L29" s="16">
        <v>52.0</v>
      </c>
      <c r="M29" s="22" t="s">
        <v>199</v>
      </c>
      <c r="N29" s="12"/>
      <c r="O29" s="12"/>
      <c r="P29" s="12"/>
      <c r="Q29" s="12"/>
      <c r="R29" s="12"/>
      <c r="S29" s="12"/>
    </row>
    <row r="30" ht="12.75" customHeight="1">
      <c r="A30" s="18" t="s">
        <v>177</v>
      </c>
      <c r="B30" s="19" t="s">
        <v>120</v>
      </c>
      <c r="C30" s="13">
        <f t="shared" si="3"/>
        <v>14</v>
      </c>
      <c r="D30" s="16">
        <f t="shared" si="4"/>
        <v>149</v>
      </c>
      <c r="E30" s="16">
        <v>211.0</v>
      </c>
      <c r="F30" s="16">
        <v>12.0</v>
      </c>
      <c r="G30" s="16">
        <v>18.0</v>
      </c>
      <c r="H30" s="16">
        <v>1.0</v>
      </c>
      <c r="I30" s="16">
        <v>6.0</v>
      </c>
      <c r="J30" s="16">
        <v>26.0</v>
      </c>
      <c r="K30" s="16">
        <v>48.0</v>
      </c>
      <c r="L30" s="16">
        <v>38.0</v>
      </c>
      <c r="M30" s="22" t="s">
        <v>121</v>
      </c>
      <c r="N30" s="12"/>
      <c r="O30" s="12"/>
      <c r="P30" s="12"/>
      <c r="Q30" s="12"/>
      <c r="R30" s="12"/>
      <c r="S30" s="12"/>
    </row>
    <row r="31" ht="12.75" customHeight="1">
      <c r="A31" s="18" t="s">
        <v>226</v>
      </c>
      <c r="B31" s="19" t="s">
        <v>125</v>
      </c>
      <c r="C31" s="13">
        <f t="shared" si="3"/>
        <v>14</v>
      </c>
      <c r="D31" s="16">
        <f t="shared" si="4"/>
        <v>152</v>
      </c>
      <c r="E31" s="16">
        <v>211.0</v>
      </c>
      <c r="F31" s="16">
        <v>5.0</v>
      </c>
      <c r="G31" s="16">
        <v>11.0</v>
      </c>
      <c r="H31" s="16">
        <v>1.0</v>
      </c>
      <c r="I31" s="16">
        <v>14.0</v>
      </c>
      <c r="J31" s="16">
        <v>36.0</v>
      </c>
      <c r="K31" s="16">
        <v>33.0</v>
      </c>
      <c r="L31" s="16">
        <v>52.0</v>
      </c>
      <c r="M31" s="22" t="s">
        <v>125</v>
      </c>
      <c r="N31" s="12"/>
      <c r="O31" s="12"/>
      <c r="P31" s="12"/>
      <c r="Q31" s="12"/>
      <c r="R31" s="12"/>
      <c r="S31" s="12"/>
    </row>
    <row r="32" ht="12.75" customHeight="1">
      <c r="A32" s="18" t="s">
        <v>149</v>
      </c>
      <c r="B32" s="19" t="s">
        <v>215</v>
      </c>
      <c r="C32" s="13">
        <f t="shared" si="3"/>
        <v>14.5</v>
      </c>
      <c r="D32" s="16">
        <f t="shared" si="4"/>
        <v>155</v>
      </c>
      <c r="E32" s="16">
        <v>211.0</v>
      </c>
      <c r="F32" s="16">
        <v>6.0</v>
      </c>
      <c r="G32" s="16">
        <v>6.0</v>
      </c>
      <c r="H32" s="16">
        <v>1.0</v>
      </c>
      <c r="I32" s="16">
        <v>6.0</v>
      </c>
      <c r="J32" s="16">
        <v>26.0</v>
      </c>
      <c r="K32" s="16">
        <v>58.0</v>
      </c>
      <c r="L32" s="16">
        <v>52.0</v>
      </c>
      <c r="M32" s="22" t="s">
        <v>260</v>
      </c>
      <c r="N32" s="12"/>
      <c r="O32" s="12"/>
      <c r="P32" s="12"/>
      <c r="Q32" s="12"/>
      <c r="R32" s="12"/>
      <c r="S32" s="12"/>
    </row>
    <row r="33" ht="12.75" customHeight="1">
      <c r="A33" s="18" t="s">
        <v>185</v>
      </c>
      <c r="B33" s="19" t="s">
        <v>147</v>
      </c>
      <c r="C33" s="13">
        <f t="shared" si="3"/>
        <v>14.5</v>
      </c>
      <c r="D33" s="16">
        <f t="shared" si="4"/>
        <v>158</v>
      </c>
      <c r="E33" s="16">
        <v>211.0</v>
      </c>
      <c r="F33" s="16">
        <v>11.0</v>
      </c>
      <c r="G33" s="16">
        <v>12.0</v>
      </c>
      <c r="H33" s="16">
        <v>1.0</v>
      </c>
      <c r="I33" s="16">
        <v>14.0</v>
      </c>
      <c r="J33" s="16">
        <v>36.0</v>
      </c>
      <c r="K33" s="16">
        <v>60.0</v>
      </c>
      <c r="L33" s="16">
        <v>24.0</v>
      </c>
      <c r="M33" s="22" t="s">
        <v>147</v>
      </c>
      <c r="N33" s="12"/>
      <c r="O33" s="12"/>
      <c r="P33" s="12"/>
      <c r="Q33" s="12"/>
      <c r="R33" s="12"/>
      <c r="S33" s="12"/>
    </row>
    <row r="34" ht="12.75" customHeight="1">
      <c r="A34" s="18" t="s">
        <v>151</v>
      </c>
      <c r="B34" s="19" t="s">
        <v>221</v>
      </c>
      <c r="C34" s="13">
        <f t="shared" si="3"/>
        <v>15</v>
      </c>
      <c r="D34" s="16">
        <f t="shared" si="4"/>
        <v>159</v>
      </c>
      <c r="E34" s="16">
        <v>211.0</v>
      </c>
      <c r="F34" s="16">
        <v>2.0</v>
      </c>
      <c r="G34" s="16">
        <v>12.0</v>
      </c>
      <c r="H34" s="16">
        <v>1.0</v>
      </c>
      <c r="I34" s="16">
        <v>4.0</v>
      </c>
      <c r="J34" s="16">
        <v>16.0</v>
      </c>
      <c r="K34" s="16">
        <v>72.0</v>
      </c>
      <c r="L34" s="16">
        <v>52.0</v>
      </c>
      <c r="M34" s="22" t="s">
        <v>222</v>
      </c>
      <c r="N34" s="12"/>
      <c r="O34" s="12"/>
      <c r="P34" s="12"/>
      <c r="Q34" s="12"/>
      <c r="R34" s="12"/>
      <c r="S34" s="12"/>
    </row>
    <row r="35" ht="12.75" customHeight="1">
      <c r="A35" s="18" t="s">
        <v>192</v>
      </c>
      <c r="B35" s="19" t="s">
        <v>201</v>
      </c>
      <c r="C35" s="13">
        <f t="shared" si="3"/>
        <v>15.5</v>
      </c>
      <c r="D35" s="16">
        <f t="shared" si="4"/>
        <v>166</v>
      </c>
      <c r="E35" s="16">
        <v>211.0</v>
      </c>
      <c r="F35" s="16">
        <v>12.0</v>
      </c>
      <c r="G35" s="16">
        <v>5.0</v>
      </c>
      <c r="H35" s="16">
        <v>1.0</v>
      </c>
      <c r="I35" s="16">
        <v>0.0</v>
      </c>
      <c r="J35" s="16">
        <v>36.0</v>
      </c>
      <c r="K35" s="16">
        <v>60.0</v>
      </c>
      <c r="L35" s="16">
        <v>52.0</v>
      </c>
      <c r="M35" s="22" t="s">
        <v>201</v>
      </c>
      <c r="N35" s="12"/>
      <c r="O35" s="12"/>
      <c r="P35" s="12"/>
      <c r="Q35" s="12"/>
      <c r="R35" s="12"/>
      <c r="S35" s="12"/>
    </row>
    <row r="36" ht="12.75" customHeight="1">
      <c r="A36" s="18" t="s">
        <v>231</v>
      </c>
      <c r="B36" s="19" t="s">
        <v>117</v>
      </c>
      <c r="C36" s="13">
        <f t="shared" si="3"/>
        <v>15.5</v>
      </c>
      <c r="D36" s="16">
        <f t="shared" si="4"/>
        <v>164</v>
      </c>
      <c r="E36" s="16">
        <v>211.0</v>
      </c>
      <c r="F36" s="16">
        <v>12.0</v>
      </c>
      <c r="G36" s="16">
        <v>11.0</v>
      </c>
      <c r="H36" s="16">
        <v>1.0</v>
      </c>
      <c r="I36" s="16">
        <v>0.0</v>
      </c>
      <c r="J36" s="16">
        <v>16.0</v>
      </c>
      <c r="K36" s="16">
        <v>72.0</v>
      </c>
      <c r="L36" s="16">
        <v>52.0</v>
      </c>
      <c r="M36" s="22" t="s">
        <v>118</v>
      </c>
      <c r="N36" s="12"/>
      <c r="O36" s="12"/>
      <c r="P36" s="12"/>
      <c r="Q36" s="12"/>
      <c r="R36" s="12"/>
      <c r="S36" s="12"/>
    </row>
    <row r="37" ht="12.75" customHeight="1">
      <c r="A37" s="18" t="s">
        <v>238</v>
      </c>
      <c r="B37" s="19" t="s">
        <v>224</v>
      </c>
      <c r="C37" s="13">
        <f t="shared" si="3"/>
        <v>15.5</v>
      </c>
      <c r="D37" s="16">
        <f t="shared" si="4"/>
        <v>168</v>
      </c>
      <c r="E37" s="16">
        <v>211.0</v>
      </c>
      <c r="F37" s="16">
        <v>11.0</v>
      </c>
      <c r="G37" s="16">
        <v>6.0</v>
      </c>
      <c r="H37" s="16">
        <v>1.0</v>
      </c>
      <c r="I37" s="16">
        <v>14.0</v>
      </c>
      <c r="J37" s="16">
        <v>36.0</v>
      </c>
      <c r="K37" s="16">
        <v>48.0</v>
      </c>
      <c r="L37" s="16">
        <v>52.0</v>
      </c>
      <c r="M37" s="22" t="s">
        <v>224</v>
      </c>
      <c r="N37" s="12"/>
      <c r="O37" s="12"/>
      <c r="P37" s="12"/>
      <c r="Q37" s="12"/>
      <c r="R37" s="12"/>
      <c r="S37" s="12"/>
    </row>
    <row r="38" ht="12.75" customHeight="1">
      <c r="A38" s="18" t="s">
        <v>206</v>
      </c>
      <c r="B38" s="19" t="s">
        <v>227</v>
      </c>
      <c r="C38" s="13">
        <f t="shared" si="3"/>
        <v>15.5</v>
      </c>
      <c r="D38" s="16">
        <f t="shared" si="4"/>
        <v>166</v>
      </c>
      <c r="E38" s="16">
        <v>211.0</v>
      </c>
      <c r="F38" s="16">
        <v>18.0</v>
      </c>
      <c r="G38" s="16">
        <v>6.0</v>
      </c>
      <c r="H38" s="16">
        <v>1.0</v>
      </c>
      <c r="I38" s="16">
        <v>7.0</v>
      </c>
      <c r="J38" s="16">
        <v>36.0</v>
      </c>
      <c r="K38" s="16">
        <v>48.0</v>
      </c>
      <c r="L38" s="16">
        <v>50.0</v>
      </c>
      <c r="M38" s="22" t="s">
        <v>227</v>
      </c>
      <c r="N38" s="12"/>
      <c r="O38" s="12"/>
      <c r="P38" s="12"/>
      <c r="Q38" s="12"/>
      <c r="R38" s="12"/>
      <c r="S38" s="12"/>
    </row>
    <row r="39" ht="12.75" customHeight="1">
      <c r="A39" s="18" t="s">
        <v>160</v>
      </c>
      <c r="B39" s="19" t="s">
        <v>237</v>
      </c>
      <c r="C39" s="13">
        <f t="shared" si="3"/>
        <v>15.5</v>
      </c>
      <c r="D39" s="16">
        <f t="shared" si="4"/>
        <v>168</v>
      </c>
      <c r="E39" s="16">
        <v>211.0</v>
      </c>
      <c r="F39" s="16">
        <v>10.0</v>
      </c>
      <c r="G39" s="16">
        <v>11.0</v>
      </c>
      <c r="H39" s="16">
        <v>1.0</v>
      </c>
      <c r="I39" s="16">
        <v>14.0</v>
      </c>
      <c r="J39" s="16">
        <v>36.0</v>
      </c>
      <c r="K39" s="16">
        <v>44.0</v>
      </c>
      <c r="L39" s="16">
        <v>52.0</v>
      </c>
      <c r="M39" s="22" t="s">
        <v>237</v>
      </c>
      <c r="N39" s="12"/>
      <c r="O39" s="12"/>
      <c r="P39" s="12"/>
      <c r="Q39" s="12"/>
      <c r="R39" s="12"/>
      <c r="S39" s="12"/>
    </row>
    <row r="40" ht="12.75" customHeight="1">
      <c r="A40" s="18" t="s">
        <v>172</v>
      </c>
      <c r="B40" s="19" t="s">
        <v>239</v>
      </c>
      <c r="C40" s="13">
        <f t="shared" si="3"/>
        <v>15.5</v>
      </c>
      <c r="D40" s="16">
        <f t="shared" si="4"/>
        <v>164</v>
      </c>
      <c r="E40" s="16">
        <v>211.0</v>
      </c>
      <c r="F40" s="16">
        <v>12.0</v>
      </c>
      <c r="G40" s="16">
        <v>18.0</v>
      </c>
      <c r="H40" s="16">
        <v>1.0</v>
      </c>
      <c r="I40" s="16">
        <v>6.0</v>
      </c>
      <c r="J40" s="16">
        <v>16.0</v>
      </c>
      <c r="K40" s="16">
        <v>59.0</v>
      </c>
      <c r="L40" s="16">
        <v>52.0</v>
      </c>
      <c r="M40" s="22" t="s">
        <v>239</v>
      </c>
      <c r="N40" s="12"/>
      <c r="O40" s="12"/>
      <c r="P40" s="12"/>
      <c r="Q40" s="12"/>
      <c r="R40" s="12"/>
      <c r="S40" s="12"/>
    </row>
    <row r="41" ht="12.75" customHeight="1">
      <c r="A41" s="18" t="s">
        <v>127</v>
      </c>
      <c r="B41" s="19" t="s">
        <v>197</v>
      </c>
      <c r="C41" s="13">
        <f t="shared" si="3"/>
        <v>16</v>
      </c>
      <c r="D41" s="16">
        <f t="shared" si="4"/>
        <v>172</v>
      </c>
      <c r="E41" s="16">
        <v>211.0</v>
      </c>
      <c r="F41" s="16">
        <v>18.0</v>
      </c>
      <c r="G41" s="16">
        <v>5.0</v>
      </c>
      <c r="H41" s="16">
        <v>1.0</v>
      </c>
      <c r="I41" s="16">
        <v>6.0</v>
      </c>
      <c r="J41" s="16">
        <v>18.0</v>
      </c>
      <c r="K41" s="16">
        <v>72.0</v>
      </c>
      <c r="L41" s="16">
        <v>52.0</v>
      </c>
      <c r="M41" s="22" t="s">
        <v>197</v>
      </c>
      <c r="N41" s="12"/>
      <c r="O41" s="12"/>
      <c r="P41" s="12"/>
      <c r="Q41" s="12"/>
      <c r="R41" s="12"/>
      <c r="S41" s="12"/>
    </row>
    <row r="42" ht="12.75" customHeight="1">
      <c r="A42" s="18" t="s">
        <v>166</v>
      </c>
      <c r="B42" s="19" t="s">
        <v>191</v>
      </c>
      <c r="C42" s="13">
        <f t="shared" si="3"/>
        <v>16</v>
      </c>
      <c r="D42" s="16">
        <f t="shared" si="4"/>
        <v>169</v>
      </c>
      <c r="E42" s="16">
        <v>211.0</v>
      </c>
      <c r="F42" s="16">
        <v>12.0</v>
      </c>
      <c r="G42" s="16">
        <v>6.0</v>
      </c>
      <c r="H42" s="16">
        <v>1.0</v>
      </c>
      <c r="I42" s="16">
        <v>14.0</v>
      </c>
      <c r="J42" s="16">
        <v>36.0</v>
      </c>
      <c r="K42" s="16">
        <v>48.0</v>
      </c>
      <c r="L42" s="16">
        <v>52.0</v>
      </c>
      <c r="M42" s="22" t="s">
        <v>191</v>
      </c>
      <c r="N42" s="12"/>
      <c r="O42" s="12"/>
      <c r="P42" s="12"/>
      <c r="Q42" s="12"/>
      <c r="R42" s="12"/>
      <c r="S42" s="12"/>
    </row>
    <row r="43" ht="12.75" customHeight="1">
      <c r="A43" s="18" t="s">
        <v>257</v>
      </c>
      <c r="B43" s="19" t="s">
        <v>123</v>
      </c>
      <c r="C43" s="13">
        <f t="shared" si="3"/>
        <v>16</v>
      </c>
      <c r="D43" s="16">
        <f t="shared" si="4"/>
        <v>169</v>
      </c>
      <c r="E43" s="16">
        <v>211.0</v>
      </c>
      <c r="F43" s="16">
        <v>6.0</v>
      </c>
      <c r="G43" s="16">
        <v>0.0</v>
      </c>
      <c r="H43" s="16">
        <v>1.0</v>
      </c>
      <c r="I43" s="16">
        <v>14.0</v>
      </c>
      <c r="J43" s="16">
        <v>26.0</v>
      </c>
      <c r="K43" s="16">
        <v>70.0</v>
      </c>
      <c r="L43" s="16">
        <v>52.0</v>
      </c>
      <c r="M43" s="22" t="s">
        <v>123</v>
      </c>
      <c r="N43" s="12"/>
      <c r="O43" s="12"/>
      <c r="P43" s="12"/>
      <c r="Q43" s="12"/>
      <c r="R43" s="12"/>
      <c r="S43" s="12"/>
    </row>
    <row r="44" ht="12.75" customHeight="1">
      <c r="A44" s="18" t="s">
        <v>194</v>
      </c>
      <c r="B44" s="19" t="s">
        <v>207</v>
      </c>
      <c r="C44" s="13">
        <f t="shared" si="3"/>
        <v>16</v>
      </c>
      <c r="D44" s="16">
        <f t="shared" si="4"/>
        <v>171</v>
      </c>
      <c r="E44" s="16">
        <v>211.0</v>
      </c>
      <c r="F44" s="16">
        <v>12.0</v>
      </c>
      <c r="G44" s="16">
        <v>12.0</v>
      </c>
      <c r="H44" s="16">
        <v>1.0</v>
      </c>
      <c r="I44" s="16">
        <v>14.0</v>
      </c>
      <c r="J44" s="16">
        <v>36.0</v>
      </c>
      <c r="K44" s="16">
        <v>72.0</v>
      </c>
      <c r="L44" s="16">
        <v>24.0</v>
      </c>
      <c r="M44" s="22" t="s">
        <v>207</v>
      </c>
      <c r="N44" s="12"/>
      <c r="O44" s="12"/>
      <c r="P44" s="12"/>
      <c r="Q44" s="12"/>
      <c r="R44" s="12"/>
      <c r="S44" s="12"/>
    </row>
    <row r="45" ht="12.75" customHeight="1">
      <c r="A45" s="18" t="s">
        <v>198</v>
      </c>
      <c r="B45" s="19" t="s">
        <v>189</v>
      </c>
      <c r="C45" s="13">
        <f t="shared" si="3"/>
        <v>16</v>
      </c>
      <c r="D45" s="16">
        <f t="shared" si="4"/>
        <v>172</v>
      </c>
      <c r="E45" s="16">
        <v>211.0</v>
      </c>
      <c r="F45" s="16">
        <v>12.0</v>
      </c>
      <c r="G45" s="16">
        <v>11.0</v>
      </c>
      <c r="H45" s="16">
        <v>1.0</v>
      </c>
      <c r="I45" s="16">
        <v>0.0</v>
      </c>
      <c r="J45" s="16">
        <v>36.0</v>
      </c>
      <c r="K45" s="16">
        <v>60.0</v>
      </c>
      <c r="L45" s="16">
        <v>52.0</v>
      </c>
      <c r="M45" s="22" t="s">
        <v>189</v>
      </c>
      <c r="N45" s="12"/>
      <c r="O45" s="12"/>
      <c r="P45" s="12"/>
      <c r="Q45" s="12"/>
      <c r="R45" s="12"/>
      <c r="S45" s="12"/>
    </row>
    <row r="46" ht="12.75" customHeight="1">
      <c r="A46" s="18" t="s">
        <v>200</v>
      </c>
      <c r="B46" s="19" t="s">
        <v>193</v>
      </c>
      <c r="C46" s="13">
        <f t="shared" si="3"/>
        <v>16.5</v>
      </c>
      <c r="D46" s="16">
        <f t="shared" si="4"/>
        <v>177</v>
      </c>
      <c r="E46" s="16">
        <v>211.0</v>
      </c>
      <c r="F46" s="16">
        <v>5.0</v>
      </c>
      <c r="G46" s="16">
        <v>12.0</v>
      </c>
      <c r="H46" s="16">
        <v>0.0</v>
      </c>
      <c r="I46" s="16">
        <v>0.0</v>
      </c>
      <c r="J46" s="16">
        <v>36.0</v>
      </c>
      <c r="K46" s="16">
        <v>72.0</v>
      </c>
      <c r="L46" s="16">
        <v>52.0</v>
      </c>
      <c r="M46" s="22" t="s">
        <v>193</v>
      </c>
      <c r="N46" s="12"/>
      <c r="O46" s="12"/>
      <c r="P46" s="12"/>
      <c r="Q46" s="12"/>
      <c r="R46" s="12"/>
      <c r="S46" s="12"/>
    </row>
    <row r="47" ht="12.75" customHeight="1">
      <c r="A47" s="18" t="s">
        <v>116</v>
      </c>
      <c r="B47" s="19" t="s">
        <v>249</v>
      </c>
      <c r="C47" s="13">
        <f t="shared" si="3"/>
        <v>16.5</v>
      </c>
      <c r="D47" s="16">
        <f t="shared" si="4"/>
        <v>176</v>
      </c>
      <c r="E47" s="16">
        <v>211.0</v>
      </c>
      <c r="F47" s="16">
        <v>18.0</v>
      </c>
      <c r="G47" s="16">
        <v>4.0</v>
      </c>
      <c r="H47" s="16">
        <v>1.0</v>
      </c>
      <c r="I47" s="16">
        <v>6.0</v>
      </c>
      <c r="J47" s="16">
        <v>36.0</v>
      </c>
      <c r="K47" s="16">
        <v>59.0</v>
      </c>
      <c r="L47" s="16">
        <v>52.0</v>
      </c>
      <c r="M47" s="22" t="s">
        <v>249</v>
      </c>
      <c r="N47" s="12"/>
      <c r="O47" s="12"/>
      <c r="P47" s="12"/>
      <c r="Q47" s="12"/>
      <c r="R47" s="12"/>
      <c r="S47" s="12"/>
    </row>
    <row r="48" ht="12.75" customHeight="1">
      <c r="A48" s="18" t="s">
        <v>229</v>
      </c>
      <c r="B48" s="19" t="s">
        <v>131</v>
      </c>
      <c r="C48" s="13">
        <f t="shared" si="3"/>
        <v>17</v>
      </c>
      <c r="D48" s="16">
        <f t="shared" si="4"/>
        <v>183</v>
      </c>
      <c r="E48" s="16">
        <v>211.0</v>
      </c>
      <c r="F48" s="16">
        <v>18.0</v>
      </c>
      <c r="G48" s="16">
        <v>18.0</v>
      </c>
      <c r="H48" s="16">
        <v>1.0</v>
      </c>
      <c r="I48" s="16">
        <v>14.0</v>
      </c>
      <c r="J48" s="16">
        <v>36.0</v>
      </c>
      <c r="K48" s="16">
        <v>44.0</v>
      </c>
      <c r="L48" s="16">
        <v>52.0</v>
      </c>
      <c r="M48" s="22" t="s">
        <v>131</v>
      </c>
      <c r="N48" s="12"/>
      <c r="O48" s="12"/>
      <c r="P48" s="12"/>
      <c r="Q48" s="12"/>
      <c r="R48" s="12"/>
      <c r="S48" s="12"/>
    </row>
    <row r="49" ht="12.75" customHeight="1">
      <c r="A49" s="18" t="s">
        <v>188</v>
      </c>
      <c r="B49" s="19" t="s">
        <v>210</v>
      </c>
      <c r="C49" s="13">
        <f t="shared" si="3"/>
        <v>17</v>
      </c>
      <c r="D49" s="16">
        <f t="shared" si="4"/>
        <v>183</v>
      </c>
      <c r="E49" s="16">
        <v>211.0</v>
      </c>
      <c r="F49" s="16">
        <v>18.0</v>
      </c>
      <c r="G49" s="16">
        <v>12.0</v>
      </c>
      <c r="H49" s="16">
        <v>1.0</v>
      </c>
      <c r="I49" s="16">
        <v>14.0</v>
      </c>
      <c r="J49" s="16">
        <v>26.0</v>
      </c>
      <c r="K49" s="16">
        <v>60.0</v>
      </c>
      <c r="L49" s="16">
        <v>52.0</v>
      </c>
      <c r="M49" s="22" t="s">
        <v>210</v>
      </c>
      <c r="N49" s="12"/>
      <c r="O49" s="12"/>
      <c r="P49" s="12"/>
      <c r="Q49" s="12"/>
      <c r="R49" s="12"/>
      <c r="S49" s="12"/>
    </row>
    <row r="50" ht="12.75" customHeight="1">
      <c r="A50" s="18" t="s">
        <v>113</v>
      </c>
      <c r="B50" s="19" t="s">
        <v>114</v>
      </c>
      <c r="C50" s="13">
        <f t="shared" si="3"/>
        <v>17</v>
      </c>
      <c r="D50" s="16">
        <f t="shared" si="4"/>
        <v>184</v>
      </c>
      <c r="E50" s="16">
        <v>211.0</v>
      </c>
      <c r="F50" s="16">
        <v>12.0</v>
      </c>
      <c r="G50" s="16">
        <v>5.0</v>
      </c>
      <c r="H50" s="16">
        <v>1.0</v>
      </c>
      <c r="I50" s="16">
        <v>6.0</v>
      </c>
      <c r="J50" s="16">
        <v>36.0</v>
      </c>
      <c r="K50" s="16">
        <v>72.0</v>
      </c>
      <c r="L50" s="16">
        <v>52.0</v>
      </c>
      <c r="M50" s="22" t="s">
        <v>114</v>
      </c>
      <c r="N50" s="12"/>
      <c r="O50" s="12"/>
      <c r="P50" s="12"/>
      <c r="Q50" s="12"/>
      <c r="R50" s="12"/>
      <c r="S50" s="12"/>
    </row>
    <row r="51" ht="12.75" customHeight="1">
      <c r="A51" s="18" t="s">
        <v>223</v>
      </c>
      <c r="B51" s="19" t="s">
        <v>203</v>
      </c>
      <c r="C51" s="13">
        <f t="shared" si="3"/>
        <v>17.5</v>
      </c>
      <c r="D51" s="16">
        <f t="shared" si="4"/>
        <v>189</v>
      </c>
      <c r="E51" s="16">
        <v>211.0</v>
      </c>
      <c r="F51" s="16">
        <v>18.0</v>
      </c>
      <c r="G51" s="16">
        <v>18.0</v>
      </c>
      <c r="H51" s="16">
        <v>1.0</v>
      </c>
      <c r="I51" s="16">
        <v>14.0</v>
      </c>
      <c r="J51" s="16">
        <v>26.0</v>
      </c>
      <c r="K51" s="16">
        <v>60.0</v>
      </c>
      <c r="L51" s="16">
        <v>52.0</v>
      </c>
      <c r="M51" s="22" t="s">
        <v>203</v>
      </c>
      <c r="N51" s="12"/>
      <c r="O51" s="12"/>
      <c r="P51" s="12"/>
      <c r="Q51" s="12"/>
      <c r="R51" s="12"/>
      <c r="S51" s="12"/>
    </row>
    <row r="52" ht="12.75" customHeight="1">
      <c r="A52" s="18" t="s">
        <v>122</v>
      </c>
      <c r="B52" s="19" t="s">
        <v>138</v>
      </c>
      <c r="C52" s="13">
        <f t="shared" si="3"/>
        <v>17.5</v>
      </c>
      <c r="D52" s="16">
        <f t="shared" si="4"/>
        <v>186</v>
      </c>
      <c r="E52" s="16">
        <v>211.0</v>
      </c>
      <c r="F52" s="16">
        <v>12.0</v>
      </c>
      <c r="G52" s="16">
        <v>12.0</v>
      </c>
      <c r="H52" s="16">
        <v>1.0</v>
      </c>
      <c r="I52" s="16">
        <v>14.0</v>
      </c>
      <c r="J52" s="16">
        <v>36.0</v>
      </c>
      <c r="K52" s="16">
        <v>59.0</v>
      </c>
      <c r="L52" s="16">
        <v>52.0</v>
      </c>
      <c r="M52" s="22" t="s">
        <v>138</v>
      </c>
      <c r="N52" s="12"/>
      <c r="O52" s="12"/>
      <c r="P52" s="12"/>
      <c r="Q52" s="12"/>
      <c r="R52" s="12"/>
      <c r="S52" s="12"/>
    </row>
    <row r="53" ht="12.75" customHeight="1">
      <c r="A53" s="18" t="s">
        <v>170</v>
      </c>
      <c r="B53" s="19" t="s">
        <v>142</v>
      </c>
      <c r="C53" s="13">
        <f t="shared" si="3"/>
        <v>17.5</v>
      </c>
      <c r="D53" s="16">
        <f t="shared" si="4"/>
        <v>187</v>
      </c>
      <c r="E53" s="16">
        <v>211.0</v>
      </c>
      <c r="F53" s="16">
        <v>18.0</v>
      </c>
      <c r="G53" s="16">
        <v>6.0</v>
      </c>
      <c r="H53" s="16">
        <v>1.0</v>
      </c>
      <c r="I53" s="16">
        <v>14.0</v>
      </c>
      <c r="J53" s="16">
        <v>36.0</v>
      </c>
      <c r="K53" s="16">
        <v>60.0</v>
      </c>
      <c r="L53" s="16">
        <v>52.0</v>
      </c>
      <c r="M53" s="22" t="s">
        <v>287</v>
      </c>
      <c r="N53" s="12"/>
      <c r="O53" s="12"/>
      <c r="P53" s="12"/>
      <c r="Q53" s="12"/>
      <c r="R53" s="12"/>
      <c r="S53" s="12"/>
    </row>
    <row r="54" ht="12.75" customHeight="1">
      <c r="A54" s="18" t="s">
        <v>164</v>
      </c>
      <c r="B54" s="19" t="s">
        <v>159</v>
      </c>
      <c r="C54" s="13">
        <f t="shared" si="3"/>
        <v>18</v>
      </c>
      <c r="D54" s="16">
        <f t="shared" si="4"/>
        <v>191</v>
      </c>
      <c r="E54" s="16">
        <v>211.0</v>
      </c>
      <c r="F54" s="16">
        <v>18.0</v>
      </c>
      <c r="G54" s="16">
        <v>5.0</v>
      </c>
      <c r="H54" s="16">
        <v>1.0</v>
      </c>
      <c r="I54" s="16">
        <v>7.0</v>
      </c>
      <c r="J54" s="16">
        <v>36.0</v>
      </c>
      <c r="K54" s="16">
        <v>72.0</v>
      </c>
      <c r="L54" s="16">
        <v>52.0</v>
      </c>
      <c r="M54" s="22" t="s">
        <v>159</v>
      </c>
      <c r="N54" s="12"/>
      <c r="O54" s="12"/>
      <c r="P54" s="12"/>
      <c r="Q54" s="12"/>
      <c r="R54" s="12"/>
      <c r="S54" s="12"/>
    </row>
    <row r="55" ht="12.75" customHeight="1">
      <c r="A55" s="18" t="s">
        <v>143</v>
      </c>
      <c r="B55" s="19" t="s">
        <v>136</v>
      </c>
      <c r="C55" s="13">
        <f t="shared" si="3"/>
        <v>18</v>
      </c>
      <c r="D55" s="16">
        <f t="shared" si="4"/>
        <v>192</v>
      </c>
      <c r="E55" s="16">
        <v>211.0</v>
      </c>
      <c r="F55" s="16">
        <v>6.0</v>
      </c>
      <c r="G55" s="16">
        <v>11.0</v>
      </c>
      <c r="H55" s="16">
        <v>1.0</v>
      </c>
      <c r="I55" s="16">
        <v>14.0</v>
      </c>
      <c r="J55" s="16">
        <v>36.0</v>
      </c>
      <c r="K55" s="16">
        <v>72.0</v>
      </c>
      <c r="L55" s="16">
        <v>52.0</v>
      </c>
      <c r="M55" s="22" t="s">
        <v>136</v>
      </c>
      <c r="N55" s="12"/>
      <c r="O55" s="12"/>
      <c r="P55" s="12"/>
      <c r="Q55" s="12"/>
      <c r="R55" s="12"/>
      <c r="S55" s="12"/>
    </row>
    <row r="56" ht="12.75" customHeight="1">
      <c r="A56" s="18" t="s">
        <v>183</v>
      </c>
      <c r="B56" s="19" t="s">
        <v>218</v>
      </c>
      <c r="C56" s="13">
        <f t="shared" si="3"/>
        <v>18</v>
      </c>
      <c r="D56" s="16">
        <f t="shared" si="4"/>
        <v>193</v>
      </c>
      <c r="E56" s="16">
        <v>211.0</v>
      </c>
      <c r="F56" s="16">
        <v>12.0</v>
      </c>
      <c r="G56" s="16">
        <v>18.0</v>
      </c>
      <c r="H56" s="16">
        <v>1.0</v>
      </c>
      <c r="I56" s="16">
        <v>14.0</v>
      </c>
      <c r="J56" s="16">
        <v>36.0</v>
      </c>
      <c r="K56" s="16">
        <v>60.0</v>
      </c>
      <c r="L56" s="16">
        <v>52.0</v>
      </c>
      <c r="M56" s="22" t="s">
        <v>218</v>
      </c>
      <c r="N56" s="12"/>
      <c r="O56" s="12"/>
      <c r="P56" s="12"/>
      <c r="Q56" s="12"/>
      <c r="R56" s="12"/>
      <c r="S56" s="12"/>
    </row>
    <row r="57" ht="12.75" customHeight="1">
      <c r="A57" s="18" t="s">
        <v>246</v>
      </c>
      <c r="B57" s="19" t="s">
        <v>169</v>
      </c>
      <c r="C57" s="13">
        <f t="shared" si="3"/>
        <v>18</v>
      </c>
      <c r="D57" s="16">
        <f t="shared" si="4"/>
        <v>191</v>
      </c>
      <c r="E57" s="16">
        <v>211.0</v>
      </c>
      <c r="F57" s="16">
        <v>12.0</v>
      </c>
      <c r="G57" s="16">
        <v>12.0</v>
      </c>
      <c r="H57" s="16">
        <v>1.0</v>
      </c>
      <c r="I57" s="16">
        <v>7.0</v>
      </c>
      <c r="J57" s="16">
        <v>36.0</v>
      </c>
      <c r="K57" s="16">
        <v>71.0</v>
      </c>
      <c r="L57" s="16">
        <v>52.0</v>
      </c>
      <c r="M57" s="22" t="s">
        <v>169</v>
      </c>
      <c r="N57" s="12"/>
      <c r="O57" s="12"/>
      <c r="P57" s="12"/>
      <c r="Q57" s="12"/>
      <c r="R57" s="12"/>
      <c r="S57" s="12"/>
    </row>
    <row r="58" ht="12.75" customHeight="1">
      <c r="A58" s="18" t="s">
        <v>212</v>
      </c>
      <c r="B58" s="19" t="s">
        <v>241</v>
      </c>
      <c r="C58" s="13">
        <f t="shared" si="3"/>
        <v>18.5</v>
      </c>
      <c r="D58" s="16">
        <f t="shared" si="4"/>
        <v>199</v>
      </c>
      <c r="E58" s="16">
        <v>211.0</v>
      </c>
      <c r="F58" s="16">
        <v>18.0</v>
      </c>
      <c r="G58" s="16">
        <v>18.0</v>
      </c>
      <c r="H58" s="16">
        <v>1.0</v>
      </c>
      <c r="I58" s="16">
        <v>14.0</v>
      </c>
      <c r="J58" s="16">
        <v>36.0</v>
      </c>
      <c r="K58" s="16">
        <v>60.0</v>
      </c>
      <c r="L58" s="16">
        <v>52.0</v>
      </c>
      <c r="M58" s="22" t="s">
        <v>241</v>
      </c>
      <c r="N58" s="12"/>
      <c r="O58" s="12"/>
      <c r="P58" s="12"/>
      <c r="Q58" s="12"/>
      <c r="R58" s="12"/>
      <c r="S58" s="12"/>
    </row>
    <row r="59" ht="12.75" customHeight="1">
      <c r="A59" s="18" t="s">
        <v>132</v>
      </c>
      <c r="B59" s="19" t="s">
        <v>182</v>
      </c>
      <c r="C59" s="13">
        <f t="shared" si="3"/>
        <v>18.5</v>
      </c>
      <c r="D59" s="16">
        <f t="shared" si="4"/>
        <v>199</v>
      </c>
      <c r="E59" s="16">
        <v>211.0</v>
      </c>
      <c r="F59" s="16">
        <v>18.0</v>
      </c>
      <c r="G59" s="16">
        <v>18.0</v>
      </c>
      <c r="H59" s="16">
        <v>1.0</v>
      </c>
      <c r="I59" s="16">
        <v>14.0</v>
      </c>
      <c r="J59" s="16">
        <v>36.0</v>
      </c>
      <c r="K59" s="16">
        <v>60.0</v>
      </c>
      <c r="L59" s="16">
        <v>52.0</v>
      </c>
      <c r="M59" s="22" t="s">
        <v>182</v>
      </c>
      <c r="N59" s="12"/>
      <c r="O59" s="12"/>
      <c r="P59" s="12"/>
      <c r="Q59" s="12"/>
      <c r="R59" s="12"/>
      <c r="S59" s="12"/>
    </row>
    <row r="60" ht="12.75" customHeight="1">
      <c r="A60" s="18" t="s">
        <v>146</v>
      </c>
      <c r="B60" s="19" t="s">
        <v>243</v>
      </c>
      <c r="C60" s="13">
        <f t="shared" si="3"/>
        <v>18.5</v>
      </c>
      <c r="D60" s="16">
        <f t="shared" si="4"/>
        <v>198</v>
      </c>
      <c r="E60" s="16">
        <v>211.0</v>
      </c>
      <c r="F60" s="16">
        <v>5.0</v>
      </c>
      <c r="G60" s="16">
        <v>18.0</v>
      </c>
      <c r="H60" s="16">
        <v>1.0</v>
      </c>
      <c r="I60" s="16">
        <v>14.0</v>
      </c>
      <c r="J60" s="16">
        <v>36.0</v>
      </c>
      <c r="K60" s="16">
        <v>72.0</v>
      </c>
      <c r="L60" s="16">
        <v>52.0</v>
      </c>
      <c r="M60" s="22" t="s">
        <v>243</v>
      </c>
      <c r="N60" s="12"/>
      <c r="O60" s="12"/>
      <c r="P60" s="12"/>
      <c r="Q60" s="12"/>
      <c r="R60" s="12"/>
      <c r="S60" s="12"/>
    </row>
    <row r="61" ht="12.75" customHeight="1">
      <c r="A61" s="18" t="s">
        <v>240</v>
      </c>
      <c r="B61" s="19" t="s">
        <v>232</v>
      </c>
      <c r="C61" s="13">
        <f t="shared" si="3"/>
        <v>18.5</v>
      </c>
      <c r="D61" s="16">
        <f t="shared" si="4"/>
        <v>198</v>
      </c>
      <c r="E61" s="16">
        <v>211.0</v>
      </c>
      <c r="F61" s="16">
        <v>12.0</v>
      </c>
      <c r="G61" s="16">
        <v>11.0</v>
      </c>
      <c r="H61" s="16">
        <v>1.0</v>
      </c>
      <c r="I61" s="16">
        <v>14.0</v>
      </c>
      <c r="J61" s="16">
        <v>36.0</v>
      </c>
      <c r="K61" s="16">
        <v>72.0</v>
      </c>
      <c r="L61" s="16">
        <v>52.0</v>
      </c>
      <c r="M61" s="22" t="s">
        <v>232</v>
      </c>
      <c r="N61" s="12"/>
      <c r="O61" s="12"/>
      <c r="P61" s="12"/>
      <c r="Q61" s="12"/>
      <c r="R61" s="12"/>
      <c r="S61" s="12"/>
    </row>
    <row r="62" ht="12.75" customHeight="1">
      <c r="A62" s="18" t="s">
        <v>156</v>
      </c>
      <c r="B62" s="19" t="s">
        <v>247</v>
      </c>
      <c r="C62" s="13">
        <f t="shared" si="3"/>
        <v>18.5</v>
      </c>
      <c r="D62" s="16">
        <f t="shared" si="4"/>
        <v>198</v>
      </c>
      <c r="E62" s="16">
        <v>211.0</v>
      </c>
      <c r="F62" s="16">
        <v>18.0</v>
      </c>
      <c r="G62" s="16">
        <v>5.0</v>
      </c>
      <c r="H62" s="16">
        <v>1.0</v>
      </c>
      <c r="I62" s="16">
        <v>14.0</v>
      </c>
      <c r="J62" s="16">
        <v>36.0</v>
      </c>
      <c r="K62" s="16">
        <v>72.0</v>
      </c>
      <c r="L62" s="16">
        <v>52.0</v>
      </c>
      <c r="M62" s="22" t="s">
        <v>247</v>
      </c>
      <c r="N62" s="12"/>
      <c r="O62" s="12"/>
      <c r="P62" s="12"/>
      <c r="Q62" s="12"/>
      <c r="R62" s="12"/>
      <c r="S62" s="12"/>
    </row>
    <row r="63" ht="12.75" customHeight="1">
      <c r="A63" s="18" t="s">
        <v>168</v>
      </c>
      <c r="B63" s="19" t="s">
        <v>144</v>
      </c>
      <c r="C63" s="13">
        <f t="shared" si="3"/>
        <v>18.5</v>
      </c>
      <c r="D63" s="16">
        <f t="shared" si="4"/>
        <v>199</v>
      </c>
      <c r="E63" s="16">
        <v>211.0</v>
      </c>
      <c r="F63" s="16">
        <v>18.0</v>
      </c>
      <c r="G63" s="16">
        <v>6.0</v>
      </c>
      <c r="H63" s="16">
        <v>1.0</v>
      </c>
      <c r="I63" s="16">
        <v>14.0</v>
      </c>
      <c r="J63" s="16">
        <v>36.0</v>
      </c>
      <c r="K63" s="16">
        <v>72.0</v>
      </c>
      <c r="L63" s="16">
        <v>52.0</v>
      </c>
      <c r="M63" s="22" t="s">
        <v>261</v>
      </c>
      <c r="N63" s="12"/>
      <c r="O63" s="12"/>
      <c r="P63" s="12"/>
      <c r="Q63" s="12"/>
      <c r="R63" s="12"/>
      <c r="S63" s="12"/>
    </row>
    <row r="64" ht="12.75" customHeight="1">
      <c r="A64" s="18" t="s">
        <v>204</v>
      </c>
      <c r="B64" s="19" t="s">
        <v>251</v>
      </c>
      <c r="C64" s="13">
        <f t="shared" si="3"/>
        <v>19</v>
      </c>
      <c r="D64" s="16">
        <f t="shared" si="4"/>
        <v>201</v>
      </c>
      <c r="E64" s="16">
        <v>211.0</v>
      </c>
      <c r="F64" s="16">
        <v>18.0</v>
      </c>
      <c r="G64" s="16">
        <v>18.0</v>
      </c>
      <c r="H64" s="16">
        <v>1.0</v>
      </c>
      <c r="I64" s="16">
        <v>14.0</v>
      </c>
      <c r="J64" s="16">
        <v>26.0</v>
      </c>
      <c r="K64" s="16">
        <v>72.0</v>
      </c>
      <c r="L64" s="16">
        <v>52.0</v>
      </c>
      <c r="M64" s="22" t="s">
        <v>251</v>
      </c>
      <c r="N64" s="12"/>
      <c r="O64" s="12"/>
      <c r="P64" s="12"/>
      <c r="Q64" s="12"/>
      <c r="R64" s="12"/>
      <c r="S64" s="12"/>
    </row>
    <row r="65" ht="12.75" customHeight="1">
      <c r="A65" s="18" t="s">
        <v>242</v>
      </c>
      <c r="B65" s="19" t="s">
        <v>230</v>
      </c>
      <c r="C65" s="13">
        <f t="shared" si="3"/>
        <v>19</v>
      </c>
      <c r="D65" s="16">
        <f t="shared" si="4"/>
        <v>205</v>
      </c>
      <c r="E65" s="16">
        <v>211.0</v>
      </c>
      <c r="F65" s="16">
        <v>18.0</v>
      </c>
      <c r="G65" s="16">
        <v>12.0</v>
      </c>
      <c r="H65" s="16">
        <v>1.0</v>
      </c>
      <c r="I65" s="16">
        <v>14.0</v>
      </c>
      <c r="J65" s="16">
        <v>36.0</v>
      </c>
      <c r="K65" s="16">
        <v>72.0</v>
      </c>
      <c r="L65" s="16">
        <v>52.0</v>
      </c>
      <c r="M65" s="22" t="s">
        <v>230</v>
      </c>
      <c r="N65" s="12"/>
      <c r="O65" s="12"/>
      <c r="P65" s="12"/>
      <c r="Q65" s="12"/>
      <c r="R65" s="12"/>
      <c r="S65" s="12"/>
    </row>
    <row r="66" ht="12.75" customHeight="1">
      <c r="A66" s="18" t="s">
        <v>130</v>
      </c>
      <c r="B66" s="19" t="s">
        <v>254</v>
      </c>
      <c r="C66" s="13">
        <f t="shared" si="3"/>
        <v>19</v>
      </c>
      <c r="D66" s="16">
        <f t="shared" si="4"/>
        <v>204</v>
      </c>
      <c r="E66" s="16">
        <v>211.0</v>
      </c>
      <c r="F66" s="16">
        <v>18.0</v>
      </c>
      <c r="G66" s="16">
        <v>11.0</v>
      </c>
      <c r="H66" s="16">
        <v>1.0</v>
      </c>
      <c r="I66" s="16">
        <v>14.0</v>
      </c>
      <c r="J66" s="16">
        <v>36.0</v>
      </c>
      <c r="K66" s="16">
        <v>72.0</v>
      </c>
      <c r="L66" s="16">
        <v>52.0</v>
      </c>
      <c r="M66" s="22" t="s">
        <v>254</v>
      </c>
      <c r="N66" s="12"/>
      <c r="O66" s="12"/>
      <c r="P66" s="12"/>
      <c r="Q66" s="12"/>
      <c r="R66" s="12"/>
      <c r="S66" s="12"/>
    </row>
    <row r="67" ht="12.75" customHeight="1">
      <c r="A67" s="18" t="s">
        <v>162</v>
      </c>
      <c r="B67" s="19" t="s">
        <v>157</v>
      </c>
      <c r="C67" s="13">
        <f t="shared" si="3"/>
        <v>19</v>
      </c>
      <c r="D67" s="16">
        <f t="shared" si="4"/>
        <v>204</v>
      </c>
      <c r="E67" s="16">
        <v>211.0</v>
      </c>
      <c r="F67" s="16">
        <v>11.0</v>
      </c>
      <c r="G67" s="16">
        <v>18.0</v>
      </c>
      <c r="H67" s="16">
        <v>1.0</v>
      </c>
      <c r="I67" s="16">
        <v>14.0</v>
      </c>
      <c r="J67" s="16">
        <v>36.0</v>
      </c>
      <c r="K67" s="16">
        <v>72.0</v>
      </c>
      <c r="L67" s="16">
        <v>52.0</v>
      </c>
      <c r="M67" s="22" t="s">
        <v>157</v>
      </c>
      <c r="N67" s="12"/>
      <c r="O67" s="12"/>
      <c r="P67" s="12"/>
      <c r="Q67" s="12"/>
      <c r="R67" s="12"/>
      <c r="S67" s="12"/>
    </row>
    <row r="68" ht="12.75" customHeight="1">
      <c r="A68" s="18" t="s">
        <v>158</v>
      </c>
      <c r="B68" s="19" t="s">
        <v>165</v>
      </c>
      <c r="C68" s="13">
        <f t="shared" si="3"/>
        <v>19</v>
      </c>
      <c r="D68" s="16">
        <f t="shared" si="4"/>
        <v>205</v>
      </c>
      <c r="E68" s="16">
        <v>211.0</v>
      </c>
      <c r="F68" s="16">
        <v>18.0</v>
      </c>
      <c r="G68" s="16">
        <v>12.0</v>
      </c>
      <c r="H68" s="16">
        <v>1.0</v>
      </c>
      <c r="I68" s="16">
        <v>14.0</v>
      </c>
      <c r="J68" s="16">
        <v>36.0</v>
      </c>
      <c r="K68" s="16">
        <v>72.0</v>
      </c>
      <c r="L68" s="16">
        <v>52.0</v>
      </c>
      <c r="M68" s="22" t="s">
        <v>165</v>
      </c>
      <c r="N68" s="12"/>
      <c r="O68" s="12"/>
      <c r="P68" s="12"/>
      <c r="Q68" s="12"/>
      <c r="R68" s="12"/>
      <c r="S68" s="12"/>
    </row>
    <row r="69" ht="12.75" customHeight="1">
      <c r="A69" s="18" t="s">
        <v>250</v>
      </c>
      <c r="B69" s="19" t="s">
        <v>228</v>
      </c>
      <c r="C69" s="13">
        <f t="shared" si="3"/>
        <v>20</v>
      </c>
      <c r="D69" s="16">
        <f t="shared" si="4"/>
        <v>211</v>
      </c>
      <c r="E69" s="16">
        <v>211.0</v>
      </c>
      <c r="F69" s="16">
        <v>18.0</v>
      </c>
      <c r="G69" s="16">
        <v>18.0</v>
      </c>
      <c r="H69" s="16">
        <v>1.0</v>
      </c>
      <c r="I69" s="16">
        <v>14.0</v>
      </c>
      <c r="J69" s="16">
        <v>36.0</v>
      </c>
      <c r="K69" s="16">
        <v>72.0</v>
      </c>
      <c r="L69" s="16">
        <v>52.0</v>
      </c>
      <c r="M69" s="22" t="s">
        <v>228</v>
      </c>
      <c r="N69" s="12"/>
      <c r="O69" s="12"/>
      <c r="P69" s="12"/>
      <c r="Q69" s="12"/>
      <c r="R69" s="12"/>
      <c r="S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</sheetData>
  <mergeCells count="2">
    <mergeCell ref="D2:E2"/>
    <mergeCell ref="D3:E3"/>
  </mergeCells>
  <drawing r:id="rId1"/>
</worksheet>
</file>