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gcc/Workspace/2017-experiment-analysis/"/>
    </mc:Choice>
  </mc:AlternateContent>
  <bookViews>
    <workbookView xWindow="27320" yWindow="-12800" windowWidth="28800" windowHeight="17920" tabRatio="500"/>
  </bookViews>
  <sheets>
    <sheet name="VPLData" sheetId="1" r:id="rId1"/>
    <sheet name="legend-VPL" sheetId="2" r:id="rId2"/>
    <sheet name="VPLData(raw)" sheetId="3" r:id="rId3"/>
    <sheet name="provinha1a-cond-part1" sheetId="4" r:id="rId4"/>
    <sheet name="provinha1b-cond-part1" sheetId="5" r:id="rId5"/>
    <sheet name="provinha1a-cond-part2" sheetId="6" r:id="rId6"/>
    <sheet name="provinha1b-cond-part2" sheetId="7" r:id="rId7"/>
    <sheet name="provinha2a-loops" sheetId="8" r:id="rId8"/>
    <sheet name="provinha2b-loops" sheetId="9" r:id="rId9"/>
    <sheet name="provinha3a-recurs" sheetId="10" r:id="rId10"/>
    <sheet name="provinha3c-recurs" sheetId="11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9" i="11" l="1"/>
  <c r="C69" i="11"/>
  <c r="D68" i="11"/>
  <c r="C68" i="11"/>
  <c r="D67" i="11"/>
  <c r="C67" i="11"/>
  <c r="D66" i="11"/>
  <c r="C66" i="11"/>
  <c r="D65" i="11"/>
  <c r="C65" i="11"/>
  <c r="D64" i="11"/>
  <c r="C64" i="11"/>
  <c r="D63" i="11"/>
  <c r="C63" i="11"/>
  <c r="D62" i="11"/>
  <c r="C62" i="11"/>
  <c r="D61" i="11"/>
  <c r="C61" i="11"/>
  <c r="D60" i="11"/>
  <c r="C60" i="11"/>
  <c r="D59" i="11"/>
  <c r="C59" i="11"/>
  <c r="D58" i="11"/>
  <c r="C58" i="11"/>
  <c r="D57" i="11"/>
  <c r="C57" i="11"/>
  <c r="D56" i="11"/>
  <c r="C56" i="11"/>
  <c r="D55" i="11"/>
  <c r="C55" i="11"/>
  <c r="D54" i="11"/>
  <c r="C54" i="11"/>
  <c r="D53" i="11"/>
  <c r="C53" i="11"/>
  <c r="D52" i="11"/>
  <c r="C52" i="11"/>
  <c r="D51" i="11"/>
  <c r="C51" i="11"/>
  <c r="D50" i="11"/>
  <c r="C50" i="11"/>
  <c r="D49" i="11"/>
  <c r="C49" i="11"/>
  <c r="D48" i="11"/>
  <c r="C48" i="11"/>
  <c r="D47" i="11"/>
  <c r="C47" i="11"/>
  <c r="D46" i="11"/>
  <c r="C46" i="11"/>
  <c r="D45" i="11"/>
  <c r="C45" i="11"/>
  <c r="D44" i="11"/>
  <c r="C44" i="11"/>
  <c r="D43" i="11"/>
  <c r="C43" i="11"/>
  <c r="D42" i="11"/>
  <c r="C42" i="11"/>
  <c r="D41" i="11"/>
  <c r="C41" i="11"/>
  <c r="D40" i="11"/>
  <c r="C40" i="11"/>
  <c r="D39" i="11"/>
  <c r="C39" i="11"/>
  <c r="D38" i="11"/>
  <c r="C38" i="11"/>
  <c r="D37" i="11"/>
  <c r="C37" i="11"/>
  <c r="D36" i="11"/>
  <c r="C36" i="11"/>
  <c r="D35" i="11"/>
  <c r="C35" i="11"/>
  <c r="D34" i="11"/>
  <c r="C34" i="11"/>
  <c r="D33" i="11"/>
  <c r="C33" i="11"/>
  <c r="D32" i="11"/>
  <c r="C32" i="11"/>
  <c r="D31" i="11"/>
  <c r="C31" i="11"/>
  <c r="D30" i="11"/>
  <c r="C30" i="11"/>
  <c r="D29" i="11"/>
  <c r="C29" i="11"/>
  <c r="D28" i="11"/>
  <c r="C28" i="11"/>
  <c r="D27" i="11"/>
  <c r="C27" i="11"/>
  <c r="D26" i="11"/>
  <c r="C26" i="11"/>
  <c r="D25" i="11"/>
  <c r="C25" i="11"/>
  <c r="D24" i="11"/>
  <c r="C24" i="11"/>
  <c r="D23" i="11"/>
  <c r="C23" i="11"/>
  <c r="D22" i="11"/>
  <c r="C22" i="11"/>
  <c r="D21" i="11"/>
  <c r="C21" i="11"/>
  <c r="D20" i="11"/>
  <c r="C20" i="11"/>
  <c r="D19" i="11"/>
  <c r="C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L3" i="11"/>
  <c r="K3" i="11"/>
  <c r="J3" i="11"/>
  <c r="I3" i="11"/>
  <c r="H3" i="11"/>
  <c r="G3" i="11"/>
  <c r="F3" i="11"/>
  <c r="C3" i="11"/>
  <c r="D69" i="10"/>
  <c r="C69" i="10"/>
  <c r="D68" i="10"/>
  <c r="C68" i="10"/>
  <c r="D67" i="10"/>
  <c r="C67" i="10"/>
  <c r="D66" i="10"/>
  <c r="C66" i="10"/>
  <c r="D65" i="10"/>
  <c r="C65" i="10"/>
  <c r="D64" i="10"/>
  <c r="C64" i="10"/>
  <c r="D63" i="10"/>
  <c r="C63" i="10"/>
  <c r="D62" i="10"/>
  <c r="C62" i="10"/>
  <c r="D61" i="10"/>
  <c r="C61" i="10"/>
  <c r="D60" i="10"/>
  <c r="C60" i="10"/>
  <c r="D59" i="10"/>
  <c r="C59" i="10"/>
  <c r="D58" i="10"/>
  <c r="C58" i="10"/>
  <c r="D57" i="10"/>
  <c r="C57" i="10"/>
  <c r="D56" i="10"/>
  <c r="C56" i="10"/>
  <c r="D55" i="10"/>
  <c r="C55" i="10"/>
  <c r="D54" i="10"/>
  <c r="C54" i="10"/>
  <c r="D53" i="10"/>
  <c r="C53" i="10"/>
  <c r="D52" i="10"/>
  <c r="C52" i="10"/>
  <c r="D51" i="10"/>
  <c r="C51" i="10"/>
  <c r="D50" i="10"/>
  <c r="C50" i="10"/>
  <c r="D49" i="10"/>
  <c r="C49" i="10"/>
  <c r="D48" i="10"/>
  <c r="C48" i="10"/>
  <c r="D47" i="10"/>
  <c r="C47" i="10"/>
  <c r="D46" i="10"/>
  <c r="C46" i="10"/>
  <c r="D45" i="10"/>
  <c r="C45" i="10"/>
  <c r="D44" i="10"/>
  <c r="C44" i="10"/>
  <c r="D43" i="10"/>
  <c r="C43" i="10"/>
  <c r="D42" i="10"/>
  <c r="C42" i="10"/>
  <c r="D41" i="10"/>
  <c r="C41" i="10"/>
  <c r="D40" i="10"/>
  <c r="C40" i="10"/>
  <c r="D39" i="10"/>
  <c r="C39" i="10"/>
  <c r="D38" i="10"/>
  <c r="C38" i="10"/>
  <c r="D37" i="10"/>
  <c r="C37" i="10"/>
  <c r="D36" i="10"/>
  <c r="C36" i="10"/>
  <c r="D35" i="10"/>
  <c r="C35" i="10"/>
  <c r="D34" i="10"/>
  <c r="C34" i="10"/>
  <c r="D33" i="10"/>
  <c r="C33" i="10"/>
  <c r="D32" i="10"/>
  <c r="C32" i="10"/>
  <c r="D31" i="10"/>
  <c r="C31" i="10"/>
  <c r="D30" i="10"/>
  <c r="C30" i="10"/>
  <c r="D29" i="10"/>
  <c r="C29" i="10"/>
  <c r="D28" i="10"/>
  <c r="C28" i="10"/>
  <c r="D27" i="10"/>
  <c r="C27" i="10"/>
  <c r="D26" i="10"/>
  <c r="C26" i="10"/>
  <c r="D25" i="10"/>
  <c r="C25" i="10"/>
  <c r="D24" i="10"/>
  <c r="C24" i="10"/>
  <c r="D23" i="10"/>
  <c r="C23" i="10"/>
  <c r="D22" i="10"/>
  <c r="C22" i="10"/>
  <c r="D21" i="10"/>
  <c r="C21" i="10"/>
  <c r="D20" i="10"/>
  <c r="C20" i="10"/>
  <c r="D19" i="10"/>
  <c r="C19" i="10"/>
  <c r="D18" i="10"/>
  <c r="C18" i="10"/>
  <c r="D17" i="10"/>
  <c r="C17" i="10"/>
  <c r="D16" i="10"/>
  <c r="C16" i="10"/>
  <c r="D15" i="10"/>
  <c r="C15" i="10"/>
  <c r="D14" i="10"/>
  <c r="C14" i="10"/>
  <c r="D13" i="10"/>
  <c r="C13" i="10"/>
  <c r="D12" i="10"/>
  <c r="C12" i="10"/>
  <c r="D11" i="10"/>
  <c r="D10" i="10"/>
  <c r="D9" i="10"/>
  <c r="D8" i="10"/>
  <c r="D7" i="10"/>
  <c r="D6" i="10"/>
  <c r="D5" i="10"/>
  <c r="D4" i="10"/>
  <c r="L3" i="10"/>
  <c r="K3" i="10"/>
  <c r="J3" i="10"/>
  <c r="I3" i="10"/>
  <c r="H3" i="10"/>
  <c r="G3" i="10"/>
  <c r="F3" i="10"/>
  <c r="C3" i="10"/>
  <c r="D69" i="9"/>
  <c r="C69" i="9"/>
  <c r="D68" i="9"/>
  <c r="C68" i="9"/>
  <c r="D67" i="9"/>
  <c r="C67" i="9"/>
  <c r="D66" i="9"/>
  <c r="C66" i="9"/>
  <c r="D65" i="9"/>
  <c r="C65" i="9"/>
  <c r="D64" i="9"/>
  <c r="C64" i="9"/>
  <c r="D63" i="9"/>
  <c r="C63" i="9"/>
  <c r="D62" i="9"/>
  <c r="C62" i="9"/>
  <c r="D61" i="9"/>
  <c r="C61" i="9"/>
  <c r="D60" i="9"/>
  <c r="C60" i="9"/>
  <c r="D59" i="9"/>
  <c r="C59" i="9"/>
  <c r="D58" i="9"/>
  <c r="C58" i="9"/>
  <c r="D57" i="9"/>
  <c r="C57" i="9"/>
  <c r="D56" i="9"/>
  <c r="C56" i="9"/>
  <c r="D55" i="9"/>
  <c r="C55" i="9"/>
  <c r="D54" i="9"/>
  <c r="C54" i="9"/>
  <c r="D53" i="9"/>
  <c r="C53" i="9"/>
  <c r="D52" i="9"/>
  <c r="C52" i="9"/>
  <c r="D51" i="9"/>
  <c r="C51" i="9"/>
  <c r="D50" i="9"/>
  <c r="C50" i="9"/>
  <c r="D49" i="9"/>
  <c r="C49" i="9"/>
  <c r="D48" i="9"/>
  <c r="C48" i="9"/>
  <c r="D47" i="9"/>
  <c r="C47" i="9"/>
  <c r="D46" i="9"/>
  <c r="C46" i="9"/>
  <c r="D45" i="9"/>
  <c r="C45" i="9"/>
  <c r="D44" i="9"/>
  <c r="C44" i="9"/>
  <c r="D43" i="9"/>
  <c r="C43" i="9"/>
  <c r="D42" i="9"/>
  <c r="C42" i="9"/>
  <c r="D41" i="9"/>
  <c r="C41" i="9"/>
  <c r="D40" i="9"/>
  <c r="C40" i="9"/>
  <c r="D39" i="9"/>
  <c r="C39" i="9"/>
  <c r="D38" i="9"/>
  <c r="C38" i="9"/>
  <c r="D37" i="9"/>
  <c r="C37" i="9"/>
  <c r="D36" i="9"/>
  <c r="C36" i="9"/>
  <c r="D35" i="9"/>
  <c r="C35" i="9"/>
  <c r="D34" i="9"/>
  <c r="C34" i="9"/>
  <c r="D33" i="9"/>
  <c r="C33" i="9"/>
  <c r="D32" i="9"/>
  <c r="C32" i="9"/>
  <c r="D31" i="9"/>
  <c r="C31" i="9"/>
  <c r="D30" i="9"/>
  <c r="C30" i="9"/>
  <c r="D29" i="9"/>
  <c r="C29" i="9"/>
  <c r="D28" i="9"/>
  <c r="C28" i="9"/>
  <c r="D27" i="9"/>
  <c r="C27" i="9"/>
  <c r="D26" i="9"/>
  <c r="C26" i="9"/>
  <c r="D25" i="9"/>
  <c r="C25" i="9"/>
  <c r="D24" i="9"/>
  <c r="C24" i="9"/>
  <c r="D23" i="9"/>
  <c r="C23" i="9"/>
  <c r="D22" i="9"/>
  <c r="C22" i="9"/>
  <c r="D21" i="9"/>
  <c r="C21" i="9"/>
  <c r="D20" i="9"/>
  <c r="C20" i="9"/>
  <c r="D19" i="9"/>
  <c r="C19" i="9"/>
  <c r="D18" i="9"/>
  <c r="C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L3" i="9"/>
  <c r="K3" i="9"/>
  <c r="J3" i="9"/>
  <c r="I3" i="9"/>
  <c r="H3" i="9"/>
  <c r="G3" i="9"/>
  <c r="F3" i="9"/>
  <c r="C3" i="9"/>
  <c r="D69" i="8"/>
  <c r="C69" i="8"/>
  <c r="D68" i="8"/>
  <c r="C68" i="8"/>
  <c r="D67" i="8"/>
  <c r="C67" i="8"/>
  <c r="D66" i="8"/>
  <c r="C66" i="8"/>
  <c r="D65" i="8"/>
  <c r="C65" i="8"/>
  <c r="D64" i="8"/>
  <c r="C64" i="8"/>
  <c r="D63" i="8"/>
  <c r="C63" i="8"/>
  <c r="D62" i="8"/>
  <c r="C62" i="8"/>
  <c r="D61" i="8"/>
  <c r="C61" i="8"/>
  <c r="D60" i="8"/>
  <c r="C60" i="8"/>
  <c r="D59" i="8"/>
  <c r="C59" i="8"/>
  <c r="D58" i="8"/>
  <c r="C58" i="8"/>
  <c r="D57" i="8"/>
  <c r="C57" i="8"/>
  <c r="D56" i="8"/>
  <c r="C56" i="8"/>
  <c r="D55" i="8"/>
  <c r="C55" i="8"/>
  <c r="D54" i="8"/>
  <c r="C54" i="8"/>
  <c r="D53" i="8"/>
  <c r="C53" i="8"/>
  <c r="D52" i="8"/>
  <c r="C52" i="8"/>
  <c r="D51" i="8"/>
  <c r="C51" i="8"/>
  <c r="D50" i="8"/>
  <c r="C50" i="8"/>
  <c r="D49" i="8"/>
  <c r="C49" i="8"/>
  <c r="D48" i="8"/>
  <c r="C48" i="8"/>
  <c r="D47" i="8"/>
  <c r="C47" i="8"/>
  <c r="D46" i="8"/>
  <c r="C46" i="8"/>
  <c r="D45" i="8"/>
  <c r="C45" i="8"/>
  <c r="D44" i="8"/>
  <c r="C44" i="8"/>
  <c r="D43" i="8"/>
  <c r="C43" i="8"/>
  <c r="D42" i="8"/>
  <c r="C42" i="8"/>
  <c r="D41" i="8"/>
  <c r="C41" i="8"/>
  <c r="D40" i="8"/>
  <c r="C40" i="8"/>
  <c r="D39" i="8"/>
  <c r="C39" i="8"/>
  <c r="D38" i="8"/>
  <c r="C38" i="8"/>
  <c r="D37" i="8"/>
  <c r="C37" i="8"/>
  <c r="D36" i="8"/>
  <c r="C36" i="8"/>
  <c r="D35" i="8"/>
  <c r="C35" i="8"/>
  <c r="D34" i="8"/>
  <c r="C34" i="8"/>
  <c r="D33" i="8"/>
  <c r="C33" i="8"/>
  <c r="D32" i="8"/>
  <c r="C32" i="8"/>
  <c r="D31" i="8"/>
  <c r="C31" i="8"/>
  <c r="D30" i="8"/>
  <c r="C30" i="8"/>
  <c r="D29" i="8"/>
  <c r="C29" i="8"/>
  <c r="D28" i="8"/>
  <c r="C28" i="8"/>
  <c r="D27" i="8"/>
  <c r="C27" i="8"/>
  <c r="D26" i="8"/>
  <c r="C26" i="8"/>
  <c r="D25" i="8"/>
  <c r="C25" i="8"/>
  <c r="D24" i="8"/>
  <c r="C24" i="8"/>
  <c r="D23" i="8"/>
  <c r="C23" i="8"/>
  <c r="D22" i="8"/>
  <c r="C22" i="8"/>
  <c r="D21" i="8"/>
  <c r="C21" i="8"/>
  <c r="D20" i="8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D13" i="8"/>
  <c r="C13" i="8"/>
  <c r="D12" i="8"/>
  <c r="C12" i="8"/>
  <c r="D11" i="8"/>
  <c r="D10" i="8"/>
  <c r="D9" i="8"/>
  <c r="D8" i="8"/>
  <c r="D7" i="8"/>
  <c r="D6" i="8"/>
  <c r="D5" i="8"/>
  <c r="D4" i="8"/>
  <c r="L3" i="8"/>
  <c r="K3" i="8"/>
  <c r="J3" i="8"/>
  <c r="I3" i="8"/>
  <c r="H3" i="8"/>
  <c r="G3" i="8"/>
  <c r="F3" i="8"/>
  <c r="C3" i="8"/>
  <c r="D69" i="7"/>
  <c r="C69" i="7"/>
  <c r="D68" i="7"/>
  <c r="C68" i="7"/>
  <c r="D67" i="7"/>
  <c r="C67" i="7"/>
  <c r="D66" i="7"/>
  <c r="C66" i="7"/>
  <c r="D65" i="7"/>
  <c r="C65" i="7"/>
  <c r="D64" i="7"/>
  <c r="C64" i="7"/>
  <c r="D63" i="7"/>
  <c r="C63" i="7"/>
  <c r="D62" i="7"/>
  <c r="C62" i="7"/>
  <c r="D61" i="7"/>
  <c r="C61" i="7"/>
  <c r="D60" i="7"/>
  <c r="C60" i="7"/>
  <c r="D59" i="7"/>
  <c r="C59" i="7"/>
  <c r="D58" i="7"/>
  <c r="C58" i="7"/>
  <c r="D57" i="7"/>
  <c r="C57" i="7"/>
  <c r="D56" i="7"/>
  <c r="C56" i="7"/>
  <c r="D55" i="7"/>
  <c r="C55" i="7"/>
  <c r="D54" i="7"/>
  <c r="C54" i="7"/>
  <c r="D53" i="7"/>
  <c r="C53" i="7"/>
  <c r="D52" i="7"/>
  <c r="C52" i="7"/>
  <c r="D51" i="7"/>
  <c r="C51" i="7"/>
  <c r="D50" i="7"/>
  <c r="C50" i="7"/>
  <c r="D49" i="7"/>
  <c r="C49" i="7"/>
  <c r="D48" i="7"/>
  <c r="C48" i="7"/>
  <c r="D47" i="7"/>
  <c r="C47" i="7"/>
  <c r="D46" i="7"/>
  <c r="C46" i="7"/>
  <c r="D45" i="7"/>
  <c r="C45" i="7"/>
  <c r="D44" i="7"/>
  <c r="C44" i="7"/>
  <c r="D43" i="7"/>
  <c r="C43" i="7"/>
  <c r="D42" i="7"/>
  <c r="C42" i="7"/>
  <c r="D41" i="7"/>
  <c r="C41" i="7"/>
  <c r="D40" i="7"/>
  <c r="C40" i="7"/>
  <c r="D39" i="7"/>
  <c r="C39" i="7"/>
  <c r="D38" i="7"/>
  <c r="C38" i="7"/>
  <c r="D37" i="7"/>
  <c r="C37" i="7"/>
  <c r="D36" i="7"/>
  <c r="C36" i="7"/>
  <c r="D35" i="7"/>
  <c r="C35" i="7"/>
  <c r="D34" i="7"/>
  <c r="C34" i="7"/>
  <c r="D33" i="7"/>
  <c r="C33" i="7"/>
  <c r="D32" i="7"/>
  <c r="C32" i="7"/>
  <c r="D31" i="7"/>
  <c r="C31" i="7"/>
  <c r="D30" i="7"/>
  <c r="C30" i="7"/>
  <c r="D29" i="7"/>
  <c r="C29" i="7"/>
  <c r="D28" i="7"/>
  <c r="C28" i="7"/>
  <c r="D27" i="7"/>
  <c r="C27" i="7"/>
  <c r="D26" i="7"/>
  <c r="C26" i="7"/>
  <c r="D25" i="7"/>
  <c r="C25" i="7"/>
  <c r="D24" i="7"/>
  <c r="C24" i="7"/>
  <c r="D23" i="7"/>
  <c r="C23" i="7"/>
  <c r="D22" i="7"/>
  <c r="C22" i="7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D12" i="7"/>
  <c r="D11" i="7"/>
  <c r="D10" i="7"/>
  <c r="D9" i="7"/>
  <c r="D8" i="7"/>
  <c r="D7" i="7"/>
  <c r="D6" i="7"/>
  <c r="D5" i="7"/>
  <c r="D4" i="7"/>
  <c r="C4" i="7"/>
  <c r="F3" i="7"/>
  <c r="C3" i="7"/>
  <c r="D69" i="6"/>
  <c r="C69" i="6"/>
  <c r="D68" i="6"/>
  <c r="C68" i="6"/>
  <c r="D67" i="6"/>
  <c r="C67" i="6"/>
  <c r="D66" i="6"/>
  <c r="C66" i="6"/>
  <c r="D65" i="6"/>
  <c r="C65" i="6"/>
  <c r="D64" i="6"/>
  <c r="C64" i="6"/>
  <c r="D63" i="6"/>
  <c r="C63" i="6"/>
  <c r="D62" i="6"/>
  <c r="C62" i="6"/>
  <c r="D61" i="6"/>
  <c r="C61" i="6"/>
  <c r="D60" i="6"/>
  <c r="C60" i="6"/>
  <c r="D59" i="6"/>
  <c r="C59" i="6"/>
  <c r="D58" i="6"/>
  <c r="C58" i="6"/>
  <c r="D57" i="6"/>
  <c r="C57" i="6"/>
  <c r="D56" i="6"/>
  <c r="C56" i="6"/>
  <c r="D55" i="6"/>
  <c r="C55" i="6"/>
  <c r="D54" i="6"/>
  <c r="C54" i="6"/>
  <c r="D53" i="6"/>
  <c r="C53" i="6"/>
  <c r="D52" i="6"/>
  <c r="C52" i="6"/>
  <c r="D51" i="6"/>
  <c r="C51" i="6"/>
  <c r="D50" i="6"/>
  <c r="C50" i="6"/>
  <c r="D49" i="6"/>
  <c r="C49" i="6"/>
  <c r="D48" i="6"/>
  <c r="C48" i="6"/>
  <c r="D47" i="6"/>
  <c r="C47" i="6"/>
  <c r="D46" i="6"/>
  <c r="C46" i="6"/>
  <c r="D45" i="6"/>
  <c r="C45" i="6"/>
  <c r="D44" i="6"/>
  <c r="C44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D8" i="6"/>
  <c r="D7" i="6"/>
  <c r="D6" i="6"/>
  <c r="C6" i="6"/>
  <c r="D5" i="6"/>
  <c r="D4" i="6"/>
  <c r="F3" i="6"/>
  <c r="C3" i="6"/>
  <c r="D69" i="5"/>
  <c r="C69" i="5"/>
  <c r="D68" i="5"/>
  <c r="C68" i="5"/>
  <c r="D67" i="5"/>
  <c r="C67" i="5"/>
  <c r="D66" i="5"/>
  <c r="C66" i="5"/>
  <c r="D65" i="5"/>
  <c r="C65" i="5"/>
  <c r="D64" i="5"/>
  <c r="C64" i="5"/>
  <c r="D63" i="5"/>
  <c r="C63" i="5"/>
  <c r="D62" i="5"/>
  <c r="C62" i="5"/>
  <c r="D61" i="5"/>
  <c r="C61" i="5"/>
  <c r="D60" i="5"/>
  <c r="C60" i="5"/>
  <c r="D59" i="5"/>
  <c r="C59" i="5"/>
  <c r="D58" i="5"/>
  <c r="C58" i="5"/>
  <c r="D57" i="5"/>
  <c r="C57" i="5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D11" i="5"/>
  <c r="D10" i="5"/>
  <c r="D9" i="5"/>
  <c r="D8" i="5"/>
  <c r="D7" i="5"/>
  <c r="D6" i="5"/>
  <c r="D5" i="5"/>
  <c r="D4" i="5"/>
  <c r="N3" i="5"/>
  <c r="M3" i="5"/>
  <c r="L3" i="5"/>
  <c r="K3" i="5"/>
  <c r="J3" i="5"/>
  <c r="I3" i="5"/>
  <c r="H3" i="5"/>
  <c r="G3" i="5"/>
  <c r="F3" i="5"/>
  <c r="C3" i="5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D5" i="4"/>
  <c r="D4" i="4"/>
  <c r="N3" i="4"/>
  <c r="M3" i="4"/>
  <c r="L3" i="4"/>
  <c r="K3" i="4"/>
  <c r="J3" i="4"/>
  <c r="I3" i="4"/>
  <c r="H3" i="4"/>
  <c r="G3" i="4"/>
  <c r="F3" i="4"/>
  <c r="C3" i="4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comments1.xml><?xml version="1.0" encoding="utf-8"?>
<comments xmlns="http://schemas.openxmlformats.org/spreadsheetml/2006/main">
  <authors>
    <author/>
  </authors>
  <commentList>
    <comment ref="C1" authorId="0">
      <text>
        <r>
          <rPr>
            <sz val="10"/>
            <color rgb="FF000000"/>
            <rFont val="Arial"/>
          </rPr>
          <t>P1=504</t>
        </r>
      </text>
    </comment>
    <comment ref="F1" authorId="0">
      <text>
        <r>
          <rPr>
            <sz val="10"/>
            <color rgb="FF000000"/>
            <rFont val="Arial"/>
          </rPr>
          <t>P2=454</t>
        </r>
      </text>
    </comment>
    <comment ref="I1" authorId="0">
      <text>
        <r>
          <rPr>
            <sz val="10"/>
            <color rgb="FF000000"/>
            <rFont val="Arial"/>
          </rPr>
          <t>P3=457</t>
        </r>
      </text>
    </comment>
    <comment ref="L1" authorId="0">
      <text>
        <r>
          <rPr>
            <sz val="10"/>
            <color rgb="FF000000"/>
            <rFont val="Arial"/>
          </rPr>
          <t>P4=534</t>
        </r>
      </text>
    </comment>
    <comment ref="O1" authorId="0">
      <text>
        <r>
          <rPr>
            <sz val="10"/>
            <color rgb="FF000000"/>
            <rFont val="Arial"/>
          </rPr>
          <t>PA=498</t>
        </r>
      </text>
    </comment>
    <comment ref="R1" authorId="0">
      <text>
        <r>
          <rPr>
            <sz val="10"/>
            <color rgb="FF000000"/>
            <rFont val="Arial"/>
          </rPr>
          <t>PB=515</t>
        </r>
      </text>
    </comment>
    <comment ref="U1" authorId="0">
      <text>
        <r>
          <rPr>
            <sz val="10"/>
            <color rgb="FF000000"/>
            <rFont val="Arial"/>
          </rPr>
          <t>PC=528</t>
        </r>
      </text>
    </comment>
    <comment ref="X1" authorId="0">
      <text>
        <r>
          <rPr>
            <sz val="10"/>
            <color rgb="FF000000"/>
            <rFont val="Arial"/>
          </rPr>
          <t>PD=524</t>
        </r>
      </text>
    </comment>
    <comment ref="AA1" authorId="0">
      <text>
        <r>
          <rPr>
            <sz val="10"/>
            <color rgb="FF000000"/>
            <rFont val="Arial"/>
          </rPr>
          <t>PE=478</t>
        </r>
      </text>
    </comment>
    <comment ref="AD1" authorId="0">
      <text>
        <r>
          <rPr>
            <sz val="10"/>
            <color rgb="FF000000"/>
            <rFont val="Arial"/>
          </rPr>
          <t>PF=542</t>
        </r>
      </text>
    </comment>
    <comment ref="AG1" authorId="0">
      <text>
        <r>
          <rPr>
            <sz val="10"/>
            <color rgb="FF000000"/>
            <rFont val="Arial"/>
          </rPr>
          <t>PG=544</t>
        </r>
      </text>
    </comment>
    <comment ref="AJ1" authorId="0">
      <text>
        <r>
          <rPr>
            <sz val="10"/>
            <color rgb="FF000000"/>
            <rFont val="Arial"/>
          </rPr>
          <t>PH=545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L6" authorId="0">
      <text>
        <r>
          <rPr>
            <sz val="10"/>
            <color rgb="FF000000"/>
            <rFont val="Arial"/>
          </rPr>
          <t>non one student try to solve the exercise</t>
        </r>
      </text>
    </comment>
  </commentList>
</comments>
</file>

<file path=xl/sharedStrings.xml><?xml version="1.0" encoding="utf-8"?>
<sst xmlns="http://schemas.openxmlformats.org/spreadsheetml/2006/main" count="1741" uniqueCount="292">
  <si>
    <t>Code</t>
  </si>
  <si>
    <t>ID</t>
  </si>
  <si>
    <t>Similar</t>
  </si>
  <si>
    <t>Topic</t>
  </si>
  <si>
    <t>Time</t>
  </si>
  <si>
    <t>Title</t>
  </si>
  <si>
    <t>URL</t>
  </si>
  <si>
    <t>P1</t>
  </si>
  <si>
    <t>cond</t>
  </si>
  <si>
    <t>pre</t>
  </si>
  <si>
    <t>UserID</t>
  </si>
  <si>
    <t>NroUSP</t>
  </si>
  <si>
    <t>ActivityID</t>
  </si>
  <si>
    <t>StartTime</t>
  </si>
  <si>
    <t>SolvedTime</t>
  </si>
  <si>
    <t>SolvedGrade</t>
  </si>
  <si>
    <t>SpendTime</t>
  </si>
  <si>
    <t>startP1</t>
  </si>
  <si>
    <t>corrP1</t>
  </si>
  <si>
    <t>exatP1</t>
  </si>
  <si>
    <t>startP2</t>
  </si>
  <si>
    <t>corrP2</t>
  </si>
  <si>
    <t>exatP2</t>
  </si>
  <si>
    <t>startP3</t>
  </si>
  <si>
    <t>corrP3</t>
  </si>
  <si>
    <t>exatP3</t>
  </si>
  <si>
    <t>startP4</t>
  </si>
  <si>
    <t>corrP4</t>
  </si>
  <si>
    <t>exatP4</t>
  </si>
  <si>
    <t>startPA</t>
  </si>
  <si>
    <t>corrPA</t>
  </si>
  <si>
    <t>exatPA</t>
  </si>
  <si>
    <t>startPB</t>
  </si>
  <si>
    <t>corrPB</t>
  </si>
  <si>
    <t>exatPB</t>
  </si>
  <si>
    <t>startPC</t>
  </si>
  <si>
    <t>corrPC</t>
  </si>
  <si>
    <t>exatPC</t>
  </si>
  <si>
    <t>startPD</t>
  </si>
  <si>
    <t>corrPD</t>
  </si>
  <si>
    <t>exatPD</t>
  </si>
  <si>
    <t>startPE</t>
  </si>
  <si>
    <t>corrPE</t>
  </si>
  <si>
    <t>exatPE</t>
  </si>
  <si>
    <t>startPF</t>
  </si>
  <si>
    <t>corrPF</t>
  </si>
  <si>
    <t>exatPF</t>
  </si>
  <si>
    <t>startPG</t>
  </si>
  <si>
    <t>corrPG</t>
  </si>
  <si>
    <t>exatPG</t>
  </si>
  <si>
    <t>startPH</t>
  </si>
  <si>
    <t>corrPH</t>
  </si>
  <si>
    <t>exatPH</t>
  </si>
  <si>
    <t>Monitor de Temperatura Virtual</t>
  </si>
  <si>
    <t>http://localhost/~gcc/moodle/mod/vpl/editor/report.php?id=504&amp;less=1490994000&amp;grade=10</t>
  </si>
  <si>
    <t>P2</t>
  </si>
  <si>
    <t>loops</t>
  </si>
  <si>
    <t>Divisores próprios</t>
  </si>
  <si>
    <t>http://localhost/~gcc/moodle/mod/vpl/editor/report.php?id=454&amp;less=1493154000&amp;grade=10</t>
  </si>
  <si>
    <t>P3</t>
  </si>
  <si>
    <t>Máximo comprimento das sequências de números granizo</t>
  </si>
  <si>
    <t>http://localhost/~gcc/moodle/mod/vpl/editor/report.php?id=457&amp;less=1493154000&amp;grade=10</t>
  </si>
  <si>
    <t>P4</t>
  </si>
  <si>
    <t>recurs</t>
  </si>
  <si>
    <t>Polinômios de Fibonacci</t>
  </si>
  <si>
    <t>http://localhost/~gcc/moodle/mod/vpl/editor/report.php?id=534&amp;less=1495789200&amp;grade=10</t>
  </si>
  <si>
    <t>Gerador de números da sorte</t>
  </si>
  <si>
    <t>http://localhost/~gcc/moodle/mod/vpl/editor/report.php?id=538&amp;less=1495789200&amp;grade=10</t>
  </si>
  <si>
    <t>Removed</t>
  </si>
  <si>
    <t>PA</t>
  </si>
  <si>
    <t>pos</t>
  </si>
  <si>
    <t>TMB - Taxa Metabólica Basal</t>
  </si>
  <si>
    <t>http://localhost/~gcc/moodle/mod/vpl/editor/report.php?id=498&amp;grade=10</t>
  </si>
  <si>
    <t>PB</t>
  </si>
  <si>
    <t>Calculadora de dieta</t>
  </si>
  <si>
    <t>http://localhost/~gcc/moodle/mod/vpl/editor/report.php?id=515&amp;grade=10</t>
  </si>
  <si>
    <t>PC</t>
  </si>
  <si>
    <t>Sequências de potências</t>
  </si>
  <si>
    <t>http://localhost/~gcc/moodle/mod/vpl/editor/report.php?id=528&amp;grade=10</t>
  </si>
  <si>
    <t>PD</t>
  </si>
  <si>
    <t>Caixa eletrônico</t>
  </si>
  <si>
    <t>http://localhost/~gcc/moodle/mod/vpl/editor/report.php?id=524&amp;grade=10</t>
  </si>
  <si>
    <t>PE</t>
  </si>
  <si>
    <t>Contagem de semi-primos para o algoritmo RSA</t>
  </si>
  <si>
    <t>http://localhost/~gcc/moodle/mod/vpl/editor/report.php?id=478&amp;grade=10</t>
  </si>
  <si>
    <t>PF</t>
  </si>
  <si>
    <t>Planning Poker</t>
  </si>
  <si>
    <t>http://localhost/~gcc/moodle/mod/vpl/editor/report.php?id=542&amp;grade=10</t>
  </si>
  <si>
    <t>PG</t>
  </si>
  <si>
    <t>Contagem de palindromos</t>
  </si>
  <si>
    <t>http://localhost/~gcc/moodle/mod/vpl/editor/report.php?id=544&amp;grade=10</t>
  </si>
  <si>
    <t>PH</t>
  </si>
  <si>
    <t>A saída do labirinto</t>
  </si>
  <si>
    <t>http://localhost/~gcc/moodle/mod/vpl/editor/report.php?id=545&amp;grade=10</t>
  </si>
  <si>
    <t>Exam</t>
  </si>
  <si>
    <t>NUSP</t>
  </si>
  <si>
    <t>note</t>
  </si>
  <si>
    <t>total</t>
  </si>
  <si>
    <t>max</t>
  </si>
  <si>
    <t>apply-multistructural</t>
  </si>
  <si>
    <t>apply-relational</t>
  </si>
  <si>
    <t>apply-unistructural</t>
  </si>
  <si>
    <t>evaluate-multistructural</t>
  </si>
  <si>
    <t>evaluate-unistructural</t>
  </si>
  <si>
    <t>remember-multistructural</t>
  </si>
  <si>
    <t>remember-unistructural</t>
  </si>
  <si>
    <t>understand-multistructural</t>
  </si>
  <si>
    <t>understand-unistructural</t>
  </si>
  <si>
    <t>etu</t>
  </si>
  <si>
    <t>mean</t>
  </si>
  <si>
    <t>10310662</t>
  </si>
  <si>
    <t>ABS</t>
  </si>
  <si>
    <t>10277001</t>
  </si>
  <si>
    <t>9846222</t>
  </si>
  <si>
    <t>4:11</t>
  </si>
  <si>
    <t>10276654</t>
  </si>
  <si>
    <t>10200054</t>
  </si>
  <si>
    <t>10310492</t>
  </si>
  <si>
    <t>5:10</t>
  </si>
  <si>
    <t>8656201</t>
  </si>
  <si>
    <t>86562010</t>
  </si>
  <si>
    <t>9755822</t>
  </si>
  <si>
    <t>2:12</t>
  </si>
  <si>
    <t>9274382</t>
  </si>
  <si>
    <t>92743820</t>
  </si>
  <si>
    <t>3:9</t>
  </si>
  <si>
    <t>9311643</t>
  </si>
  <si>
    <t>4:12</t>
  </si>
  <si>
    <t>9368772</t>
  </si>
  <si>
    <t>9424506</t>
  </si>
  <si>
    <t>93687720</t>
  </si>
  <si>
    <t>3:4</t>
  </si>
  <si>
    <t>9921470</t>
  </si>
  <si>
    <t>9292462</t>
  </si>
  <si>
    <t>90214700</t>
  </si>
  <si>
    <t>1:3</t>
  </si>
  <si>
    <t>10276960</t>
  </si>
  <si>
    <t>10273971</t>
  </si>
  <si>
    <t>4:1</t>
  </si>
  <si>
    <t>3:7</t>
  </si>
  <si>
    <t>97055822</t>
  </si>
  <si>
    <t>5:5</t>
  </si>
  <si>
    <t>10310888</t>
  </si>
  <si>
    <t>2:11</t>
  </si>
  <si>
    <t>10310655</t>
  </si>
  <si>
    <t>2:10</t>
  </si>
  <si>
    <t>9795272</t>
  </si>
  <si>
    <t>99214700</t>
  </si>
  <si>
    <t>10276852</t>
  </si>
  <si>
    <t>2:13</t>
  </si>
  <si>
    <t>10277040</t>
  </si>
  <si>
    <t>9082496</t>
  </si>
  <si>
    <t>5:3</t>
  </si>
  <si>
    <t>9805341</t>
  </si>
  <si>
    <t>10310676</t>
  </si>
  <si>
    <t>0</t>
  </si>
  <si>
    <t>5:6</t>
  </si>
  <si>
    <t>10276907</t>
  </si>
  <si>
    <t>5:11</t>
  </si>
  <si>
    <t>9436110</t>
  </si>
  <si>
    <t>907</t>
  </si>
  <si>
    <t>1:4</t>
  </si>
  <si>
    <t>5:8</t>
  </si>
  <si>
    <t>10276737</t>
  </si>
  <si>
    <t>5:7</t>
  </si>
  <si>
    <t>10352030</t>
  </si>
  <si>
    <t>1:12</t>
  </si>
  <si>
    <t>9790781</t>
  </si>
  <si>
    <t>7810</t>
  </si>
  <si>
    <t>2:3</t>
  </si>
  <si>
    <t>10351992</t>
  </si>
  <si>
    <t>9360772</t>
  </si>
  <si>
    <t>1:5</t>
  </si>
  <si>
    <t>10277015</t>
  </si>
  <si>
    <t>1:8</t>
  </si>
  <si>
    <t>4:7</t>
  </si>
  <si>
    <t>698531</t>
  </si>
  <si>
    <t>3:5</t>
  </si>
  <si>
    <t>3:1</t>
  </si>
  <si>
    <t>2:5</t>
  </si>
  <si>
    <t>10276932</t>
  </si>
  <si>
    <t>97907810</t>
  </si>
  <si>
    <t>2:7</t>
  </si>
  <si>
    <t>5:4</t>
  </si>
  <si>
    <t>2:8</t>
  </si>
  <si>
    <t>10277036</t>
  </si>
  <si>
    <t>1:9</t>
  </si>
  <si>
    <t>10276661</t>
  </si>
  <si>
    <t>5:1</t>
  </si>
  <si>
    <t>2:6</t>
  </si>
  <si>
    <t>9805320</t>
  </si>
  <si>
    <t>90824960</t>
  </si>
  <si>
    <t>3:2</t>
  </si>
  <si>
    <t>10377538</t>
  </si>
  <si>
    <t>3:10</t>
  </si>
  <si>
    <t>3:6</t>
  </si>
  <si>
    <t>10775000</t>
  </si>
  <si>
    <t>1:10</t>
  </si>
  <si>
    <t>9065750</t>
  </si>
  <si>
    <t>5:9</t>
  </si>
  <si>
    <t>10276911</t>
  </si>
  <si>
    <t>1:1</t>
  </si>
  <si>
    <t>10260351</t>
  </si>
  <si>
    <t>1:7</t>
  </si>
  <si>
    <t>10310342</t>
  </si>
  <si>
    <t>4:2</t>
  </si>
  <si>
    <t>9795185</t>
  </si>
  <si>
    <t>97951850</t>
  </si>
  <si>
    <t>10276682</t>
  </si>
  <si>
    <t>9363926</t>
  </si>
  <si>
    <t>1:13</t>
  </si>
  <si>
    <t>10277022</t>
  </si>
  <si>
    <t>93639260</t>
  </si>
  <si>
    <t>2:2</t>
  </si>
  <si>
    <t>10276974</t>
  </si>
  <si>
    <t>4:5</t>
  </si>
  <si>
    <t>10276949</t>
  </si>
  <si>
    <t>2:4</t>
  </si>
  <si>
    <t>10276720</t>
  </si>
  <si>
    <t>4:10</t>
  </si>
  <si>
    <t>3:12</t>
  </si>
  <si>
    <t>2:1</t>
  </si>
  <si>
    <t>1:2</t>
  </si>
  <si>
    <t>5:2</t>
  </si>
  <si>
    <t>10310551</t>
  </si>
  <si>
    <t>4:8</t>
  </si>
  <si>
    <t>10276866</t>
  </si>
  <si>
    <t>3:3</t>
  </si>
  <si>
    <t>10276953</t>
  </si>
  <si>
    <t>10276762</t>
  </si>
  <si>
    <t>4:3</t>
  </si>
  <si>
    <t>10276831</t>
  </si>
  <si>
    <t>4:9</t>
  </si>
  <si>
    <t>206831</t>
  </si>
  <si>
    <t>9760151</t>
  </si>
  <si>
    <t>2:14</t>
  </si>
  <si>
    <t>97601510</t>
  </si>
  <si>
    <t>10262669</t>
  </si>
  <si>
    <t>1:11</t>
  </si>
  <si>
    <t>10310721</t>
  </si>
  <si>
    <t>5:12</t>
  </si>
  <si>
    <t>600060</t>
  </si>
  <si>
    <t>9285227</t>
  </si>
  <si>
    <t>285027</t>
  </si>
  <si>
    <t>9842913</t>
  </si>
  <si>
    <t>1:6</t>
  </si>
  <si>
    <t>98429130</t>
  </si>
  <si>
    <t>10276995</t>
  </si>
  <si>
    <t>2:9</t>
  </si>
  <si>
    <t>10276928</t>
  </si>
  <si>
    <t>10276981</t>
  </si>
  <si>
    <t>10310759</t>
  </si>
  <si>
    <t>3:8</t>
  </si>
  <si>
    <t>10351971</t>
  </si>
  <si>
    <t>3:11</t>
  </si>
  <si>
    <t>4:4</t>
  </si>
  <si>
    <t>10377688</t>
  </si>
  <si>
    <t>4:6</t>
  </si>
  <si>
    <t>10310700</t>
  </si>
  <si>
    <t>10310471</t>
  </si>
  <si>
    <t>10276675</t>
  </si>
  <si>
    <t>98053410</t>
  </si>
  <si>
    <t>9311640</t>
  </si>
  <si>
    <t>analyse-relational</t>
  </si>
  <si>
    <t>97000800</t>
  </si>
  <si>
    <t>7000000</t>
  </si>
  <si>
    <t>200000</t>
  </si>
  <si>
    <t>92743000</t>
  </si>
  <si>
    <t>10277010</t>
  </si>
  <si>
    <t>900000</t>
  </si>
  <si>
    <t>10310490</t>
  </si>
  <si>
    <t>9800000</t>
  </si>
  <si>
    <t>8000000</t>
  </si>
  <si>
    <t>10270071</t>
  </si>
  <si>
    <t>93600000</t>
  </si>
  <si>
    <t>3:13</t>
  </si>
  <si>
    <t>analyse-relational-1</t>
  </si>
  <si>
    <t>analyse-relational-2</t>
  </si>
  <si>
    <t>apply-multistructural-1</t>
  </si>
  <si>
    <t>apply-multistructural-2</t>
  </si>
  <si>
    <t>understand-relational</t>
  </si>
  <si>
    <t>10310650</t>
  </si>
  <si>
    <t>97550822</t>
  </si>
  <si>
    <t>93630260</t>
  </si>
  <si>
    <t>9308772</t>
  </si>
  <si>
    <t>9065050</t>
  </si>
  <si>
    <t>97558220</t>
  </si>
  <si>
    <t>9002490</t>
  </si>
  <si>
    <t>10277000</t>
  </si>
  <si>
    <t>10000000</t>
  </si>
  <si>
    <t>10270949</t>
  </si>
  <si>
    <t>10310808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</si>
</sst>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#,###"/>
  </numFmts>
  <fonts count="6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name val="Arial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6E6FF"/>
        <bgColor rgb="FFE6E6FF"/>
      </patternFill>
    </fill>
    <fill>
      <patternFill patternType="solid">
        <fgColor rgb="FFFFDDC4"/>
        <bgColor rgb="FFFFDDC4"/>
      </patternFill>
    </fill>
    <fill>
      <patternFill patternType="solid">
        <fgColor rgb="FFB3B3B3"/>
        <bgColor rgb="FFB3B3B3"/>
      </patternFill>
    </fill>
    <fill>
      <patternFill patternType="solid">
        <fgColor rgb="FFFFFF99"/>
        <bgColor rgb="FFFFFF99"/>
      </patternFill>
    </fill>
    <fill>
      <patternFill patternType="solid">
        <fgColor rgb="FFFFBABA"/>
        <bgColor rgb="FFFFBABA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2" borderId="0" xfId="0" applyFont="1" applyFill="1"/>
    <xf numFmtId="0" fontId="1" fillId="2" borderId="0" xfId="0" applyFont="1" applyFill="1" applyAlignment="1"/>
    <xf numFmtId="0" fontId="1" fillId="2" borderId="0" xfId="0" applyFont="1" applyFill="1" applyAlignment="1"/>
    <xf numFmtId="0" fontId="3" fillId="2" borderId="0" xfId="0" applyFont="1" applyFill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textRotation="90"/>
    </xf>
    <xf numFmtId="0" fontId="4" fillId="3" borderId="1" xfId="0" applyFont="1" applyFill="1" applyBorder="1" applyAlignment="1">
      <alignment horizontal="center" textRotation="90"/>
    </xf>
    <xf numFmtId="0" fontId="5" fillId="0" borderId="0" xfId="0" applyFont="1"/>
    <xf numFmtId="164" fontId="5" fillId="0" borderId="1" xfId="0" applyNumberFormat="1" applyFont="1" applyBorder="1"/>
    <xf numFmtId="0" fontId="5" fillId="0" borderId="1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9" fontId="5" fillId="0" borderId="1" xfId="0" applyNumberFormat="1" applyFont="1" applyBorder="1" applyAlignment="1">
      <alignment horizontal="left"/>
    </xf>
    <xf numFmtId="165" fontId="5" fillId="5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9" fontId="5" fillId="0" borderId="2" xfId="0" applyNumberFormat="1" applyFont="1" applyBorder="1" applyAlignment="1">
      <alignment horizontal="left"/>
    </xf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165100</xdr:colOff>
      <xdr:row>70</xdr:row>
      <xdr:rowOff>0</xdr:rowOff>
    </xdr:to>
    <xdr:sp macro="" textlink="">
      <xdr:nvSpPr>
        <xdr:cNvPr id="2060" name="Rectangle 1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469900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localhost/~gcc/moodle/mod/vpl/editor/report.php?id=542&amp;grade=10" TargetMode="External"/><Relationship Id="rId12" Type="http://schemas.openxmlformats.org/officeDocument/2006/relationships/hyperlink" Target="http://localhost/~gcc/moodle/mod/vpl/editor/report.php?id=544&amp;grade=10" TargetMode="External"/><Relationship Id="rId13" Type="http://schemas.openxmlformats.org/officeDocument/2006/relationships/hyperlink" Target="http://localhost/~gcc/moodle/mod/vpl/editor/report.php?id=545&amp;grade=10" TargetMode="External"/><Relationship Id="rId14" Type="http://schemas.openxmlformats.org/officeDocument/2006/relationships/drawing" Target="../drawings/drawing2.xml"/><Relationship Id="rId15" Type="http://schemas.openxmlformats.org/officeDocument/2006/relationships/vmlDrawing" Target="../drawings/vmlDrawing2.vml"/><Relationship Id="rId16" Type="http://schemas.openxmlformats.org/officeDocument/2006/relationships/comments" Target="../comments2.xml"/><Relationship Id="rId1" Type="http://schemas.openxmlformats.org/officeDocument/2006/relationships/hyperlink" Target="http://localhost/~gcc/moodle/mod/vpl/editor/report.php?id=504&amp;less=1490994000&amp;grade=10" TargetMode="External"/><Relationship Id="rId2" Type="http://schemas.openxmlformats.org/officeDocument/2006/relationships/hyperlink" Target="http://localhost/~gcc/moodle/mod/vpl/editor/report.php?id=454&amp;less=1493154000&amp;grade=10" TargetMode="External"/><Relationship Id="rId3" Type="http://schemas.openxmlformats.org/officeDocument/2006/relationships/hyperlink" Target="http://localhost/~gcc/moodle/mod/vpl/editor/report.php?id=457&amp;less=1493154000&amp;grade=10" TargetMode="External"/><Relationship Id="rId4" Type="http://schemas.openxmlformats.org/officeDocument/2006/relationships/hyperlink" Target="http://localhost/~gcc/moodle/mod/vpl/editor/report.php?id=534&amp;less=1495789200&amp;grade=10" TargetMode="External"/><Relationship Id="rId5" Type="http://schemas.openxmlformats.org/officeDocument/2006/relationships/hyperlink" Target="http://localhost/~gcc/moodle/mod/vpl/editor/report.php?id=538&amp;less=1495789200&amp;grade=10" TargetMode="External"/><Relationship Id="rId6" Type="http://schemas.openxmlformats.org/officeDocument/2006/relationships/hyperlink" Target="http://localhost/~gcc/moodle/mod/vpl/editor/report.php?id=498&amp;grade=10" TargetMode="External"/><Relationship Id="rId7" Type="http://schemas.openxmlformats.org/officeDocument/2006/relationships/hyperlink" Target="http://localhost/~gcc/moodle/mod/vpl/editor/report.php?id=515&amp;grade=10" TargetMode="External"/><Relationship Id="rId8" Type="http://schemas.openxmlformats.org/officeDocument/2006/relationships/hyperlink" Target="http://localhost/~gcc/moodle/mod/vpl/editor/report.php?id=528&amp;grade=10" TargetMode="External"/><Relationship Id="rId9" Type="http://schemas.openxmlformats.org/officeDocument/2006/relationships/hyperlink" Target="http://localhost/~gcc/moodle/mod/vpl/editor/report.php?id=524&amp;grade=10" TargetMode="External"/><Relationship Id="rId10" Type="http://schemas.openxmlformats.org/officeDocument/2006/relationships/hyperlink" Target="http://localhost/~gcc/moodle/mod/vpl/editor/report.php?id=478&amp;grade=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000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10.5" customWidth="1"/>
    <col min="2" max="2" width="12.1640625" customWidth="1"/>
    <col min="3" max="3" width="14.5" customWidth="1"/>
    <col min="4" max="4" width="7.83203125" customWidth="1"/>
    <col min="5" max="5" width="8.5" customWidth="1"/>
    <col min="7" max="8" width="9.5" customWidth="1"/>
    <col min="13" max="13" width="10" customWidth="1"/>
    <col min="14" max="14" width="9.5" customWidth="1"/>
  </cols>
  <sheetData>
    <row r="1" spans="1:39" ht="15.75" customHeight="1" x14ac:dyDescent="0.15">
      <c r="A1" s="2" t="s">
        <v>10</v>
      </c>
      <c r="B1" s="2" t="s">
        <v>11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  <c r="AG1" s="1" t="s">
        <v>47</v>
      </c>
      <c r="AH1" s="1" t="s">
        <v>48</v>
      </c>
      <c r="AI1" s="1" t="s">
        <v>49</v>
      </c>
      <c r="AJ1" s="1" t="s">
        <v>50</v>
      </c>
      <c r="AK1" s="1" t="s">
        <v>51</v>
      </c>
      <c r="AL1" s="1" t="s">
        <v>52</v>
      </c>
    </row>
    <row r="2" spans="1:39" ht="15.75" customHeight="1" x14ac:dyDescent="0.15">
      <c r="A2" s="2">
        <v>10171</v>
      </c>
      <c r="B2" s="2">
        <v>698531</v>
      </c>
      <c r="C2" t="str">
        <f ca="1">IFERROR(__xludf.DUMMYFUNCTION("IFERROR(FILTER('VPLData(raw)'!C:C,'VPLData(raw)'!B:B=504,'VPLData(raw)'!A:A=A2),0)"),"1490868873")</f>
        <v>1490868873</v>
      </c>
      <c r="D2" s="3" t="str">
        <f ca="1">IFERROR(__xludf.DUMMYFUNCTION("IFERROR(IF(C2&gt;0, FILTER('VPLData(raw)'!E:E,'VPLData(raw)'!B:B=504,'VPLData(raw)'!A:A=A2), 0),0)"),"10")</f>
        <v>10</v>
      </c>
      <c r="E2" t="str">
        <f ca="1">IFERROR(__xludf.DUMMYFUNCTION("IFERROR(FILTER('VPLData(raw)'!F:F,'VPLData(raw)'!B:B=504,'VPLData(raw)'!A:A=A2),0)"),"1507")</f>
        <v>1507</v>
      </c>
      <c r="F2" t="str">
        <f ca="1">IFERROR(__xludf.DUMMYFUNCTION("IFERROR(FILTER('VPLData(raw)'!C:C,'VPLData(raw)'!B:B=454,'VPLData(raw)'!A:A=A2),0)"),"1491847467")</f>
        <v>1491847467</v>
      </c>
      <c r="G2" t="str">
        <f ca="1">IFERROR(__xludf.DUMMYFUNCTION("IFERROR(IF(F2&gt;0, FILTER('VPLData(raw)'!E:E,'VPLData(raw)'!B:B=454,'VPLData(raw)'!A:A=A2), 0),0)"),"10")</f>
        <v>10</v>
      </c>
      <c r="H2" t="str">
        <f ca="1">IFERROR(__xludf.DUMMYFUNCTION("IFERROR(FILTER('VPLData(raw)'!F:F,'VPLData(raw)'!B:B=454,'VPLData(raw)'!A:A=A2),0)"),"408")</f>
        <v>408</v>
      </c>
      <c r="I2" t="str">
        <f ca="1">IFERROR(__xludf.DUMMYFUNCTION("IFERROR(FILTER('VPLData(raw)'!C:C,'VPLData(raw)'!B:B=457,'VPLData(raw)'!A:A=A2),0)"),"1491848894")</f>
        <v>1491848894</v>
      </c>
      <c r="J2" t="str">
        <f ca="1">IFERROR(__xludf.DUMMYFUNCTION("IFERROR(IF(I2&gt;0, FILTER('VPLData(raw)'!E:E,'VPLData(raw)'!B:B=457,'VPLData(raw)'!A:A=A2), 0),0)"),"10")</f>
        <v>10</v>
      </c>
      <c r="K2" t="str">
        <f ca="1">IFERROR(__xludf.DUMMYFUNCTION("IFERROR(FILTER('VPLData(raw)'!F:F,'VPLData(raw)'!B:B=457,'VPLData(raw)'!A:A=A2),0)"),"1138")</f>
        <v>1138</v>
      </c>
      <c r="L2" t="str">
        <f ca="1">IFERROR(__xludf.DUMMYFUNCTION("IFERROR(FILTER('VPLData(raw)'!C:C,'VPLData(raw)'!B:B=534,'VPLData(raw)'!A:A=A2),0)"),"1495670139")</f>
        <v>1495670139</v>
      </c>
      <c r="M2" t="str">
        <f ca="1">IFERROR(__xludf.DUMMYFUNCTION("IFERROR(IF(L2&gt;0, FILTER('VPLData(raw)'!E:E,'VPLData(raw)'!B:B=534,'VPLData(raw)'!A:A=A2), 0),0)"),"10")</f>
        <v>10</v>
      </c>
      <c r="N2" t="str">
        <f ca="1">IFERROR(__xludf.DUMMYFUNCTION("IFERROR(FILTER('VPLData(raw)'!F:F,'VPLData(raw)'!B:B=534,'VPLData(raw)'!A:A=A2),0)"),"9869")</f>
        <v>9869</v>
      </c>
      <c r="O2" t="str">
        <f ca="1">IFERROR(__xludf.DUMMYFUNCTION("IFERROR(FILTER('VPLData(raw)'!C:C,'VPLData(raw)'!B:B=498,'VPLData(raw)'!A:A=A2),0)"),"1492868308")</f>
        <v>1492868308</v>
      </c>
      <c r="P2" t="str">
        <f ca="1">IFERROR(__xludf.DUMMYFUNCTION("IFERROR(IF(O2&gt;0, FILTER('VPLData(raw)'!E:E,'VPLData(raw)'!B:B=498,'VPLData(raw)'!A:A=A2), 0),0)"),"10")</f>
        <v>10</v>
      </c>
      <c r="Q2" t="str">
        <f ca="1">IFERROR(__xludf.DUMMYFUNCTION("IFERROR(FILTER('VPLData(raw)'!F:F,'VPLData(raw)'!B:B=498,'VPLData(raw)'!A:A=A2),0)"),"743")</f>
        <v>743</v>
      </c>
      <c r="R2" t="str">
        <f ca="1">IFERROR(__xludf.DUMMYFUNCTION("IFERROR(FILTER('VPLData(raw)'!C:C,'VPLData(raw)'!B:B=515,'VPLData(raw)'!A:A=A2),0)"),"1492869256")</f>
        <v>1492869256</v>
      </c>
      <c r="S2" t="str">
        <f ca="1">IFERROR(__xludf.DUMMYFUNCTION("IFERROR(IF(R2&gt;0, FILTER('VPLData(raw)'!E:E,'VPLData(raw)'!B:B=515,'VPLData(raw)'!A:A=A2), 0),0)"),"10")</f>
        <v>10</v>
      </c>
      <c r="T2" t="str">
        <f ca="1">IFERROR(__xludf.DUMMYFUNCTION("IFERROR(FILTER('VPLData(raw)'!F:F,'VPLData(raw)'!B:B=515,'VPLData(raw)'!A:A=A2),0)"),"842")</f>
        <v>842</v>
      </c>
      <c r="U2" t="str">
        <f ca="1">IFERROR(__xludf.DUMMYFUNCTION("IFERROR(FILTER('VPLData(raw)'!C:C,'VPLData(raw)'!B:B=528,'VPLData(raw)'!A:A=A2),0)"),"1494633914")</f>
        <v>1494633914</v>
      </c>
      <c r="V2" t="str">
        <f ca="1">IFERROR(__xludf.DUMMYFUNCTION("IFERROR(IF(U2&gt;0, FILTER('VPLData(raw)'!E:E,'VPLData(raw)'!B:B=528,'VPLData(raw)'!A:A=A2), 0),0)"),"10")</f>
        <v>10</v>
      </c>
      <c r="W2" t="str">
        <f ca="1">IFERROR(__xludf.DUMMYFUNCTION("IFERROR(FILTER('VPLData(raw)'!F:F,'VPLData(raw)'!B:B=528,'VPLData(raw)'!A:A=A2),0)"),"306")</f>
        <v>306</v>
      </c>
      <c r="X2" t="str">
        <f ca="1">IFERROR(__xludf.DUMMYFUNCTION("IFERROR(FILTER('VPLData(raw)'!C:C,'VPLData(raw)'!B:B=524,'VPLData(raw)'!A:A=A2),0)"),"1494634346")</f>
        <v>1494634346</v>
      </c>
      <c r="Y2" t="str">
        <f ca="1">IFERROR(__xludf.DUMMYFUNCTION("IFERROR(IF(X2&gt;0, FILTER('VPLData(raw)'!E:E,'VPLData(raw)'!B:B=524,'VPLData(raw)'!A:A=A2), 0),0)"),"10")</f>
        <v>10</v>
      </c>
      <c r="Z2" t="str">
        <f ca="1">IFERROR(__xludf.DUMMYFUNCTION("IFERROR(FILTER('VPLData(raw)'!F:F,'VPLData(raw)'!B:B=524,'VPLData(raw)'!A:A=A2),0)"),"1390")</f>
        <v>1390</v>
      </c>
      <c r="AA2" t="str">
        <f ca="1">IFERROR(__xludf.DUMMYFUNCTION("IFERROR(FILTER('VPLData(raw)'!C:C,'VPLData(raw)'!B:B=478,'VPLData(raw)'!A:A=A2),0)"),"1494635899")</f>
        <v>1494635899</v>
      </c>
      <c r="AB2" t="str">
        <f ca="1">IFERROR(__xludf.DUMMYFUNCTION("IFERROR(IF(AA2&gt;0, FILTER('VPLData(raw)'!E:E,'VPLData(raw)'!B:B=478,'VPLData(raw)'!A:A=A2), 0),0)"),"10")</f>
        <v>10</v>
      </c>
      <c r="AC2" t="str">
        <f ca="1">IFERROR(__xludf.DUMMYFUNCTION("IFERROR(FILTER('VPLData(raw)'!F:F,'VPLData(raw)'!B:B=478,'VPLData(raw)'!A:A=A2),0)"),"2382")</f>
        <v>2382</v>
      </c>
      <c r="AD2" t="str">
        <f ca="1">IFERROR(__xludf.DUMMYFUNCTION("IFERROR(FILTER('VPLData(raw)'!C:C,'VPLData(raw)'!B:B=542,'VPLData(raw)'!A:A=A2),0)"),"1498085984")</f>
        <v>1498085984</v>
      </c>
      <c r="AE2" t="str">
        <f ca="1">IFERROR(__xludf.DUMMYFUNCTION("IFERROR(IF(AD2&gt;0, FILTER('VPLData(raw)'!E:E,'VPLData(raw)'!B:B=542,'VPLData(raw)'!A:A=A2), 0),0)"),"10")</f>
        <v>10</v>
      </c>
      <c r="AF2" t="str">
        <f ca="1">IFERROR(__xludf.DUMMYFUNCTION("IFERROR(FILTER('VPLData(raw)'!F:F,'VPLData(raw)'!B:B=542,'VPLData(raw)'!A:A=A2),0)"),"1456")</f>
        <v>1456</v>
      </c>
      <c r="AG2" t="str">
        <f ca="1">IFERROR(__xludf.DUMMYFUNCTION("IFERROR(FILTER('VPLData(raw)'!C:C,'VPLData(raw)'!B:B=544,'VPLData(raw)'!A:A=A2),0)"),"1498088009")</f>
        <v>1498088009</v>
      </c>
      <c r="AH2" t="str">
        <f ca="1">IFERROR(__xludf.DUMMYFUNCTION("IFERROR(IF(AG2&gt;0, FILTER('VPLData(raw)'!E:E,'VPLData(raw)'!B:B=544,'VPLData(raw)'!A:A=A2), 0),0)"),"10")</f>
        <v>10</v>
      </c>
      <c r="AI2" t="str">
        <f ca="1">IFERROR(__xludf.DUMMYFUNCTION("IFERROR(FILTER('VPLData(raw)'!F:F,'VPLData(raw)'!B:B=544,'VPLData(raw)'!A:A=A2),0)"),"5514")</f>
        <v>5514</v>
      </c>
      <c r="AJ2" t="str">
        <f ca="1">IFERROR(__xludf.DUMMYFUNCTION("IFERROR(FILTER('VPLData(raw)'!C:C,'VPLData(raw)'!B:B=545,'VPLData(raw)'!A:A=A2),0)"),"1498094174")</f>
        <v>1498094174</v>
      </c>
      <c r="AK2" t="str">
        <f ca="1">IFERROR(__xludf.DUMMYFUNCTION("IFERROR(IF(AJ2&gt;0, FILTER('VPLData(raw)'!E:E,'VPLData(raw)'!B:B=545,'VPLData(raw)'!A:A=A2), 0),0)"),"10")</f>
        <v>10</v>
      </c>
      <c r="AL2" t="str">
        <f ca="1">IFERROR(__xludf.DUMMYFUNCTION("IFERROR(FILTER('VPLData(raw)'!F:F,'VPLData(raw)'!B:B=545,'VPLData(raw)'!A:A=A2),0)"),"9967")</f>
        <v>9967</v>
      </c>
    </row>
    <row r="3" spans="1:39" ht="15.75" customHeight="1" x14ac:dyDescent="0.15">
      <c r="A3" s="2">
        <v>10178</v>
      </c>
      <c r="B3" s="2">
        <v>8656201</v>
      </c>
      <c r="C3" t="str">
        <f ca="1">IFERROR(__xludf.DUMMYFUNCTION("IFERROR(FILTER('VPLData(raw)'!C:C,'VPLData(raw)'!B:B=504,'VPLData(raw)'!A:A=A3),0)"),"1490729390")</f>
        <v>1490729390</v>
      </c>
      <c r="D3" s="3" t="str">
        <f ca="1">IFERROR(__xludf.DUMMYFUNCTION("IFERROR(IF(C3&gt;0, FILTER('VPLData(raw)'!E:E,'VPLData(raw)'!B:B=504,'VPLData(raw)'!A:A=A3), 0),0)"),"10")</f>
        <v>10</v>
      </c>
      <c r="E3" t="str">
        <f ca="1">IFERROR(__xludf.DUMMYFUNCTION("IFERROR(FILTER('VPLData(raw)'!F:F,'VPLData(raw)'!B:B=504,'VPLData(raw)'!A:A=A3),0)"),"5240")</f>
        <v>5240</v>
      </c>
      <c r="F3" t="str">
        <f ca="1">IFERROR(__xludf.DUMMYFUNCTION("IFERROR(FILTER('VPLData(raw)'!C:C,'VPLData(raw)'!B:B=454,'VPLData(raw)'!A:A=A3),0)"),"1491346451")</f>
        <v>1491346451</v>
      </c>
      <c r="G3" t="str">
        <f ca="1">IFERROR(__xludf.DUMMYFUNCTION("IFERROR(IF(F3&gt;0, FILTER('VPLData(raw)'!E:E,'VPLData(raw)'!B:B=454,'VPLData(raw)'!A:A=A3), 0),0)"),"10")</f>
        <v>10</v>
      </c>
      <c r="H3" t="str">
        <f ca="1">IFERROR(__xludf.DUMMYFUNCTION("IFERROR(FILTER('VPLData(raw)'!F:F,'VPLData(raw)'!B:B=454,'VPLData(raw)'!A:A=A3),0)"),"2523")</f>
        <v>2523</v>
      </c>
      <c r="I3" t="str">
        <f ca="1">IFERROR(__xludf.DUMMYFUNCTION("IFERROR(FILTER('VPLData(raw)'!C:C,'VPLData(raw)'!B:B=457,'VPLData(raw)'!A:A=A3),0)"),"1492556739")</f>
        <v>1492556739</v>
      </c>
      <c r="J3" t="str">
        <f ca="1">IFERROR(__xludf.DUMMYFUNCTION("IFERROR(IF(I3&gt;0, FILTER('VPLData(raw)'!E:E,'VPLData(raw)'!B:B=457,'VPLData(raw)'!A:A=A3), 0),0)"),"10")</f>
        <v>10</v>
      </c>
      <c r="K3" t="str">
        <f ca="1">IFERROR(__xludf.DUMMYFUNCTION("IFERROR(FILTER('VPLData(raw)'!F:F,'VPLData(raw)'!B:B=457,'VPLData(raw)'!A:A=A3),0)"),"1481")</f>
        <v>1481</v>
      </c>
      <c r="L3" t="str">
        <f ca="1">IFERROR(__xludf.DUMMYFUNCTION("IFERROR(FILTER('VPLData(raw)'!C:C,'VPLData(raw)'!B:B=534,'VPLData(raw)'!A:A=A3),0)"),"0")</f>
        <v>0</v>
      </c>
      <c r="M3" t="str">
        <f ca="1">IFERROR(__xludf.DUMMYFUNCTION("IFERROR(IF(L3&gt;0, FILTER('VPLData(raw)'!E:E,'VPLData(raw)'!B:B=534,'VPLData(raw)'!A:A=A3), 0),0)"),"0")</f>
        <v>0</v>
      </c>
      <c r="N3" t="str">
        <f ca="1">IFERROR(__xludf.DUMMYFUNCTION("IFERROR(FILTER('VPLData(raw)'!F:F,'VPLData(raw)'!B:B=534,'VPLData(raw)'!A:A=A3),0)"),"0")</f>
        <v>0</v>
      </c>
      <c r="O3" t="str">
        <f ca="1">IFERROR(__xludf.DUMMYFUNCTION("IFERROR(FILTER('VPLData(raw)'!C:C,'VPLData(raw)'!B:B=498,'VPLData(raw)'!A:A=A3),0)"),"1492717778")</f>
        <v>1492717778</v>
      </c>
      <c r="P3" t="str">
        <f ca="1">IFERROR(__xludf.DUMMYFUNCTION("IFERROR(IF(O3&gt;0, FILTER('VPLData(raw)'!E:E,'VPLData(raw)'!B:B=498,'VPLData(raw)'!A:A=A3), 0),0)"),"10")</f>
        <v>10</v>
      </c>
      <c r="Q3" t="str">
        <f ca="1">IFERROR(__xludf.DUMMYFUNCTION("IFERROR(FILTER('VPLData(raw)'!F:F,'VPLData(raw)'!B:B=498,'VPLData(raw)'!A:A=A3),0)"),"235")</f>
        <v>235</v>
      </c>
      <c r="R3" t="str">
        <f ca="1">IFERROR(__xludf.DUMMYFUNCTION("IFERROR(FILTER('VPLData(raw)'!C:C,'VPLData(raw)'!B:B=515,'VPLData(raw)'!A:A=A3),0)"),"1492718267")</f>
        <v>1492718267</v>
      </c>
      <c r="S3" t="str">
        <f ca="1">IFERROR(__xludf.DUMMYFUNCTION("IFERROR(IF(R3&gt;0, FILTER('VPLData(raw)'!E:E,'VPLData(raw)'!B:B=515,'VPLData(raw)'!A:A=A3), 0),0)"),"10")</f>
        <v>10</v>
      </c>
      <c r="T3" t="str">
        <f ca="1">IFERROR(__xludf.DUMMYFUNCTION("IFERROR(FILTER('VPLData(raw)'!F:F,'VPLData(raw)'!B:B=515,'VPLData(raw)'!A:A=A3),0)"),"794")</f>
        <v>794</v>
      </c>
      <c r="U3" t="str">
        <f ca="1">IFERROR(__xludf.DUMMYFUNCTION("IFERROR(FILTER('VPLData(raw)'!C:C,'VPLData(raw)'!B:B=528,'VPLData(raw)'!A:A=A3),0)"),"1495826643")</f>
        <v>1495826643</v>
      </c>
      <c r="V3" t="str">
        <f ca="1">IFERROR(__xludf.DUMMYFUNCTION("IFERROR(IF(U3&gt;0, FILTER('VPLData(raw)'!E:E,'VPLData(raw)'!B:B=528,'VPLData(raw)'!A:A=A3), 0),0)"),"10")</f>
        <v>10</v>
      </c>
      <c r="W3" t="str">
        <f ca="1">IFERROR(__xludf.DUMMYFUNCTION("IFERROR(FILTER('VPLData(raw)'!F:F,'VPLData(raw)'!B:B=528,'VPLData(raw)'!A:A=A3),0)"),"336")</f>
        <v>336</v>
      </c>
      <c r="X3" t="str">
        <f ca="1">IFERROR(__xludf.DUMMYFUNCTION("IFERROR(FILTER('VPLData(raw)'!C:C,'VPLData(raw)'!B:B=524,'VPLData(raw)'!A:A=A3),0)"),"1496018292")</f>
        <v>1496018292</v>
      </c>
      <c r="Y3" t="str">
        <f ca="1">IFERROR(__xludf.DUMMYFUNCTION("IFERROR(IF(X3&gt;0, FILTER('VPLData(raw)'!E:E,'VPLData(raw)'!B:B=524,'VPLData(raw)'!A:A=A3), 0),0)"),"10")</f>
        <v>10</v>
      </c>
      <c r="Z3" t="str">
        <f ca="1">IFERROR(__xludf.DUMMYFUNCTION("IFERROR(FILTER('VPLData(raw)'!F:F,'VPLData(raw)'!B:B=524,'VPLData(raw)'!A:A=A3),0)"),"343")</f>
        <v>343</v>
      </c>
      <c r="AA3" t="str">
        <f ca="1">IFERROR(__xludf.DUMMYFUNCTION("IFERROR(FILTER('VPLData(raw)'!C:C,'VPLData(raw)'!B:B=478,'VPLData(raw)'!A:A=A3),0)"),"1496280549")</f>
        <v>1496280549</v>
      </c>
      <c r="AB3" t="str">
        <f ca="1">IFERROR(__xludf.DUMMYFUNCTION("IFERROR(IF(AA3&gt;0, FILTER('VPLData(raw)'!E:E,'VPLData(raw)'!B:B=478,'VPLData(raw)'!A:A=A3), 0),0)"),"10")</f>
        <v>10</v>
      </c>
      <c r="AC3" t="str">
        <f ca="1">IFERROR(__xludf.DUMMYFUNCTION("IFERROR(FILTER('VPLData(raw)'!F:F,'VPLData(raw)'!B:B=478,'VPLData(raw)'!A:A=A3),0)"),"961")</f>
        <v>961</v>
      </c>
      <c r="AD3" t="str">
        <f ca="1">IFERROR(__xludf.DUMMYFUNCTION("IFERROR(FILTER('VPLData(raw)'!C:C,'VPLData(raw)'!B:B=542,'VPLData(raw)'!A:A=A3),0)"),"1499306185")</f>
        <v>1499306185</v>
      </c>
      <c r="AE3" t="str">
        <f ca="1">IFERROR(__xludf.DUMMYFUNCTION("IFERROR(IF(AD3&gt;0, FILTER('VPLData(raw)'!E:E,'VPLData(raw)'!B:B=542,'VPLData(raw)'!A:A=A3), 0),0)"),"")</f>
        <v/>
      </c>
      <c r="AF3" t="str">
        <f ca="1">IFERROR(__xludf.DUMMYFUNCTION("IFERROR(FILTER('VPLData(raw)'!F:F,'VPLData(raw)'!B:B=542,'VPLData(raw)'!A:A=A3),0)"),"1424")</f>
        <v>1424</v>
      </c>
      <c r="AG3" t="str">
        <f ca="1">IFERROR(__xludf.DUMMYFUNCTION("IFERROR(FILTER('VPLData(raw)'!C:C,'VPLData(raw)'!B:B=544,'VPLData(raw)'!A:A=A3),0)"),"1499471692")</f>
        <v>1499471692</v>
      </c>
      <c r="AH3" t="str">
        <f ca="1">IFERROR(__xludf.DUMMYFUNCTION("IFERROR(IF(AG3&gt;0, FILTER('VPLData(raw)'!E:E,'VPLData(raw)'!B:B=544,'VPLData(raw)'!A:A=A3), 0),0)"),"10")</f>
        <v>10</v>
      </c>
      <c r="AI3" t="str">
        <f ca="1">IFERROR(__xludf.DUMMYFUNCTION("IFERROR(FILTER('VPLData(raw)'!F:F,'VPLData(raw)'!B:B=544,'VPLData(raw)'!A:A=A3),0)"),"1213")</f>
        <v>1213</v>
      </c>
      <c r="AJ3" t="str">
        <f ca="1">IFERROR(__xludf.DUMMYFUNCTION("IFERROR(FILTER('VPLData(raw)'!C:C,'VPLData(raw)'!B:B=545,'VPLData(raw)'!A:A=A3),0)"),"1499464857")</f>
        <v>1499464857</v>
      </c>
      <c r="AK3" t="str">
        <f ca="1">IFERROR(__xludf.DUMMYFUNCTION("IFERROR(IF(AJ3&gt;0, FILTER('VPLData(raw)'!E:E,'VPLData(raw)'!B:B=545,'VPLData(raw)'!A:A=A3), 0),0)"),"10")</f>
        <v>10</v>
      </c>
      <c r="AL3" t="str">
        <f ca="1">IFERROR(__xludf.DUMMYFUNCTION("IFERROR(FILTER('VPLData(raw)'!F:F,'VPLData(raw)'!B:B=545,'VPLData(raw)'!A:A=A3),0)"),"6677")</f>
        <v>6677</v>
      </c>
    </row>
    <row r="4" spans="1:39" ht="15.75" customHeight="1" x14ac:dyDescent="0.15">
      <c r="A4" s="2">
        <v>10212</v>
      </c>
      <c r="B4" s="2">
        <v>9065750</v>
      </c>
      <c r="C4" t="str">
        <f ca="1">IFERROR(__xludf.DUMMYFUNCTION("IFERROR(FILTER('VPLData(raw)'!C:C,'VPLData(raw)'!B:B=504,'VPLData(raw)'!A:A=A4),0)"),"0")</f>
        <v>0</v>
      </c>
      <c r="D4" s="3" t="str">
        <f ca="1">IFERROR(__xludf.DUMMYFUNCTION("IFERROR(IF(C4&gt;0, FILTER('VPLData(raw)'!E:E,'VPLData(raw)'!B:B=504,'VPLData(raw)'!A:A=A4), 0),0)"),"0")</f>
        <v>0</v>
      </c>
      <c r="E4" t="str">
        <f ca="1">IFERROR(__xludf.DUMMYFUNCTION("IFERROR(FILTER('VPLData(raw)'!F:F,'VPLData(raw)'!B:B=504,'VPLData(raw)'!A:A=A4),0)"),"0")</f>
        <v>0</v>
      </c>
      <c r="F4" t="str">
        <f ca="1">IFERROR(__xludf.DUMMYFUNCTION("IFERROR(FILTER('VPLData(raw)'!C:C,'VPLData(raw)'!B:B=454,'VPLData(raw)'!A:A=A4),0)"),"1491841522")</f>
        <v>1491841522</v>
      </c>
      <c r="G4" t="str">
        <f ca="1">IFERROR(__xludf.DUMMYFUNCTION("IFERROR(IF(F4&gt;0, FILTER('VPLData(raw)'!E:E,'VPLData(raw)'!B:B=454,'VPLData(raw)'!A:A=A4), 0),0)"),"10")</f>
        <v>10</v>
      </c>
      <c r="H4" t="str">
        <f ca="1">IFERROR(__xludf.DUMMYFUNCTION("IFERROR(FILTER('VPLData(raw)'!F:F,'VPLData(raw)'!B:B=454,'VPLData(raw)'!A:A=A4),0)"),"647")</f>
        <v>647</v>
      </c>
      <c r="I4" t="str">
        <f ca="1">IFERROR(__xludf.DUMMYFUNCTION("IFERROR(FILTER('VPLData(raw)'!C:C,'VPLData(raw)'!B:B=457,'VPLData(raw)'!A:A=A4),0)"),"1491849510")</f>
        <v>1491849510</v>
      </c>
      <c r="J4" t="str">
        <f ca="1">IFERROR(__xludf.DUMMYFUNCTION("IFERROR(IF(I4&gt;0, FILTER('VPLData(raw)'!E:E,'VPLData(raw)'!B:B=457,'VPLData(raw)'!A:A=A4), 0),0)"),"")</f>
        <v/>
      </c>
      <c r="K4" t="str">
        <f ca="1">IFERROR(__xludf.DUMMYFUNCTION("IFERROR(FILTER('VPLData(raw)'!F:F,'VPLData(raw)'!B:B=457,'VPLData(raw)'!A:A=A4),0)"),"9384")</f>
        <v>9384</v>
      </c>
      <c r="L4" t="str">
        <f ca="1">IFERROR(__xludf.DUMMYFUNCTION("IFERROR(FILTER('VPLData(raw)'!C:C,'VPLData(raw)'!B:B=534,'VPLData(raw)'!A:A=A4),0)"),"0")</f>
        <v>0</v>
      </c>
      <c r="M4" t="str">
        <f ca="1">IFERROR(__xludf.DUMMYFUNCTION("IFERROR(IF(L4&gt;0, FILTER('VPLData(raw)'!E:E,'VPLData(raw)'!B:B=534,'VPLData(raw)'!A:A=A4), 0),0)"),"0")</f>
        <v>0</v>
      </c>
      <c r="N4" t="str">
        <f ca="1">IFERROR(__xludf.DUMMYFUNCTION("IFERROR(FILTER('VPLData(raw)'!F:F,'VPLData(raw)'!B:B=534,'VPLData(raw)'!A:A=A4),0)"),"0")</f>
        <v>0</v>
      </c>
      <c r="O4" t="str">
        <f ca="1">IFERROR(__xludf.DUMMYFUNCTION("IFERROR(FILTER('VPLData(raw)'!C:C,'VPLData(raw)'!B:B=498,'VPLData(raw)'!A:A=A4),0)"),"1499457118")</f>
        <v>1499457118</v>
      </c>
      <c r="P4" t="str">
        <f ca="1">IFERROR(__xludf.DUMMYFUNCTION("IFERROR(IF(O4&gt;0, FILTER('VPLData(raw)'!E:E,'VPLData(raw)'!B:B=498,'VPLData(raw)'!A:A=A4), 0),0)"),"10")</f>
        <v>10</v>
      </c>
      <c r="Q4" t="str">
        <f ca="1">IFERROR(__xludf.DUMMYFUNCTION("IFERROR(FILTER('VPLData(raw)'!F:F,'VPLData(raw)'!B:B=498,'VPLData(raw)'!A:A=A4),0)"),"439")</f>
        <v>439</v>
      </c>
      <c r="R4" t="str">
        <f ca="1">IFERROR(__xludf.DUMMYFUNCTION("IFERROR(FILTER('VPLData(raw)'!C:C,'VPLData(raw)'!B:B=515,'VPLData(raw)'!A:A=A4),0)"),"1499458017")</f>
        <v>1499458017</v>
      </c>
      <c r="S4" t="str">
        <f ca="1">IFERROR(__xludf.DUMMYFUNCTION("IFERROR(IF(R4&gt;0, FILTER('VPLData(raw)'!E:E,'VPLData(raw)'!B:B=515,'VPLData(raw)'!A:A=A4), 0),0)"),"")</f>
        <v/>
      </c>
      <c r="T4" t="str">
        <f ca="1">IFERROR(__xludf.DUMMYFUNCTION("IFERROR(FILTER('VPLData(raw)'!F:F,'VPLData(raw)'!B:B=515,'VPLData(raw)'!A:A=A4),0)"),"1092")</f>
        <v>1092</v>
      </c>
      <c r="U4" t="str">
        <f ca="1">IFERROR(__xludf.DUMMYFUNCTION("IFERROR(FILTER('VPLData(raw)'!C:C,'VPLData(raw)'!B:B=528,'VPLData(raw)'!A:A=A4),0)"),"1499460410")</f>
        <v>1499460410</v>
      </c>
      <c r="V4" t="str">
        <f ca="1">IFERROR(__xludf.DUMMYFUNCTION("IFERROR(IF(U4&gt;0, FILTER('VPLData(raw)'!E:E,'VPLData(raw)'!B:B=528,'VPLData(raw)'!A:A=A4), 0),0)"),"10")</f>
        <v>10</v>
      </c>
      <c r="W4" t="str">
        <f ca="1">IFERROR(__xludf.DUMMYFUNCTION("IFERROR(FILTER('VPLData(raw)'!F:F,'VPLData(raw)'!B:B=528,'VPLData(raw)'!A:A=A4),0)"),"490")</f>
        <v>490</v>
      </c>
      <c r="X4" t="str">
        <f ca="1">IFERROR(__xludf.DUMMYFUNCTION("IFERROR(FILTER('VPLData(raw)'!C:C,'VPLData(raw)'!B:B=524,'VPLData(raw)'!A:A=A4),0)"),"1499461461")</f>
        <v>1499461461</v>
      </c>
      <c r="Y4" t="str">
        <f ca="1">IFERROR(__xludf.DUMMYFUNCTION("IFERROR(IF(X4&gt;0, FILTER('VPLData(raw)'!E:E,'VPLData(raw)'!B:B=524,'VPLData(raw)'!A:A=A4), 0),0)"),"10")</f>
        <v>10</v>
      </c>
      <c r="Z4" t="str">
        <f ca="1">IFERROR(__xludf.DUMMYFUNCTION("IFERROR(FILTER('VPLData(raw)'!F:F,'VPLData(raw)'!B:B=524,'VPLData(raw)'!A:A=A4),0)"),"341")</f>
        <v>341</v>
      </c>
      <c r="AA4" t="str">
        <f ca="1">IFERROR(__xludf.DUMMYFUNCTION("IFERROR(FILTER('VPLData(raw)'!C:C,'VPLData(raw)'!B:B=478,'VPLData(raw)'!A:A=A4),0)"),"0")</f>
        <v>0</v>
      </c>
      <c r="AB4" t="str">
        <f ca="1">IFERROR(__xludf.DUMMYFUNCTION("IFERROR(IF(AA4&gt;0, FILTER('VPLData(raw)'!E:E,'VPLData(raw)'!B:B=478,'VPLData(raw)'!A:A=A4), 0),0)"),"0")</f>
        <v>0</v>
      </c>
      <c r="AC4" t="str">
        <f ca="1">IFERROR(__xludf.DUMMYFUNCTION("IFERROR(FILTER('VPLData(raw)'!F:F,'VPLData(raw)'!B:B=478,'VPLData(raw)'!A:A=A4),0)"),"0")</f>
        <v>0</v>
      </c>
      <c r="AD4" t="str">
        <f ca="1">IFERROR(__xludf.DUMMYFUNCTION("IFERROR(FILTER('VPLData(raw)'!C:C,'VPLData(raw)'!B:B=542,'VPLData(raw)'!A:A=A4),0)"),"0")</f>
        <v>0</v>
      </c>
      <c r="AE4" t="str">
        <f ca="1">IFERROR(__xludf.DUMMYFUNCTION("IFERROR(IF(AD4&gt;0, FILTER('VPLData(raw)'!E:E,'VPLData(raw)'!B:B=542,'VPLData(raw)'!A:A=A4), 0),0)"),"0")</f>
        <v>0</v>
      </c>
      <c r="AF4" t="str">
        <f ca="1">IFERROR(__xludf.DUMMYFUNCTION("IFERROR(FILTER('VPLData(raw)'!F:F,'VPLData(raw)'!B:B=542,'VPLData(raw)'!A:A=A4),0)"),"0")</f>
        <v>0</v>
      </c>
      <c r="AG4" t="str">
        <f ca="1">IFERROR(__xludf.DUMMYFUNCTION("IFERROR(FILTER('VPLData(raw)'!C:C,'VPLData(raw)'!B:B=544,'VPLData(raw)'!A:A=A4),0)"),"0")</f>
        <v>0</v>
      </c>
      <c r="AH4" t="str">
        <f ca="1">IFERROR(__xludf.DUMMYFUNCTION("IFERROR(IF(AG4&gt;0, FILTER('VPLData(raw)'!E:E,'VPLData(raw)'!B:B=544,'VPLData(raw)'!A:A=A4), 0),0)"),"0")</f>
        <v>0</v>
      </c>
      <c r="AI4" t="str">
        <f ca="1">IFERROR(__xludf.DUMMYFUNCTION("IFERROR(FILTER('VPLData(raw)'!F:F,'VPLData(raw)'!B:B=544,'VPLData(raw)'!A:A=A4),0)"),"0")</f>
        <v>0</v>
      </c>
      <c r="AJ4" t="str">
        <f ca="1">IFERROR(__xludf.DUMMYFUNCTION("IFERROR(FILTER('VPLData(raw)'!C:C,'VPLData(raw)'!B:B=545,'VPLData(raw)'!A:A=A4),0)"),"0")</f>
        <v>0</v>
      </c>
      <c r="AK4" t="str">
        <f ca="1">IFERROR(__xludf.DUMMYFUNCTION("IFERROR(IF(AJ4&gt;0, FILTER('VPLData(raw)'!E:E,'VPLData(raw)'!B:B=545,'VPLData(raw)'!A:A=A4), 0),0)"),"0")</f>
        <v>0</v>
      </c>
      <c r="AL4" t="str">
        <f ca="1">IFERROR(__xludf.DUMMYFUNCTION("IFERROR(FILTER('VPLData(raw)'!F:F,'VPLData(raw)'!B:B=545,'VPLData(raw)'!A:A=A4),0)"),"0")</f>
        <v>0</v>
      </c>
    </row>
    <row r="5" spans="1:39" ht="15.75" customHeight="1" x14ac:dyDescent="0.15">
      <c r="A5" s="2">
        <v>10221</v>
      </c>
      <c r="B5" s="2">
        <v>9082496</v>
      </c>
      <c r="C5" t="str">
        <f ca="1">IFERROR(__xludf.DUMMYFUNCTION("IFERROR(FILTER('VPLData(raw)'!C:C,'VPLData(raw)'!B:B=504,'VPLData(raw)'!A:A=A5),0)"),"0")</f>
        <v>0</v>
      </c>
      <c r="D5" s="3" t="str">
        <f ca="1">IFERROR(__xludf.DUMMYFUNCTION("IFERROR(IF(C5&gt;0, FILTER('VPLData(raw)'!E:E,'VPLData(raw)'!B:B=504,'VPLData(raw)'!A:A=A5), 0),0)"),"0")</f>
        <v>0</v>
      </c>
      <c r="E5" t="str">
        <f ca="1">IFERROR(__xludf.DUMMYFUNCTION("IFERROR(FILTER('VPLData(raw)'!F:F,'VPLData(raw)'!B:B=504,'VPLData(raw)'!A:A=A5),0)"),"0")</f>
        <v>0</v>
      </c>
      <c r="F5" t="str">
        <f ca="1">IFERROR(__xludf.DUMMYFUNCTION("IFERROR(FILTER('VPLData(raw)'!C:C,'VPLData(raw)'!B:B=454,'VPLData(raw)'!A:A=A5),0)"),"0")</f>
        <v>0</v>
      </c>
      <c r="G5" t="str">
        <f ca="1">IFERROR(__xludf.DUMMYFUNCTION("IFERROR(IF(F5&gt;0, FILTER('VPLData(raw)'!E:E,'VPLData(raw)'!B:B=454,'VPLData(raw)'!A:A=A5), 0),0)"),"0")</f>
        <v>0</v>
      </c>
      <c r="H5" t="str">
        <f ca="1">IFERROR(__xludf.DUMMYFUNCTION("IFERROR(FILTER('VPLData(raw)'!F:F,'VPLData(raw)'!B:B=454,'VPLData(raw)'!A:A=A5),0)"),"0")</f>
        <v>0</v>
      </c>
      <c r="I5" t="str">
        <f ca="1">IFERROR(__xludf.DUMMYFUNCTION("IFERROR(FILTER('VPLData(raw)'!C:C,'VPLData(raw)'!B:B=457,'VPLData(raw)'!A:A=A5),0)"),"0")</f>
        <v>0</v>
      </c>
      <c r="J5" t="str">
        <f ca="1">IFERROR(__xludf.DUMMYFUNCTION("IFERROR(IF(I5&gt;0, FILTER('VPLData(raw)'!E:E,'VPLData(raw)'!B:B=457,'VPLData(raw)'!A:A=A5), 0),0)"),"0")</f>
        <v>0</v>
      </c>
      <c r="K5" t="str">
        <f ca="1">IFERROR(__xludf.DUMMYFUNCTION("IFERROR(FILTER('VPLData(raw)'!F:F,'VPLData(raw)'!B:B=457,'VPLData(raw)'!A:A=A5),0)"),"0")</f>
        <v>0</v>
      </c>
      <c r="L5" t="str">
        <f ca="1">IFERROR(__xludf.DUMMYFUNCTION("IFERROR(FILTER('VPLData(raw)'!C:C,'VPLData(raw)'!B:B=534,'VPLData(raw)'!A:A=A5),0)"),"0")</f>
        <v>0</v>
      </c>
      <c r="M5" t="str">
        <f ca="1">IFERROR(__xludf.DUMMYFUNCTION("IFERROR(IF(L5&gt;0, FILTER('VPLData(raw)'!E:E,'VPLData(raw)'!B:B=534,'VPLData(raw)'!A:A=A5), 0),0)"),"0")</f>
        <v>0</v>
      </c>
      <c r="N5" t="str">
        <f ca="1">IFERROR(__xludf.DUMMYFUNCTION("IFERROR(FILTER('VPLData(raw)'!F:F,'VPLData(raw)'!B:B=534,'VPLData(raw)'!A:A=A5),0)"),"0")</f>
        <v>0</v>
      </c>
      <c r="O5" t="str">
        <f ca="1">IFERROR(__xludf.DUMMYFUNCTION("IFERROR(FILTER('VPLData(raw)'!C:C,'VPLData(raw)'!B:B=498,'VPLData(raw)'!A:A=A5),0)"),"1493763889")</f>
        <v>1493763889</v>
      </c>
      <c r="P5" t="str">
        <f ca="1">IFERROR(__xludf.DUMMYFUNCTION("IFERROR(IF(O5&gt;0, FILTER('VPLData(raw)'!E:E,'VPLData(raw)'!B:B=498,'VPLData(raw)'!A:A=A5), 0),0)"),"10")</f>
        <v>10</v>
      </c>
      <c r="Q5" t="str">
        <f ca="1">IFERROR(__xludf.DUMMYFUNCTION("IFERROR(FILTER('VPLData(raw)'!F:F,'VPLData(raw)'!B:B=498,'VPLData(raw)'!A:A=A5),0)"),"864")</f>
        <v>864</v>
      </c>
      <c r="R5" t="str">
        <f ca="1">IFERROR(__xludf.DUMMYFUNCTION("IFERROR(FILTER('VPLData(raw)'!C:C,'VPLData(raw)'!B:B=515,'VPLData(raw)'!A:A=A5),0)"),"1493764818")</f>
        <v>1493764818</v>
      </c>
      <c r="S5" t="str">
        <f ca="1">IFERROR(__xludf.DUMMYFUNCTION("IFERROR(IF(R5&gt;0, FILTER('VPLData(raw)'!E:E,'VPLData(raw)'!B:B=515,'VPLData(raw)'!A:A=A5), 0),0)"),"10")</f>
        <v>10</v>
      </c>
      <c r="T5" t="str">
        <f ca="1">IFERROR(__xludf.DUMMYFUNCTION("IFERROR(FILTER('VPLData(raw)'!F:F,'VPLData(raw)'!B:B=515,'VPLData(raw)'!A:A=A5),0)"),"8778")</f>
        <v>8778</v>
      </c>
      <c r="U5" t="str">
        <f ca="1">IFERROR(__xludf.DUMMYFUNCTION("IFERROR(FILTER('VPLData(raw)'!C:C,'VPLData(raw)'!B:B=528,'VPLData(raw)'!A:A=A5),0)"),"1499368431")</f>
        <v>1499368431</v>
      </c>
      <c r="V5" t="str">
        <f ca="1">IFERROR(__xludf.DUMMYFUNCTION("IFERROR(IF(U5&gt;0, FILTER('VPLData(raw)'!E:E,'VPLData(raw)'!B:B=528,'VPLData(raw)'!A:A=A5), 0),0)"),"10")</f>
        <v>10</v>
      </c>
      <c r="W5" t="str">
        <f ca="1">IFERROR(__xludf.DUMMYFUNCTION("IFERROR(FILTER('VPLData(raw)'!F:F,'VPLData(raw)'!B:B=528,'VPLData(raw)'!A:A=A5),0)"),"1995")</f>
        <v>1995</v>
      </c>
      <c r="X5" t="str">
        <f ca="1">IFERROR(__xludf.DUMMYFUNCTION("IFERROR(FILTER('VPLData(raw)'!C:C,'VPLData(raw)'!B:B=524,'VPLData(raw)'!A:A=A5),0)"),"1499373037")</f>
        <v>1499373037</v>
      </c>
      <c r="Y5" t="str">
        <f ca="1">IFERROR(__xludf.DUMMYFUNCTION("IFERROR(IF(X5&gt;0, FILTER('VPLData(raw)'!E:E,'VPLData(raw)'!B:B=524,'VPLData(raw)'!A:A=A5), 0),0)"),"10")</f>
        <v>10</v>
      </c>
      <c r="Z5" t="str">
        <f ca="1">IFERROR(__xludf.DUMMYFUNCTION("IFERROR(FILTER('VPLData(raw)'!F:F,'VPLData(raw)'!B:B=524,'VPLData(raw)'!A:A=A5),0)"),"6494")</f>
        <v>6494</v>
      </c>
      <c r="AA5" t="str">
        <f ca="1">IFERROR(__xludf.DUMMYFUNCTION("IFERROR(FILTER('VPLData(raw)'!C:C,'VPLData(raw)'!B:B=478,'VPLData(raw)'!A:A=A5),0)"),"1499447431")</f>
        <v>1499447431</v>
      </c>
      <c r="AB5" t="str">
        <f ca="1">IFERROR(__xludf.DUMMYFUNCTION("IFERROR(IF(AA5&gt;0, FILTER('VPLData(raw)'!E:E,'VPLData(raw)'!B:B=478,'VPLData(raw)'!A:A=A5), 0),0)"),"10")</f>
        <v>10</v>
      </c>
      <c r="AC5" t="str">
        <f ca="1">IFERROR(__xludf.DUMMYFUNCTION("IFERROR(FILTER('VPLData(raw)'!F:F,'VPLData(raw)'!B:B=478,'VPLData(raw)'!A:A=A5),0)"),"296")</f>
        <v>296</v>
      </c>
      <c r="AD5" t="str">
        <f ca="1">IFERROR(__xludf.DUMMYFUNCTION("IFERROR(FILTER('VPLData(raw)'!C:C,'VPLData(raw)'!B:B=542,'VPLData(raw)'!A:A=A5),0)"),"1499463897")</f>
        <v>1499463897</v>
      </c>
      <c r="AE5" t="str">
        <f ca="1">IFERROR(__xludf.DUMMYFUNCTION("IFERROR(IF(AD5&gt;0, FILTER('VPLData(raw)'!E:E,'VPLData(raw)'!B:B=542,'VPLData(raw)'!A:A=A5), 0),0)"),"10")</f>
        <v>10</v>
      </c>
      <c r="AF5" t="str">
        <f ca="1">IFERROR(__xludf.DUMMYFUNCTION("IFERROR(FILTER('VPLData(raw)'!F:F,'VPLData(raw)'!B:B=542,'VPLData(raw)'!A:A=A5),0)"),"716")</f>
        <v>716</v>
      </c>
      <c r="AG5" t="str">
        <f ca="1">IFERROR(__xludf.DUMMYFUNCTION("IFERROR(FILTER('VPLData(raw)'!C:C,'VPLData(raw)'!B:B=544,'VPLData(raw)'!A:A=A5),0)"),"1499464652")</f>
        <v>1499464652</v>
      </c>
      <c r="AH5" t="str">
        <f ca="1">IFERROR(__xludf.DUMMYFUNCTION("IFERROR(IF(AG5&gt;0, FILTER('VPLData(raw)'!E:E,'VPLData(raw)'!B:B=544,'VPLData(raw)'!A:A=A5), 0),0)"),"10")</f>
        <v>10</v>
      </c>
      <c r="AI5" t="str">
        <f ca="1">IFERROR(__xludf.DUMMYFUNCTION("IFERROR(FILTER('VPLData(raw)'!F:F,'VPLData(raw)'!B:B=544,'VPLData(raw)'!A:A=A5),0)"),"831")</f>
        <v>831</v>
      </c>
      <c r="AJ5" t="str">
        <f ca="1">IFERROR(__xludf.DUMMYFUNCTION("IFERROR(FILTER('VPLData(raw)'!C:C,'VPLData(raw)'!B:B=545,'VPLData(raw)'!A:A=A5),0)"),"1499458633")</f>
        <v>1499458633</v>
      </c>
      <c r="AK5" t="str">
        <f ca="1">IFERROR(__xludf.DUMMYFUNCTION("IFERROR(IF(AJ5&gt;0, FILTER('VPLData(raw)'!E:E,'VPLData(raw)'!B:B=545,'VPLData(raw)'!A:A=A5), 0),0)"),"")</f>
        <v/>
      </c>
      <c r="AL5" t="str">
        <f ca="1">IFERROR(__xludf.DUMMYFUNCTION("IFERROR(FILTER('VPLData(raw)'!F:F,'VPLData(raw)'!B:B=545,'VPLData(raw)'!A:A=A5),0)"),"3112")</f>
        <v>3112</v>
      </c>
    </row>
    <row r="6" spans="1:39" ht="15.75" customHeight="1" x14ac:dyDescent="0.15">
      <c r="A6" s="2">
        <v>10227</v>
      </c>
      <c r="B6" s="2">
        <v>9274382</v>
      </c>
      <c r="C6" t="str">
        <f ca="1">IFERROR(__xludf.DUMMYFUNCTION("IFERROR(FILTER('VPLData(raw)'!C:C,'VPLData(raw)'!B:B=504,'VPLData(raw)'!A:A=A6),0)"),"1490835329")</f>
        <v>1490835329</v>
      </c>
      <c r="D6" s="3" t="str">
        <f ca="1">IFERROR(__xludf.DUMMYFUNCTION("IFERROR(IF(C6&gt;0, FILTER('VPLData(raw)'!E:E,'VPLData(raw)'!B:B=504,'VPLData(raw)'!A:A=A6), 0),0)"),"10")</f>
        <v>10</v>
      </c>
      <c r="E6" t="str">
        <f ca="1">IFERROR(__xludf.DUMMYFUNCTION("IFERROR(FILTER('VPLData(raw)'!F:F,'VPLData(raw)'!B:B=504,'VPLData(raw)'!A:A=A6),0)"),"3355")</f>
        <v>3355</v>
      </c>
      <c r="F6" t="str">
        <f ca="1">IFERROR(__xludf.DUMMYFUNCTION("IFERROR(FILTER('VPLData(raw)'!C:C,'VPLData(raw)'!B:B=454,'VPLData(raw)'!A:A=A6),0)"),"0")</f>
        <v>0</v>
      </c>
      <c r="G6" t="str">
        <f ca="1">IFERROR(__xludf.DUMMYFUNCTION("IFERROR(IF(F6&gt;0, FILTER('VPLData(raw)'!E:E,'VPLData(raw)'!B:B=454,'VPLData(raw)'!A:A=A6), 0),0)"),"0")</f>
        <v>0</v>
      </c>
      <c r="H6" t="str">
        <f ca="1">IFERROR(__xludf.DUMMYFUNCTION("IFERROR(FILTER('VPLData(raw)'!F:F,'VPLData(raw)'!B:B=454,'VPLData(raw)'!A:A=A6),0)"),"0")</f>
        <v>0</v>
      </c>
      <c r="I6" t="str">
        <f ca="1">IFERROR(__xludf.DUMMYFUNCTION("IFERROR(FILTER('VPLData(raw)'!C:C,'VPLData(raw)'!B:B=457,'VPLData(raw)'!A:A=A6),0)"),"0")</f>
        <v>0</v>
      </c>
      <c r="J6" t="str">
        <f ca="1">IFERROR(__xludf.DUMMYFUNCTION("IFERROR(IF(I6&gt;0, FILTER('VPLData(raw)'!E:E,'VPLData(raw)'!B:B=457,'VPLData(raw)'!A:A=A6), 0),0)"),"0")</f>
        <v>0</v>
      </c>
      <c r="K6" t="str">
        <f ca="1">IFERROR(__xludf.DUMMYFUNCTION("IFERROR(FILTER('VPLData(raw)'!F:F,'VPLData(raw)'!B:B=457,'VPLData(raw)'!A:A=A6),0)"),"0")</f>
        <v>0</v>
      </c>
      <c r="L6" t="str">
        <f ca="1">IFERROR(__xludf.DUMMYFUNCTION("IFERROR(FILTER('VPLData(raw)'!C:C,'VPLData(raw)'!B:B=534,'VPLData(raw)'!A:A=A6),0)"),"0")</f>
        <v>0</v>
      </c>
      <c r="M6" t="str">
        <f ca="1">IFERROR(__xludf.DUMMYFUNCTION("IFERROR(IF(L6&gt;0, FILTER('VPLData(raw)'!E:E,'VPLData(raw)'!B:B=534,'VPLData(raw)'!A:A=A6), 0),0)"),"0")</f>
        <v>0</v>
      </c>
      <c r="N6" t="str">
        <f ca="1">IFERROR(__xludf.DUMMYFUNCTION("IFERROR(FILTER('VPLData(raw)'!F:F,'VPLData(raw)'!B:B=534,'VPLData(raw)'!A:A=A6),0)"),"0")</f>
        <v>0</v>
      </c>
      <c r="O6" t="str">
        <f ca="1">IFERROR(__xludf.DUMMYFUNCTION("IFERROR(FILTER('VPLData(raw)'!C:C,'VPLData(raw)'!B:B=498,'VPLData(raw)'!A:A=A6),0)"),"1492468765")</f>
        <v>1492468765</v>
      </c>
      <c r="P6" t="str">
        <f ca="1">IFERROR(__xludf.DUMMYFUNCTION("IFERROR(IF(O6&gt;0, FILTER('VPLData(raw)'!E:E,'VPLData(raw)'!B:B=498,'VPLData(raw)'!A:A=A6), 0),0)"),"10")</f>
        <v>10</v>
      </c>
      <c r="Q6" t="str">
        <f ca="1">IFERROR(__xludf.DUMMYFUNCTION("IFERROR(FILTER('VPLData(raw)'!F:F,'VPLData(raw)'!B:B=498,'VPLData(raw)'!A:A=A6),0)"),"8676")</f>
        <v>8676</v>
      </c>
      <c r="R6" t="str">
        <f ca="1">IFERROR(__xludf.DUMMYFUNCTION("IFERROR(FILTER('VPLData(raw)'!C:C,'VPLData(raw)'!B:B=515,'VPLData(raw)'!A:A=A6),0)"),"1493310707")</f>
        <v>1493310707</v>
      </c>
      <c r="S6" t="str">
        <f ca="1">IFERROR(__xludf.DUMMYFUNCTION("IFERROR(IF(R6&gt;0, FILTER('VPLData(raw)'!E:E,'VPLData(raw)'!B:B=515,'VPLData(raw)'!A:A=A6), 0),0)"),"10")</f>
        <v>10</v>
      </c>
      <c r="T6" t="str">
        <f ca="1">IFERROR(__xludf.DUMMYFUNCTION("IFERROR(FILTER('VPLData(raw)'!F:F,'VPLData(raw)'!B:B=515,'VPLData(raw)'!A:A=A6),0)"),"1686")</f>
        <v>1686</v>
      </c>
      <c r="U6" t="str">
        <f ca="1">IFERROR(__xludf.DUMMYFUNCTION("IFERROR(FILTER('VPLData(raw)'!C:C,'VPLData(raw)'!B:B=528,'VPLData(raw)'!A:A=A6),0)"),"1494937632")</f>
        <v>1494937632</v>
      </c>
      <c r="V6" t="str">
        <f ca="1">IFERROR(__xludf.DUMMYFUNCTION("IFERROR(IF(U6&gt;0, FILTER('VPLData(raw)'!E:E,'VPLData(raw)'!B:B=528,'VPLData(raw)'!A:A=A6), 0),0)"),"10")</f>
        <v>10</v>
      </c>
      <c r="W6" t="str">
        <f ca="1">IFERROR(__xludf.DUMMYFUNCTION("IFERROR(FILTER('VPLData(raw)'!F:F,'VPLData(raw)'!B:B=528,'VPLData(raw)'!A:A=A6),0)"),"1629")</f>
        <v>1629</v>
      </c>
      <c r="X6" t="str">
        <f ca="1">IFERROR(__xludf.DUMMYFUNCTION("IFERROR(FILTER('VPLData(raw)'!C:C,'VPLData(raw)'!B:B=524,'VPLData(raw)'!A:A=A6),0)"),"1495503269")</f>
        <v>1495503269</v>
      </c>
      <c r="Y6" t="str">
        <f ca="1">IFERROR(__xludf.DUMMYFUNCTION("IFERROR(IF(X6&gt;0, FILTER('VPLData(raw)'!E:E,'VPLData(raw)'!B:B=524,'VPLData(raw)'!A:A=A6), 0),0)"),"10")</f>
        <v>10</v>
      </c>
      <c r="Z6" t="str">
        <f ca="1">IFERROR(__xludf.DUMMYFUNCTION("IFERROR(FILTER('VPLData(raw)'!F:F,'VPLData(raw)'!B:B=524,'VPLData(raw)'!A:A=A6),0)"),"5633")</f>
        <v>5633</v>
      </c>
      <c r="AA6" t="str">
        <f ca="1">IFERROR(__xludf.DUMMYFUNCTION("IFERROR(FILTER('VPLData(raw)'!C:C,'VPLData(raw)'!B:B=478,'VPLData(raw)'!A:A=A6),0)"),"1497040208")</f>
        <v>1497040208</v>
      </c>
      <c r="AB6" t="str">
        <f ca="1">IFERROR(__xludf.DUMMYFUNCTION("IFERROR(IF(AA6&gt;0, FILTER('VPLData(raw)'!E:E,'VPLData(raw)'!B:B=478,'VPLData(raw)'!A:A=A6), 0),0)"),"")</f>
        <v/>
      </c>
      <c r="AC6" t="str">
        <f ca="1">IFERROR(__xludf.DUMMYFUNCTION("IFERROR(FILTER('VPLData(raw)'!F:F,'VPLData(raw)'!B:B=478,'VPLData(raw)'!A:A=A6),0)"),"7483")</f>
        <v>7483</v>
      </c>
      <c r="AD6" t="str">
        <f ca="1">IFERROR(__xludf.DUMMYFUNCTION("IFERROR(FILTER('VPLData(raw)'!C:C,'VPLData(raw)'!B:B=542,'VPLData(raw)'!A:A=A6),0)"),"0")</f>
        <v>0</v>
      </c>
      <c r="AE6" t="str">
        <f ca="1">IFERROR(__xludf.DUMMYFUNCTION("IFERROR(IF(AD6&gt;0, FILTER('VPLData(raw)'!E:E,'VPLData(raw)'!B:B=542,'VPLData(raw)'!A:A=A6), 0),0)"),"0")</f>
        <v>0</v>
      </c>
      <c r="AF6" t="str">
        <f ca="1">IFERROR(__xludf.DUMMYFUNCTION("IFERROR(FILTER('VPLData(raw)'!F:F,'VPLData(raw)'!B:B=542,'VPLData(raw)'!A:A=A6),0)"),"0")</f>
        <v>0</v>
      </c>
      <c r="AG6" t="str">
        <f ca="1">IFERROR(__xludf.DUMMYFUNCTION("IFERROR(FILTER('VPLData(raw)'!C:C,'VPLData(raw)'!B:B=544,'VPLData(raw)'!A:A=A6),0)"),"1499296071")</f>
        <v>1499296071</v>
      </c>
      <c r="AH6" t="str">
        <f ca="1">IFERROR(__xludf.DUMMYFUNCTION("IFERROR(IF(AG6&gt;0, FILTER('VPLData(raw)'!E:E,'VPLData(raw)'!B:B=544,'VPLData(raw)'!A:A=A6), 0),0)"),"")</f>
        <v/>
      </c>
      <c r="AI6" t="str">
        <f ca="1">IFERROR(__xludf.DUMMYFUNCTION("IFERROR(FILTER('VPLData(raw)'!F:F,'VPLData(raw)'!B:B=544,'VPLData(raw)'!A:A=A6),0)"),"6271")</f>
        <v>6271</v>
      </c>
      <c r="AJ6" t="str">
        <f ca="1">IFERROR(__xludf.DUMMYFUNCTION("IFERROR(FILTER('VPLData(raw)'!C:C,'VPLData(raw)'!B:B=545,'VPLData(raw)'!A:A=A6),0)"),"1499288842")</f>
        <v>1499288842</v>
      </c>
      <c r="AK6" t="str">
        <f ca="1">IFERROR(__xludf.DUMMYFUNCTION("IFERROR(IF(AJ6&gt;0, FILTER('VPLData(raw)'!E:E,'VPLData(raw)'!B:B=545,'VPLData(raw)'!A:A=A6), 0),0)"),"10")</f>
        <v>10</v>
      </c>
      <c r="AL6" t="str">
        <f ca="1">IFERROR(__xludf.DUMMYFUNCTION("IFERROR(FILTER('VPLData(raw)'!F:F,'VPLData(raw)'!B:B=545,'VPLData(raw)'!A:A=A6),0)"),"15965")</f>
        <v>15965</v>
      </c>
    </row>
    <row r="7" spans="1:39" ht="15.75" customHeight="1" x14ac:dyDescent="0.15">
      <c r="A7" s="2">
        <v>10215</v>
      </c>
      <c r="B7" s="2">
        <v>9285227</v>
      </c>
      <c r="C7" t="str">
        <f ca="1">IFERROR(__xludf.DUMMYFUNCTION("IFERROR(FILTER('VPLData(raw)'!C:C,'VPLData(raw)'!B:B=504,'VPLData(raw)'!A:A=A7),0)"),"1490831849")</f>
        <v>1490831849</v>
      </c>
      <c r="D7" s="3" t="str">
        <f ca="1">IFERROR(__xludf.DUMMYFUNCTION("IFERROR(IF(C7&gt;0, FILTER('VPLData(raw)'!E:E,'VPLData(raw)'!B:B=504,'VPLData(raw)'!A:A=A7), 0),0)"),"10")</f>
        <v>10</v>
      </c>
      <c r="E7" t="str">
        <f ca="1">IFERROR(__xludf.DUMMYFUNCTION("IFERROR(FILTER('VPLData(raw)'!F:F,'VPLData(raw)'!B:B=504,'VPLData(raw)'!A:A=A7),0)"),"1029")</f>
        <v>1029</v>
      </c>
      <c r="F7" t="str">
        <f ca="1">IFERROR(__xludf.DUMMYFUNCTION("IFERROR(FILTER('VPLData(raw)'!C:C,'VPLData(raw)'!B:B=454,'VPLData(raw)'!A:A=A7),0)"),"1491835155")</f>
        <v>1491835155</v>
      </c>
      <c r="G7" t="str">
        <f ca="1">IFERROR(__xludf.DUMMYFUNCTION("IFERROR(IF(F7&gt;0, FILTER('VPLData(raw)'!E:E,'VPLData(raw)'!B:B=454,'VPLData(raw)'!A:A=A7), 0),0)"),"10")</f>
        <v>10</v>
      </c>
      <c r="H7" t="str">
        <f ca="1">IFERROR(__xludf.DUMMYFUNCTION("IFERROR(FILTER('VPLData(raw)'!F:F,'VPLData(raw)'!B:B=454,'VPLData(raw)'!A:A=A7),0)"),"219")</f>
        <v>219</v>
      </c>
      <c r="I7" t="str">
        <f ca="1">IFERROR(__xludf.DUMMYFUNCTION("IFERROR(FILTER('VPLData(raw)'!C:C,'VPLData(raw)'!B:B=457,'VPLData(raw)'!A:A=A7),0)"),"1491837226")</f>
        <v>1491837226</v>
      </c>
      <c r="J7" t="str">
        <f ca="1">IFERROR(__xludf.DUMMYFUNCTION("IFERROR(IF(I7&gt;0, FILTER('VPLData(raw)'!E:E,'VPLData(raw)'!B:B=457,'VPLData(raw)'!A:A=A7), 0),0)"),"10")</f>
        <v>10</v>
      </c>
      <c r="K7" t="str">
        <f ca="1">IFERROR(__xludf.DUMMYFUNCTION("IFERROR(FILTER('VPLData(raw)'!F:F,'VPLData(raw)'!B:B=457,'VPLData(raw)'!A:A=A7),0)"),"461")</f>
        <v>461</v>
      </c>
      <c r="L7" t="str">
        <f ca="1">IFERROR(__xludf.DUMMYFUNCTION("IFERROR(FILTER('VPLData(raw)'!C:C,'VPLData(raw)'!B:B=534,'VPLData(raw)'!A:A=A7),0)"),"0")</f>
        <v>0</v>
      </c>
      <c r="M7" t="str">
        <f ca="1">IFERROR(__xludf.DUMMYFUNCTION("IFERROR(IF(L7&gt;0, FILTER('VPLData(raw)'!E:E,'VPLData(raw)'!B:B=534,'VPLData(raw)'!A:A=A7), 0),0)"),"0")</f>
        <v>0</v>
      </c>
      <c r="N7" t="str">
        <f ca="1">IFERROR(__xludf.DUMMYFUNCTION("IFERROR(FILTER('VPLData(raw)'!F:F,'VPLData(raw)'!B:B=534,'VPLData(raw)'!A:A=A7),0)"),"0")</f>
        <v>0</v>
      </c>
      <c r="O7" t="str">
        <f ca="1">IFERROR(__xludf.DUMMYFUNCTION("IFERROR(FILTER('VPLData(raw)'!C:C,'VPLData(raw)'!B:B=498,'VPLData(raw)'!A:A=A7),0)"),"1492709200")</f>
        <v>1492709200</v>
      </c>
      <c r="P7" t="str">
        <f ca="1">IFERROR(__xludf.DUMMYFUNCTION("IFERROR(IF(O7&gt;0, FILTER('VPLData(raw)'!E:E,'VPLData(raw)'!B:B=498,'VPLData(raw)'!A:A=A7), 0),0)"),"10")</f>
        <v>10</v>
      </c>
      <c r="Q7" t="str">
        <f ca="1">IFERROR(__xludf.DUMMYFUNCTION("IFERROR(FILTER('VPLData(raw)'!F:F,'VPLData(raw)'!B:B=498,'VPLData(raw)'!A:A=A7),0)"),"1912")</f>
        <v>1912</v>
      </c>
      <c r="R7" t="str">
        <f ca="1">IFERROR(__xludf.DUMMYFUNCTION("IFERROR(FILTER('VPLData(raw)'!C:C,'VPLData(raw)'!B:B=515,'VPLData(raw)'!A:A=A7),0)"),"1492709443")</f>
        <v>1492709443</v>
      </c>
      <c r="S7" t="str">
        <f ca="1">IFERROR(__xludf.DUMMYFUNCTION("IFERROR(IF(R7&gt;0, FILTER('VPLData(raw)'!E:E,'VPLData(raw)'!B:B=515,'VPLData(raw)'!A:A=A7), 0),0)"),"")</f>
        <v/>
      </c>
      <c r="T7" t="str">
        <f ca="1">IFERROR(__xludf.DUMMYFUNCTION("IFERROR(FILTER('VPLData(raw)'!F:F,'VPLData(raw)'!B:B=515,'VPLData(raw)'!A:A=A7),0)"),"1545")</f>
        <v>1545</v>
      </c>
      <c r="U7" t="str">
        <f ca="1">IFERROR(__xludf.DUMMYFUNCTION("IFERROR(FILTER('VPLData(raw)'!C:C,'VPLData(raw)'!B:B=528,'VPLData(raw)'!A:A=A7),0)"),"1494383777")</f>
        <v>1494383777</v>
      </c>
      <c r="V7" t="str">
        <f ca="1">IFERROR(__xludf.DUMMYFUNCTION("IFERROR(IF(U7&gt;0, FILTER('VPLData(raw)'!E:E,'VPLData(raw)'!B:B=528,'VPLData(raw)'!A:A=A7), 0),0)"),"10")</f>
        <v>10</v>
      </c>
      <c r="W7" t="str">
        <f ca="1">IFERROR(__xludf.DUMMYFUNCTION("IFERROR(FILTER('VPLData(raw)'!F:F,'VPLData(raw)'!B:B=528,'VPLData(raw)'!A:A=A7),0)"),"1039")</f>
        <v>1039</v>
      </c>
      <c r="X7" t="str">
        <f ca="1">IFERROR(__xludf.DUMMYFUNCTION("IFERROR(FILTER('VPLData(raw)'!C:C,'VPLData(raw)'!B:B=524,'VPLData(raw)'!A:A=A7),0)"),"1494698641")</f>
        <v>1494698641</v>
      </c>
      <c r="Y7" t="str">
        <f ca="1">IFERROR(__xludf.DUMMYFUNCTION("IFERROR(IF(X7&gt;0, FILTER('VPLData(raw)'!E:E,'VPLData(raw)'!B:B=524,'VPLData(raw)'!A:A=A7), 0),0)"),"10")</f>
        <v>10</v>
      </c>
      <c r="Z7" t="str">
        <f ca="1">IFERROR(__xludf.DUMMYFUNCTION("IFERROR(FILTER('VPLData(raw)'!F:F,'VPLData(raw)'!B:B=524,'VPLData(raw)'!A:A=A7),0)"),"1278")</f>
        <v>1278</v>
      </c>
      <c r="AA7" t="str">
        <f ca="1">IFERROR(__xludf.DUMMYFUNCTION("IFERROR(FILTER('VPLData(raw)'!C:C,'VPLData(raw)'!B:B=478,'VPLData(raw)'!A:A=A7),0)"),"1494700096")</f>
        <v>1494700096</v>
      </c>
      <c r="AB7" t="str">
        <f ca="1">IFERROR(__xludf.DUMMYFUNCTION("IFERROR(IF(AA7&gt;0, FILTER('VPLData(raw)'!E:E,'VPLData(raw)'!B:B=478,'VPLData(raw)'!A:A=A7), 0),0)"),"10")</f>
        <v>10</v>
      </c>
      <c r="AC7" t="str">
        <f ca="1">IFERROR(__xludf.DUMMYFUNCTION("IFERROR(FILTER('VPLData(raw)'!F:F,'VPLData(raw)'!B:B=478,'VPLData(raw)'!A:A=A7),0)"),"-8434")</f>
        <v>-8434</v>
      </c>
      <c r="AD7" t="str">
        <f ca="1">IFERROR(__xludf.DUMMYFUNCTION("IFERROR(FILTER('VPLData(raw)'!C:C,'VPLData(raw)'!B:B=542,'VPLData(raw)'!A:A=A7),0)"),"1498193227")</f>
        <v>1498193227</v>
      </c>
      <c r="AE7" t="str">
        <f ca="1">IFERROR(__xludf.DUMMYFUNCTION("IFERROR(IF(AD7&gt;0, FILTER('VPLData(raw)'!E:E,'VPLData(raw)'!B:B=542,'VPLData(raw)'!A:A=A7), 0),0)"),"10")</f>
        <v>10</v>
      </c>
      <c r="AF7" t="str">
        <f ca="1">IFERROR(__xludf.DUMMYFUNCTION("IFERROR(FILTER('VPLData(raw)'!F:F,'VPLData(raw)'!B:B=542,'VPLData(raw)'!A:A=A7),0)"),"288")</f>
        <v>288</v>
      </c>
      <c r="AG7" t="str">
        <f ca="1">IFERROR(__xludf.DUMMYFUNCTION("IFERROR(FILTER('VPLData(raw)'!C:C,'VPLData(raw)'!B:B=544,'VPLData(raw)'!A:A=A7),0)"),"1499454603")</f>
        <v>1499454603</v>
      </c>
      <c r="AH7" t="str">
        <f ca="1">IFERROR(__xludf.DUMMYFUNCTION("IFERROR(IF(AG7&gt;0, FILTER('VPLData(raw)'!E:E,'VPLData(raw)'!B:B=544,'VPLData(raw)'!A:A=A7), 0),0)"),"10")</f>
        <v>10</v>
      </c>
      <c r="AI7" t="str">
        <f ca="1">IFERROR(__xludf.DUMMYFUNCTION("IFERROR(FILTER('VPLData(raw)'!F:F,'VPLData(raw)'!B:B=544,'VPLData(raw)'!A:A=A7),0)"),"497")</f>
        <v>497</v>
      </c>
      <c r="AJ7" t="str">
        <f ca="1">IFERROR(__xludf.DUMMYFUNCTION("IFERROR(FILTER('VPLData(raw)'!C:C,'VPLData(raw)'!B:B=545,'VPLData(raw)'!A:A=A7),0)"),"1497997065")</f>
        <v>1497997065</v>
      </c>
      <c r="AK7" t="str">
        <f ca="1">IFERROR(__xludf.DUMMYFUNCTION("IFERROR(IF(AJ7&gt;0, FILTER('VPLData(raw)'!E:E,'VPLData(raw)'!B:B=545,'VPLData(raw)'!A:A=A7), 0),0)"),"10")</f>
        <v>10</v>
      </c>
      <c r="AL7" t="str">
        <f ca="1">IFERROR(__xludf.DUMMYFUNCTION("IFERROR(FILTER('VPLData(raw)'!F:F,'VPLData(raw)'!B:B=545,'VPLData(raw)'!A:A=A7),0)"),"383")</f>
        <v>383</v>
      </c>
    </row>
    <row r="8" spans="1:39" ht="15.75" customHeight="1" x14ac:dyDescent="0.15">
      <c r="A8" s="2">
        <v>10229</v>
      </c>
      <c r="B8" s="2">
        <v>9292462</v>
      </c>
      <c r="C8" t="str">
        <f ca="1">IFERROR(__xludf.DUMMYFUNCTION("IFERROR(FILTER('VPLData(raw)'!C:C,'VPLData(raw)'!B:B=504,'VPLData(raw)'!A:A=A8),0)"),"0")</f>
        <v>0</v>
      </c>
      <c r="D8" s="3" t="str">
        <f ca="1">IFERROR(__xludf.DUMMYFUNCTION("IFERROR(IF(C8&gt;0, FILTER('VPLData(raw)'!E:E,'VPLData(raw)'!B:B=504,'VPLData(raw)'!A:A=A8), 0),0)"),"0")</f>
        <v>0</v>
      </c>
      <c r="E8" t="str">
        <f ca="1">IFERROR(__xludf.DUMMYFUNCTION("IFERROR(FILTER('VPLData(raw)'!F:F,'VPLData(raw)'!B:B=504,'VPLData(raw)'!A:A=A8),0)"),"0")</f>
        <v>0</v>
      </c>
      <c r="F8" t="str">
        <f ca="1">IFERROR(__xludf.DUMMYFUNCTION("IFERROR(FILTER('VPLData(raw)'!C:C,'VPLData(raw)'!B:B=454,'VPLData(raw)'!A:A=A8),0)"),"0")</f>
        <v>0</v>
      </c>
      <c r="G8" t="str">
        <f ca="1">IFERROR(__xludf.DUMMYFUNCTION("IFERROR(IF(F8&gt;0, FILTER('VPLData(raw)'!E:E,'VPLData(raw)'!B:B=454,'VPLData(raw)'!A:A=A8), 0),0)"),"0")</f>
        <v>0</v>
      </c>
      <c r="H8" t="str">
        <f ca="1">IFERROR(__xludf.DUMMYFUNCTION("IFERROR(FILTER('VPLData(raw)'!F:F,'VPLData(raw)'!B:B=454,'VPLData(raw)'!A:A=A8),0)"),"0")</f>
        <v>0</v>
      </c>
      <c r="I8" t="str">
        <f ca="1">IFERROR(__xludf.DUMMYFUNCTION("IFERROR(FILTER('VPLData(raw)'!C:C,'VPLData(raw)'!B:B=457,'VPLData(raw)'!A:A=A8),0)"),"0")</f>
        <v>0</v>
      </c>
      <c r="J8" t="str">
        <f ca="1">IFERROR(__xludf.DUMMYFUNCTION("IFERROR(IF(I8&gt;0, FILTER('VPLData(raw)'!E:E,'VPLData(raw)'!B:B=457,'VPLData(raw)'!A:A=A8), 0),0)"),"0")</f>
        <v>0</v>
      </c>
      <c r="K8" t="str">
        <f ca="1">IFERROR(__xludf.DUMMYFUNCTION("IFERROR(FILTER('VPLData(raw)'!F:F,'VPLData(raw)'!B:B=457,'VPLData(raw)'!A:A=A8),0)"),"0")</f>
        <v>0</v>
      </c>
      <c r="L8" t="str">
        <f ca="1">IFERROR(__xludf.DUMMYFUNCTION("IFERROR(FILTER('VPLData(raw)'!C:C,'VPLData(raw)'!B:B=534,'VPLData(raw)'!A:A=A8),0)"),"0")</f>
        <v>0</v>
      </c>
      <c r="M8" t="str">
        <f ca="1">IFERROR(__xludf.DUMMYFUNCTION("IFERROR(IF(L8&gt;0, FILTER('VPLData(raw)'!E:E,'VPLData(raw)'!B:B=534,'VPLData(raw)'!A:A=A8), 0),0)"),"0")</f>
        <v>0</v>
      </c>
      <c r="N8" t="str">
        <f ca="1">IFERROR(__xludf.DUMMYFUNCTION("IFERROR(FILTER('VPLData(raw)'!F:F,'VPLData(raw)'!B:B=534,'VPLData(raw)'!A:A=A8),0)"),"0")</f>
        <v>0</v>
      </c>
      <c r="O8" t="str">
        <f ca="1">IFERROR(__xludf.DUMMYFUNCTION("IFERROR(FILTER('VPLData(raw)'!C:C,'VPLData(raw)'!B:B=498,'VPLData(raw)'!A:A=A8),0)"),"0")</f>
        <v>0</v>
      </c>
      <c r="P8" t="str">
        <f ca="1">IFERROR(__xludf.DUMMYFUNCTION("IFERROR(IF(O8&gt;0, FILTER('VPLData(raw)'!E:E,'VPLData(raw)'!B:B=498,'VPLData(raw)'!A:A=A8), 0),0)"),"0")</f>
        <v>0</v>
      </c>
      <c r="Q8" t="str">
        <f ca="1">IFERROR(__xludf.DUMMYFUNCTION("IFERROR(FILTER('VPLData(raw)'!F:F,'VPLData(raw)'!B:B=498,'VPLData(raw)'!A:A=A8),0)"),"0")</f>
        <v>0</v>
      </c>
      <c r="R8" t="str">
        <f ca="1">IFERROR(__xludf.DUMMYFUNCTION("IFERROR(FILTER('VPLData(raw)'!C:C,'VPLData(raw)'!B:B=515,'VPLData(raw)'!A:A=A8),0)"),"0")</f>
        <v>0</v>
      </c>
      <c r="S8" t="str">
        <f ca="1">IFERROR(__xludf.DUMMYFUNCTION("IFERROR(IF(R8&gt;0, FILTER('VPLData(raw)'!E:E,'VPLData(raw)'!B:B=515,'VPLData(raw)'!A:A=A8), 0),0)"),"0")</f>
        <v>0</v>
      </c>
      <c r="T8" t="str">
        <f ca="1">IFERROR(__xludf.DUMMYFUNCTION("IFERROR(FILTER('VPLData(raw)'!F:F,'VPLData(raw)'!B:B=515,'VPLData(raw)'!A:A=A8),0)"),"0")</f>
        <v>0</v>
      </c>
      <c r="U8" t="str">
        <f ca="1">IFERROR(__xludf.DUMMYFUNCTION("IFERROR(FILTER('VPLData(raw)'!C:C,'VPLData(raw)'!B:B=528,'VPLData(raw)'!A:A=A8),0)"),"0")</f>
        <v>0</v>
      </c>
      <c r="V8" t="str">
        <f ca="1">IFERROR(__xludf.DUMMYFUNCTION("IFERROR(IF(U8&gt;0, FILTER('VPLData(raw)'!E:E,'VPLData(raw)'!B:B=528,'VPLData(raw)'!A:A=A8), 0),0)"),"0")</f>
        <v>0</v>
      </c>
      <c r="W8" t="str">
        <f ca="1">IFERROR(__xludf.DUMMYFUNCTION("IFERROR(FILTER('VPLData(raw)'!F:F,'VPLData(raw)'!B:B=528,'VPLData(raw)'!A:A=A8),0)"),"0")</f>
        <v>0</v>
      </c>
      <c r="X8" t="str">
        <f ca="1">IFERROR(__xludf.DUMMYFUNCTION("IFERROR(FILTER('VPLData(raw)'!C:C,'VPLData(raw)'!B:B=524,'VPLData(raw)'!A:A=A8),0)"),"0")</f>
        <v>0</v>
      </c>
      <c r="Y8" t="str">
        <f ca="1">IFERROR(__xludf.DUMMYFUNCTION("IFERROR(IF(X8&gt;0, FILTER('VPLData(raw)'!E:E,'VPLData(raw)'!B:B=524,'VPLData(raw)'!A:A=A8), 0),0)"),"0")</f>
        <v>0</v>
      </c>
      <c r="Z8" t="str">
        <f ca="1">IFERROR(__xludf.DUMMYFUNCTION("IFERROR(FILTER('VPLData(raw)'!F:F,'VPLData(raw)'!B:B=524,'VPLData(raw)'!A:A=A8),0)"),"0")</f>
        <v>0</v>
      </c>
      <c r="AA8" t="str">
        <f ca="1">IFERROR(__xludf.DUMMYFUNCTION("IFERROR(FILTER('VPLData(raw)'!C:C,'VPLData(raw)'!B:B=478,'VPLData(raw)'!A:A=A8),0)"),"0")</f>
        <v>0</v>
      </c>
      <c r="AB8" t="str">
        <f ca="1">IFERROR(__xludf.DUMMYFUNCTION("IFERROR(IF(AA8&gt;0, FILTER('VPLData(raw)'!E:E,'VPLData(raw)'!B:B=478,'VPLData(raw)'!A:A=A8), 0),0)"),"0")</f>
        <v>0</v>
      </c>
      <c r="AC8" t="str">
        <f ca="1">IFERROR(__xludf.DUMMYFUNCTION("IFERROR(FILTER('VPLData(raw)'!F:F,'VPLData(raw)'!B:B=478,'VPLData(raw)'!A:A=A8),0)"),"0")</f>
        <v>0</v>
      </c>
      <c r="AD8" t="str">
        <f ca="1">IFERROR(__xludf.DUMMYFUNCTION("IFERROR(FILTER('VPLData(raw)'!C:C,'VPLData(raw)'!B:B=542,'VPLData(raw)'!A:A=A8),0)"),"0")</f>
        <v>0</v>
      </c>
      <c r="AE8" t="str">
        <f ca="1">IFERROR(__xludf.DUMMYFUNCTION("IFERROR(IF(AD8&gt;0, FILTER('VPLData(raw)'!E:E,'VPLData(raw)'!B:B=542,'VPLData(raw)'!A:A=A8), 0),0)"),"0")</f>
        <v>0</v>
      </c>
      <c r="AF8" t="str">
        <f ca="1">IFERROR(__xludf.DUMMYFUNCTION("IFERROR(FILTER('VPLData(raw)'!F:F,'VPLData(raw)'!B:B=542,'VPLData(raw)'!A:A=A8),0)"),"0")</f>
        <v>0</v>
      </c>
      <c r="AG8" t="str">
        <f ca="1">IFERROR(__xludf.DUMMYFUNCTION("IFERROR(FILTER('VPLData(raw)'!C:C,'VPLData(raw)'!B:B=544,'VPLData(raw)'!A:A=A8),0)"),"0")</f>
        <v>0</v>
      </c>
      <c r="AH8" t="str">
        <f ca="1">IFERROR(__xludf.DUMMYFUNCTION("IFERROR(IF(AG8&gt;0, FILTER('VPLData(raw)'!E:E,'VPLData(raw)'!B:B=544,'VPLData(raw)'!A:A=A8), 0),0)"),"0")</f>
        <v>0</v>
      </c>
      <c r="AI8" t="str">
        <f ca="1">IFERROR(__xludf.DUMMYFUNCTION("IFERROR(FILTER('VPLData(raw)'!F:F,'VPLData(raw)'!B:B=544,'VPLData(raw)'!A:A=A8),0)"),"0")</f>
        <v>0</v>
      </c>
      <c r="AJ8" t="str">
        <f ca="1">IFERROR(__xludf.DUMMYFUNCTION("IFERROR(FILTER('VPLData(raw)'!C:C,'VPLData(raw)'!B:B=545,'VPLData(raw)'!A:A=A8),0)"),"0")</f>
        <v>0</v>
      </c>
      <c r="AK8" t="str">
        <f ca="1">IFERROR(__xludf.DUMMYFUNCTION("IFERROR(IF(AJ8&gt;0, FILTER('VPLData(raw)'!E:E,'VPLData(raw)'!B:B=545,'VPLData(raw)'!A:A=A8), 0),0)"),"0")</f>
        <v>0</v>
      </c>
      <c r="AL8" t="str">
        <f ca="1">IFERROR(__xludf.DUMMYFUNCTION("IFERROR(FILTER('VPLData(raw)'!F:F,'VPLData(raw)'!B:B=545,'VPLData(raw)'!A:A=A8),0)"),"0")</f>
        <v>0</v>
      </c>
    </row>
    <row r="9" spans="1:39" ht="15.75" customHeight="1" x14ac:dyDescent="0.15">
      <c r="A9" s="2">
        <v>10211</v>
      </c>
      <c r="B9" s="2">
        <v>9311643</v>
      </c>
      <c r="C9" t="str">
        <f ca="1">IFERROR(__xludf.DUMMYFUNCTION("IFERROR(FILTER('VPLData(raw)'!C:C,'VPLData(raw)'!B:B=504,'VPLData(raw)'!A:A=A9),0)"),"1490730339")</f>
        <v>1490730339</v>
      </c>
      <c r="D9" s="3" t="str">
        <f ca="1">IFERROR(__xludf.DUMMYFUNCTION("IFERROR(IF(C9&gt;0, FILTER('VPLData(raw)'!E:E,'VPLData(raw)'!B:B=504,'VPLData(raw)'!A:A=A9), 0),0)"),"10")</f>
        <v>10</v>
      </c>
      <c r="E9" t="str">
        <f ca="1">IFERROR(__xludf.DUMMYFUNCTION("IFERROR(FILTER('VPLData(raw)'!F:F,'VPLData(raw)'!B:B=504,'VPLData(raw)'!A:A=A9),0)"),"558")</f>
        <v>558</v>
      </c>
      <c r="F9" t="str">
        <f ca="1">IFERROR(__xludf.DUMMYFUNCTION("IFERROR(FILTER('VPLData(raw)'!C:C,'VPLData(raw)'!B:B=454,'VPLData(raw)'!A:A=A9),0)"),"1491835242")</f>
        <v>1491835242</v>
      </c>
      <c r="G9" t="str">
        <f ca="1">IFERROR(__xludf.DUMMYFUNCTION("IFERROR(IF(F9&gt;0, FILTER('VPLData(raw)'!E:E,'VPLData(raw)'!B:B=454,'VPLData(raw)'!A:A=A9), 0),0)"),"10")</f>
        <v>10</v>
      </c>
      <c r="H9" t="str">
        <f ca="1">IFERROR(__xludf.DUMMYFUNCTION("IFERROR(FILTER('VPLData(raw)'!F:F,'VPLData(raw)'!B:B=454,'VPLData(raw)'!A:A=A9),0)"),"1176")</f>
        <v>1176</v>
      </c>
      <c r="I9" t="str">
        <f ca="1">IFERROR(__xludf.DUMMYFUNCTION("IFERROR(FILTER('VPLData(raw)'!C:C,'VPLData(raw)'!B:B=457,'VPLData(raw)'!A:A=A9),0)"),"1491838533")</f>
        <v>1491838533</v>
      </c>
      <c r="J9" t="str">
        <f ca="1">IFERROR(__xludf.DUMMYFUNCTION("IFERROR(IF(I9&gt;0, FILTER('VPLData(raw)'!E:E,'VPLData(raw)'!B:B=457,'VPLData(raw)'!A:A=A9), 0),0)"),"10")</f>
        <v>10</v>
      </c>
      <c r="K9" t="str">
        <f ca="1">IFERROR(__xludf.DUMMYFUNCTION("IFERROR(FILTER('VPLData(raw)'!F:F,'VPLData(raw)'!B:B=457,'VPLData(raw)'!A:A=A9),0)"),"691")</f>
        <v>691</v>
      </c>
      <c r="L9" t="str">
        <f ca="1">IFERROR(__xludf.DUMMYFUNCTION("IFERROR(FILTER('VPLData(raw)'!C:C,'VPLData(raw)'!B:B=534,'VPLData(raw)'!A:A=A9),0)"),"0")</f>
        <v>0</v>
      </c>
      <c r="M9" t="str">
        <f ca="1">IFERROR(__xludf.DUMMYFUNCTION("IFERROR(IF(L9&gt;0, FILTER('VPLData(raw)'!E:E,'VPLData(raw)'!B:B=534,'VPLData(raw)'!A:A=A9), 0),0)"),"0")</f>
        <v>0</v>
      </c>
      <c r="N9" t="str">
        <f ca="1">IFERROR(__xludf.DUMMYFUNCTION("IFERROR(FILTER('VPLData(raw)'!F:F,'VPLData(raw)'!B:B=534,'VPLData(raw)'!A:A=A9),0)"),"0")</f>
        <v>0</v>
      </c>
      <c r="O9" t="str">
        <f ca="1">IFERROR(__xludf.DUMMYFUNCTION("IFERROR(FILTER('VPLData(raw)'!C:C,'VPLData(raw)'!B:B=498,'VPLData(raw)'!A:A=A9),0)"),"1492874129")</f>
        <v>1492874129</v>
      </c>
      <c r="P9" t="str">
        <f ca="1">IFERROR(__xludf.DUMMYFUNCTION("IFERROR(IF(O9&gt;0, FILTER('VPLData(raw)'!E:E,'VPLData(raw)'!B:B=498,'VPLData(raw)'!A:A=A9), 0),0)"),"10")</f>
        <v>10</v>
      </c>
      <c r="Q9" t="str">
        <f ca="1">IFERROR(__xludf.DUMMYFUNCTION("IFERROR(FILTER('VPLData(raw)'!F:F,'VPLData(raw)'!B:B=498,'VPLData(raw)'!A:A=A9),0)"),"211")</f>
        <v>211</v>
      </c>
      <c r="R9" t="str">
        <f ca="1">IFERROR(__xludf.DUMMYFUNCTION("IFERROR(FILTER('VPLData(raw)'!C:C,'VPLData(raw)'!B:B=515,'VPLData(raw)'!A:A=A9),0)"),"1492874734")</f>
        <v>1492874734</v>
      </c>
      <c r="S9" t="str">
        <f ca="1">IFERROR(__xludf.DUMMYFUNCTION("IFERROR(IF(R9&gt;0, FILTER('VPLData(raw)'!E:E,'VPLData(raw)'!B:B=515,'VPLData(raw)'!A:A=A9), 0),0)"),"10")</f>
        <v>10</v>
      </c>
      <c r="T9" t="str">
        <f ca="1">IFERROR(__xludf.DUMMYFUNCTION("IFERROR(FILTER('VPLData(raw)'!F:F,'VPLData(raw)'!B:B=515,'VPLData(raw)'!A:A=A9),0)"),"468")</f>
        <v>468</v>
      </c>
      <c r="U9" t="str">
        <f ca="1">IFERROR(__xludf.DUMMYFUNCTION("IFERROR(FILTER('VPLData(raw)'!C:C,'VPLData(raw)'!B:B=528,'VPLData(raw)'!A:A=A9),0)"),"1494591625")</f>
        <v>1494591625</v>
      </c>
      <c r="V9" t="str">
        <f ca="1">IFERROR(__xludf.DUMMYFUNCTION("IFERROR(IF(U9&gt;0, FILTER('VPLData(raw)'!E:E,'VPLData(raw)'!B:B=528,'VPLData(raw)'!A:A=A9), 0),0)"),"10")</f>
        <v>10</v>
      </c>
      <c r="W9" t="str">
        <f ca="1">IFERROR(__xludf.DUMMYFUNCTION("IFERROR(FILTER('VPLData(raw)'!F:F,'VPLData(raw)'!B:B=528,'VPLData(raw)'!A:A=A9),0)"),"110")</f>
        <v>110</v>
      </c>
      <c r="X9" t="str">
        <f ca="1">IFERROR(__xludf.DUMMYFUNCTION("IFERROR(FILTER('VPLData(raw)'!C:C,'VPLData(raw)'!B:B=524,'VPLData(raw)'!A:A=A9),0)"),"1494592008")</f>
        <v>1494592008</v>
      </c>
      <c r="Y9" t="str">
        <f ca="1">IFERROR(__xludf.DUMMYFUNCTION("IFERROR(IF(X9&gt;0, FILTER('VPLData(raw)'!E:E,'VPLData(raw)'!B:B=524,'VPLData(raw)'!A:A=A9), 0),0)"),"10")</f>
        <v>10</v>
      </c>
      <c r="Z9" t="str">
        <f ca="1">IFERROR(__xludf.DUMMYFUNCTION("IFERROR(FILTER('VPLData(raw)'!F:F,'VPLData(raw)'!B:B=524,'VPLData(raw)'!A:A=A9),0)"),"1057")</f>
        <v>1057</v>
      </c>
      <c r="AA9" t="str">
        <f ca="1">IFERROR(__xludf.DUMMYFUNCTION("IFERROR(FILTER('VPLData(raw)'!C:C,'VPLData(raw)'!B:B=478,'VPLData(raw)'!A:A=A9),0)"),"1494602932")</f>
        <v>1494602932</v>
      </c>
      <c r="AB9" t="str">
        <f ca="1">IFERROR(__xludf.DUMMYFUNCTION("IFERROR(IF(AA9&gt;0, FILTER('VPLData(raw)'!E:E,'VPLData(raw)'!B:B=478,'VPLData(raw)'!A:A=A9), 0),0)"),"10")</f>
        <v>10</v>
      </c>
      <c r="AC9" t="str">
        <f ca="1">IFERROR(__xludf.DUMMYFUNCTION("IFERROR(FILTER('VPLData(raw)'!F:F,'VPLData(raw)'!B:B=478,'VPLData(raw)'!A:A=A9),0)"),"2577")</f>
        <v>2577</v>
      </c>
      <c r="AD9" t="str">
        <f ca="1">IFERROR(__xludf.DUMMYFUNCTION("IFERROR(FILTER('VPLData(raw)'!C:C,'VPLData(raw)'!B:B=542,'VPLData(raw)'!A:A=A9),0)"),"0")</f>
        <v>0</v>
      </c>
      <c r="AE9" t="str">
        <f ca="1">IFERROR(__xludf.DUMMYFUNCTION("IFERROR(IF(AD9&gt;0, FILTER('VPLData(raw)'!E:E,'VPLData(raw)'!B:B=542,'VPLData(raw)'!A:A=A9), 0),0)"),"0")</f>
        <v>0</v>
      </c>
      <c r="AF9" t="str">
        <f ca="1">IFERROR(__xludf.DUMMYFUNCTION("IFERROR(FILTER('VPLData(raw)'!F:F,'VPLData(raw)'!B:B=542,'VPLData(raw)'!A:A=A9),0)"),"0")</f>
        <v>0</v>
      </c>
      <c r="AG9" t="str">
        <f ca="1">IFERROR(__xludf.DUMMYFUNCTION("IFERROR(FILTER('VPLData(raw)'!C:C,'VPLData(raw)'!B:B=544,'VPLData(raw)'!A:A=A9),0)"),"0")</f>
        <v>0</v>
      </c>
      <c r="AH9" t="str">
        <f ca="1">IFERROR(__xludf.DUMMYFUNCTION("IFERROR(IF(AG9&gt;0, FILTER('VPLData(raw)'!E:E,'VPLData(raw)'!B:B=544,'VPLData(raw)'!A:A=A9), 0),0)"),"0")</f>
        <v>0</v>
      </c>
      <c r="AI9" t="str">
        <f ca="1">IFERROR(__xludf.DUMMYFUNCTION("IFERROR(FILTER('VPLData(raw)'!F:F,'VPLData(raw)'!B:B=544,'VPLData(raw)'!A:A=A9),0)"),"0")</f>
        <v>0</v>
      </c>
      <c r="AJ9" t="str">
        <f ca="1">IFERROR(__xludf.DUMMYFUNCTION("IFERROR(FILTER('VPLData(raw)'!C:C,'VPLData(raw)'!B:B=545,'VPLData(raw)'!A:A=A9),0)"),"0")</f>
        <v>0</v>
      </c>
      <c r="AK9" t="str">
        <f ca="1">IFERROR(__xludf.DUMMYFUNCTION("IFERROR(IF(AJ9&gt;0, FILTER('VPLData(raw)'!E:E,'VPLData(raw)'!B:B=545,'VPLData(raw)'!A:A=A9), 0),0)"),"0")</f>
        <v>0</v>
      </c>
      <c r="AL9" t="str">
        <f ca="1">IFERROR(__xludf.DUMMYFUNCTION("IFERROR(FILTER('VPLData(raw)'!F:F,'VPLData(raw)'!B:B=545,'VPLData(raw)'!A:A=A9),0)"),"0")</f>
        <v>0</v>
      </c>
    </row>
    <row r="10" spans="1:39" ht="15.75" customHeight="1" x14ac:dyDescent="0.15">
      <c r="A10" s="2">
        <v>10189</v>
      </c>
      <c r="B10" s="2">
        <v>9363926</v>
      </c>
      <c r="C10" t="str">
        <f ca="1">IFERROR(__xludf.DUMMYFUNCTION("IFERROR(FILTER('VPLData(raw)'!C:C,'VPLData(raw)'!B:B=504,'VPLData(raw)'!A:A=A10),0)"),"1490832110")</f>
        <v>1490832110</v>
      </c>
      <c r="D10" s="3" t="str">
        <f ca="1">IFERROR(__xludf.DUMMYFUNCTION("IFERROR(IF(C10&gt;0, FILTER('VPLData(raw)'!E:E,'VPLData(raw)'!B:B=504,'VPLData(raw)'!A:A=A10), 0),0)"),"10")</f>
        <v>10</v>
      </c>
      <c r="E10" t="str">
        <f ca="1">IFERROR(__xludf.DUMMYFUNCTION("IFERROR(FILTER('VPLData(raw)'!F:F,'VPLData(raw)'!B:B=504,'VPLData(raw)'!A:A=A10),0)"),"5914")</f>
        <v>5914</v>
      </c>
      <c r="F10" t="str">
        <f ca="1">IFERROR(__xludf.DUMMYFUNCTION("IFERROR(FILTER('VPLData(raw)'!C:C,'VPLData(raw)'!B:B=454,'VPLData(raw)'!A:A=A10),0)"),"1491480039")</f>
        <v>1491480039</v>
      </c>
      <c r="G10" t="str">
        <f ca="1">IFERROR(__xludf.DUMMYFUNCTION("IFERROR(IF(F10&gt;0, FILTER('VPLData(raw)'!E:E,'VPLData(raw)'!B:B=454,'VPLData(raw)'!A:A=A10), 0),0)"),"10")</f>
        <v>10</v>
      </c>
      <c r="H10" t="str">
        <f ca="1">IFERROR(__xludf.DUMMYFUNCTION("IFERROR(FILTER('VPLData(raw)'!F:F,'VPLData(raw)'!B:B=454,'VPLData(raw)'!A:A=A10),0)"),"678")</f>
        <v>678</v>
      </c>
      <c r="I10" t="str">
        <f ca="1">IFERROR(__xludf.DUMMYFUNCTION("IFERROR(FILTER('VPLData(raw)'!C:C,'VPLData(raw)'!B:B=457,'VPLData(raw)'!A:A=A10),0)"),"1492478556")</f>
        <v>1492478556</v>
      </c>
      <c r="J10" t="str">
        <f ca="1">IFERROR(__xludf.DUMMYFUNCTION("IFERROR(IF(I10&gt;0, FILTER('VPLData(raw)'!E:E,'VPLData(raw)'!B:B=457,'VPLData(raw)'!A:A=A10), 0),0)"),"10")</f>
        <v>10</v>
      </c>
      <c r="K10" t="str">
        <f ca="1">IFERROR(__xludf.DUMMYFUNCTION("IFERROR(FILTER('VPLData(raw)'!F:F,'VPLData(raw)'!B:B=457,'VPLData(raw)'!A:A=A10),0)"),"265")</f>
        <v>265</v>
      </c>
      <c r="L10" t="str">
        <f ca="1">IFERROR(__xludf.DUMMYFUNCTION("IFERROR(FILTER('VPLData(raw)'!C:C,'VPLData(raw)'!B:B=534,'VPLData(raw)'!A:A=A10),0)"),"0")</f>
        <v>0</v>
      </c>
      <c r="M10" t="str">
        <f ca="1">IFERROR(__xludf.DUMMYFUNCTION("IFERROR(IF(L10&gt;0, FILTER('VPLData(raw)'!E:E,'VPLData(raw)'!B:B=534,'VPLData(raw)'!A:A=A10), 0),0)"),"0")</f>
        <v>0</v>
      </c>
      <c r="N10" t="str">
        <f ca="1">IFERROR(__xludf.DUMMYFUNCTION("IFERROR(FILTER('VPLData(raw)'!F:F,'VPLData(raw)'!B:B=534,'VPLData(raw)'!A:A=A10),0)"),"0")</f>
        <v>0</v>
      </c>
      <c r="O10" t="str">
        <f ca="1">IFERROR(__xludf.DUMMYFUNCTION("IFERROR(FILTER('VPLData(raw)'!C:C,'VPLData(raw)'!B:B=498,'VPLData(raw)'!A:A=A10),0)"),"1492709638")</f>
        <v>1492709638</v>
      </c>
      <c r="P10" t="str">
        <f ca="1">IFERROR(__xludf.DUMMYFUNCTION("IFERROR(IF(O10&gt;0, FILTER('VPLData(raw)'!E:E,'VPLData(raw)'!B:B=498,'VPLData(raw)'!A:A=A10), 0),0)"),"10")</f>
        <v>10</v>
      </c>
      <c r="Q10" t="str">
        <f ca="1">IFERROR(__xludf.DUMMYFUNCTION("IFERROR(FILTER('VPLData(raw)'!F:F,'VPLData(raw)'!B:B=498,'VPLData(raw)'!A:A=A10),0)"),"395")</f>
        <v>395</v>
      </c>
      <c r="R10" t="str">
        <f ca="1">IFERROR(__xludf.DUMMYFUNCTION("IFERROR(FILTER('VPLData(raw)'!C:C,'VPLData(raw)'!B:B=515,'VPLData(raw)'!A:A=A10),0)"),"1492710779")</f>
        <v>1492710779</v>
      </c>
      <c r="S10" t="str">
        <f ca="1">IFERROR(__xludf.DUMMYFUNCTION("IFERROR(IF(R10&gt;0, FILTER('VPLData(raw)'!E:E,'VPLData(raw)'!B:B=515,'VPLData(raw)'!A:A=A10), 0),0)"),"10")</f>
        <v>10</v>
      </c>
      <c r="T10" t="str">
        <f ca="1">IFERROR(__xludf.DUMMYFUNCTION("IFERROR(FILTER('VPLData(raw)'!F:F,'VPLData(raw)'!B:B=515,'VPLData(raw)'!A:A=A10),0)"),"6795")</f>
        <v>6795</v>
      </c>
      <c r="U10" t="str">
        <f ca="1">IFERROR(__xludf.DUMMYFUNCTION("IFERROR(FILTER('VPLData(raw)'!C:C,'VPLData(raw)'!B:B=528,'VPLData(raw)'!A:A=A10),0)"),"1495403539")</f>
        <v>1495403539</v>
      </c>
      <c r="V10" t="str">
        <f ca="1">IFERROR(__xludf.DUMMYFUNCTION("IFERROR(IF(U10&gt;0, FILTER('VPLData(raw)'!E:E,'VPLData(raw)'!B:B=528,'VPLData(raw)'!A:A=A10), 0),0)"),"10")</f>
        <v>10</v>
      </c>
      <c r="W10" t="str">
        <f ca="1">IFERROR(__xludf.DUMMYFUNCTION("IFERROR(FILTER('VPLData(raw)'!F:F,'VPLData(raw)'!B:B=528,'VPLData(raw)'!A:A=A10),0)"),"782")</f>
        <v>782</v>
      </c>
      <c r="X10" t="str">
        <f ca="1">IFERROR(__xludf.DUMMYFUNCTION("IFERROR(FILTER('VPLData(raw)'!C:C,'VPLData(raw)'!B:B=524,'VPLData(raw)'!A:A=A10),0)"),"1495660617")</f>
        <v>1495660617</v>
      </c>
      <c r="Y10" t="str">
        <f ca="1">IFERROR(__xludf.DUMMYFUNCTION("IFERROR(IF(X10&gt;0, FILTER('VPLData(raw)'!E:E,'VPLData(raw)'!B:B=524,'VPLData(raw)'!A:A=A10), 0),0)"),"")</f>
        <v/>
      </c>
      <c r="Z10" t="str">
        <f ca="1">IFERROR(__xludf.DUMMYFUNCTION("IFERROR(FILTER('VPLData(raw)'!F:F,'VPLData(raw)'!B:B=524,'VPLData(raw)'!A:A=A10),0)"),"801")</f>
        <v>801</v>
      </c>
      <c r="AA10" t="str">
        <f ca="1">IFERROR(__xludf.DUMMYFUNCTION("IFERROR(FILTER('VPLData(raw)'!C:C,'VPLData(raw)'!B:B=478,'VPLData(raw)'!A:A=A10),0)"),"1495555128")</f>
        <v>1495555128</v>
      </c>
      <c r="AB10" t="str">
        <f ca="1">IFERROR(__xludf.DUMMYFUNCTION("IFERROR(IF(AA10&gt;0, FILTER('VPLData(raw)'!E:E,'VPLData(raw)'!B:B=478,'VPLData(raw)'!A:A=A10), 0),0)"),"10")</f>
        <v>10</v>
      </c>
      <c r="AC10" t="str">
        <f ca="1">IFERROR(__xludf.DUMMYFUNCTION("IFERROR(FILTER('VPLData(raw)'!F:F,'VPLData(raw)'!B:B=478,'VPLData(raw)'!A:A=A10),0)"),"872")</f>
        <v>872</v>
      </c>
      <c r="AD10" t="str">
        <f ca="1">IFERROR(__xludf.DUMMYFUNCTION("IFERROR(FILTER('VPLData(raw)'!C:C,'VPLData(raw)'!B:B=542,'VPLData(raw)'!A:A=A10),0)"),"1499027343")</f>
        <v>1499027343</v>
      </c>
      <c r="AE10" t="str">
        <f ca="1">IFERROR(__xludf.DUMMYFUNCTION("IFERROR(IF(AD10&gt;0, FILTER('VPLData(raw)'!E:E,'VPLData(raw)'!B:B=542,'VPLData(raw)'!A:A=A10), 0),0)"),"10")</f>
        <v>10</v>
      </c>
      <c r="AF10" t="str">
        <f ca="1">IFERROR(__xludf.DUMMYFUNCTION("IFERROR(FILTER('VPLData(raw)'!F:F,'VPLData(raw)'!B:B=542,'VPLData(raw)'!A:A=A10),0)"),"948")</f>
        <v>948</v>
      </c>
      <c r="AG10" t="str">
        <f ca="1">IFERROR(__xludf.DUMMYFUNCTION("IFERROR(FILTER('VPLData(raw)'!C:C,'VPLData(raw)'!B:B=544,'VPLData(raw)'!A:A=A10),0)"),"0")</f>
        <v>0</v>
      </c>
      <c r="AH10" t="str">
        <f ca="1">IFERROR(__xludf.DUMMYFUNCTION("IFERROR(IF(AG10&gt;0, FILTER('VPLData(raw)'!E:E,'VPLData(raw)'!B:B=544,'VPLData(raw)'!A:A=A10), 0),0)"),"0")</f>
        <v>0</v>
      </c>
      <c r="AI10" t="str">
        <f ca="1">IFERROR(__xludf.DUMMYFUNCTION("IFERROR(FILTER('VPLData(raw)'!F:F,'VPLData(raw)'!B:B=544,'VPLData(raw)'!A:A=A10),0)"),"0")</f>
        <v>0</v>
      </c>
      <c r="AJ10" t="str">
        <f ca="1">IFERROR(__xludf.DUMMYFUNCTION("IFERROR(FILTER('VPLData(raw)'!C:C,'VPLData(raw)'!B:B=545,'VPLData(raw)'!A:A=A10),0)"),"0")</f>
        <v>0</v>
      </c>
      <c r="AK10" t="str">
        <f ca="1">IFERROR(__xludf.DUMMYFUNCTION("IFERROR(IF(AJ10&gt;0, FILTER('VPLData(raw)'!E:E,'VPLData(raw)'!B:B=545,'VPLData(raw)'!A:A=A10), 0),0)"),"0")</f>
        <v>0</v>
      </c>
      <c r="AL10" t="str">
        <f ca="1">IFERROR(__xludf.DUMMYFUNCTION("IFERROR(FILTER('VPLData(raw)'!F:F,'VPLData(raw)'!B:B=545,'VPLData(raw)'!A:A=A10),0)"),"0")</f>
        <v>0</v>
      </c>
      <c r="AM10" s="1"/>
    </row>
    <row r="11" spans="1:39" ht="15.75" customHeight="1" x14ac:dyDescent="0.15">
      <c r="A11" s="2">
        <v>10224</v>
      </c>
      <c r="B11" s="2">
        <v>9368772</v>
      </c>
      <c r="C11" t="str">
        <f ca="1">IFERROR(__xludf.DUMMYFUNCTION("IFERROR(FILTER('VPLData(raw)'!C:C,'VPLData(raw)'!B:B=504,'VPLData(raw)'!A:A=A11),0)"),"1490824247")</f>
        <v>1490824247</v>
      </c>
      <c r="D11" s="3" t="str">
        <f ca="1">IFERROR(__xludf.DUMMYFUNCTION("IFERROR(IF(C11&gt;0, FILTER('VPLData(raw)'!E:E,'VPLData(raw)'!B:B=504,'VPLData(raw)'!A:A=A11), 0),0)"),"10")</f>
        <v>10</v>
      </c>
      <c r="E11" t="str">
        <f ca="1">IFERROR(__xludf.DUMMYFUNCTION("IFERROR(FILTER('VPLData(raw)'!F:F,'VPLData(raw)'!B:B=504,'VPLData(raw)'!A:A=A11),0)"),"1127")</f>
        <v>1127</v>
      </c>
      <c r="F11" t="str">
        <f ca="1">IFERROR(__xludf.DUMMYFUNCTION("IFERROR(FILTER('VPLData(raw)'!C:C,'VPLData(raw)'!B:B=454,'VPLData(raw)'!A:A=A11),0)"),"1491354859")</f>
        <v>1491354859</v>
      </c>
      <c r="G11" t="str">
        <f ca="1">IFERROR(__xludf.DUMMYFUNCTION("IFERROR(IF(F11&gt;0, FILTER('VPLData(raw)'!E:E,'VPLData(raw)'!B:B=454,'VPLData(raw)'!A:A=A11), 0),0)"),"10")</f>
        <v>10</v>
      </c>
      <c r="H11" t="str">
        <f ca="1">IFERROR(__xludf.DUMMYFUNCTION("IFERROR(FILTER('VPLData(raw)'!F:F,'VPLData(raw)'!B:B=454,'VPLData(raw)'!A:A=A11),0)"),"426")</f>
        <v>426</v>
      </c>
      <c r="I11" t="str">
        <f ca="1">IFERROR(__xludf.DUMMYFUNCTION("IFERROR(FILTER('VPLData(raw)'!C:C,'VPLData(raw)'!B:B=457,'VPLData(raw)'!A:A=A11),0)"),"0")</f>
        <v>0</v>
      </c>
      <c r="J11" t="str">
        <f ca="1">IFERROR(__xludf.DUMMYFUNCTION("IFERROR(IF(I11&gt;0, FILTER('VPLData(raw)'!E:E,'VPLData(raw)'!B:B=457,'VPLData(raw)'!A:A=A11), 0),0)"),"0")</f>
        <v>0</v>
      </c>
      <c r="K11" t="str">
        <f ca="1">IFERROR(__xludf.DUMMYFUNCTION("IFERROR(FILTER('VPLData(raw)'!F:F,'VPLData(raw)'!B:B=457,'VPLData(raw)'!A:A=A11),0)"),"0")</f>
        <v>0</v>
      </c>
      <c r="L11" t="str">
        <f ca="1">IFERROR(__xludf.DUMMYFUNCTION("IFERROR(FILTER('VPLData(raw)'!C:C,'VPLData(raw)'!B:B=534,'VPLData(raw)'!A:A=A11),0)"),"0")</f>
        <v>0</v>
      </c>
      <c r="M11" t="str">
        <f ca="1">IFERROR(__xludf.DUMMYFUNCTION("IFERROR(IF(L11&gt;0, FILTER('VPLData(raw)'!E:E,'VPLData(raw)'!B:B=534,'VPLData(raw)'!A:A=A11), 0),0)"),"0")</f>
        <v>0</v>
      </c>
      <c r="N11" t="str">
        <f ca="1">IFERROR(__xludf.DUMMYFUNCTION("IFERROR(FILTER('VPLData(raw)'!F:F,'VPLData(raw)'!B:B=534,'VPLData(raw)'!A:A=A11),0)"),"0")</f>
        <v>0</v>
      </c>
      <c r="O11" t="str">
        <f ca="1">IFERROR(__xludf.DUMMYFUNCTION("IFERROR(FILTER('VPLData(raw)'!C:C,'VPLData(raw)'!B:B=498,'VPLData(raw)'!A:A=A11),0)"),"1493085514")</f>
        <v>1493085514</v>
      </c>
      <c r="P11" t="str">
        <f ca="1">IFERROR(__xludf.DUMMYFUNCTION("IFERROR(IF(O11&gt;0, FILTER('VPLData(raw)'!E:E,'VPLData(raw)'!B:B=498,'VPLData(raw)'!A:A=A11), 0),0)"),"10")</f>
        <v>10</v>
      </c>
      <c r="Q11" t="str">
        <f ca="1">IFERROR(__xludf.DUMMYFUNCTION("IFERROR(FILTER('VPLData(raw)'!F:F,'VPLData(raw)'!B:B=498,'VPLData(raw)'!A:A=A11),0)"),"479")</f>
        <v>479</v>
      </c>
      <c r="R11" t="str">
        <f ca="1">IFERROR(__xludf.DUMMYFUNCTION("IFERROR(FILTER('VPLData(raw)'!C:C,'VPLData(raw)'!B:B=515,'VPLData(raw)'!A:A=A11),0)"),"1493224674")</f>
        <v>1493224674</v>
      </c>
      <c r="S11" t="str">
        <f ca="1">IFERROR(__xludf.DUMMYFUNCTION("IFERROR(IF(R11&gt;0, FILTER('VPLData(raw)'!E:E,'VPLData(raw)'!B:B=515,'VPLData(raw)'!A:A=A11), 0),0)"),"10")</f>
        <v>10</v>
      </c>
      <c r="T11" t="str">
        <f ca="1">IFERROR(__xludf.DUMMYFUNCTION("IFERROR(FILTER('VPLData(raw)'!F:F,'VPLData(raw)'!B:B=515,'VPLData(raw)'!A:A=A11),0)"),"970")</f>
        <v>970</v>
      </c>
      <c r="U11" t="str">
        <f ca="1">IFERROR(__xludf.DUMMYFUNCTION("IFERROR(FILTER('VPLData(raw)'!C:C,'VPLData(raw)'!B:B=528,'VPLData(raw)'!A:A=A11),0)"),"1494472122")</f>
        <v>1494472122</v>
      </c>
      <c r="V11" t="str">
        <f ca="1">IFERROR(__xludf.DUMMYFUNCTION("IFERROR(IF(U11&gt;0, FILTER('VPLData(raw)'!E:E,'VPLData(raw)'!B:B=528,'VPLData(raw)'!A:A=A11), 0),0)"),"10")</f>
        <v>10</v>
      </c>
      <c r="W11" t="str">
        <f ca="1">IFERROR(__xludf.DUMMYFUNCTION("IFERROR(FILTER('VPLData(raw)'!F:F,'VPLData(raw)'!B:B=528,'VPLData(raw)'!A:A=A11),0)"),"135")</f>
        <v>135</v>
      </c>
      <c r="X11" t="str">
        <f ca="1">IFERROR(__xludf.DUMMYFUNCTION("IFERROR(FILTER('VPLData(raw)'!C:C,'VPLData(raw)'!B:B=524,'VPLData(raw)'!A:A=A11),0)"),"0")</f>
        <v>0</v>
      </c>
      <c r="Y11" t="str">
        <f ca="1">IFERROR(__xludf.DUMMYFUNCTION("IFERROR(IF(X11&gt;0, FILTER('VPLData(raw)'!E:E,'VPLData(raw)'!B:B=524,'VPLData(raw)'!A:A=A11), 0),0)"),"0")</f>
        <v>0</v>
      </c>
      <c r="Z11" t="str">
        <f ca="1">IFERROR(__xludf.DUMMYFUNCTION("IFERROR(FILTER('VPLData(raw)'!F:F,'VPLData(raw)'!B:B=524,'VPLData(raw)'!A:A=A11),0)"),"0")</f>
        <v>0</v>
      </c>
      <c r="AA11" t="str">
        <f ca="1">IFERROR(__xludf.DUMMYFUNCTION("IFERROR(FILTER('VPLData(raw)'!C:C,'VPLData(raw)'!B:B=478,'VPLData(raw)'!A:A=A11),0)"),"0")</f>
        <v>0</v>
      </c>
      <c r="AB11" t="str">
        <f ca="1">IFERROR(__xludf.DUMMYFUNCTION("IFERROR(IF(AA11&gt;0, FILTER('VPLData(raw)'!E:E,'VPLData(raw)'!B:B=478,'VPLData(raw)'!A:A=A11), 0),0)"),"0")</f>
        <v>0</v>
      </c>
      <c r="AC11" t="str">
        <f ca="1">IFERROR(__xludf.DUMMYFUNCTION("IFERROR(FILTER('VPLData(raw)'!F:F,'VPLData(raw)'!B:B=478,'VPLData(raw)'!A:A=A11),0)"),"0")</f>
        <v>0</v>
      </c>
      <c r="AD11" t="str">
        <f ca="1">IFERROR(__xludf.DUMMYFUNCTION("IFERROR(FILTER('VPLData(raw)'!C:C,'VPLData(raw)'!B:B=542,'VPLData(raw)'!A:A=A11),0)"),"0")</f>
        <v>0</v>
      </c>
      <c r="AE11" t="str">
        <f ca="1">IFERROR(__xludf.DUMMYFUNCTION("IFERROR(IF(AD11&gt;0, FILTER('VPLData(raw)'!E:E,'VPLData(raw)'!B:B=542,'VPLData(raw)'!A:A=A11), 0),0)"),"0")</f>
        <v>0</v>
      </c>
      <c r="AF11" t="str">
        <f ca="1">IFERROR(__xludf.DUMMYFUNCTION("IFERROR(FILTER('VPLData(raw)'!F:F,'VPLData(raw)'!B:B=542,'VPLData(raw)'!A:A=A11),0)"),"0")</f>
        <v>0</v>
      </c>
      <c r="AG11" t="str">
        <f ca="1">IFERROR(__xludf.DUMMYFUNCTION("IFERROR(FILTER('VPLData(raw)'!C:C,'VPLData(raw)'!B:B=544,'VPLData(raw)'!A:A=A11),0)"),"0")</f>
        <v>0</v>
      </c>
      <c r="AH11" t="str">
        <f ca="1">IFERROR(__xludf.DUMMYFUNCTION("IFERROR(IF(AG11&gt;0, FILTER('VPLData(raw)'!E:E,'VPLData(raw)'!B:B=544,'VPLData(raw)'!A:A=A11), 0),0)"),"0")</f>
        <v>0</v>
      </c>
      <c r="AI11" t="str">
        <f ca="1">IFERROR(__xludf.DUMMYFUNCTION("IFERROR(FILTER('VPLData(raw)'!F:F,'VPLData(raw)'!B:B=544,'VPLData(raw)'!A:A=A11),0)"),"0")</f>
        <v>0</v>
      </c>
      <c r="AJ11" t="str">
        <f ca="1">IFERROR(__xludf.DUMMYFUNCTION("IFERROR(FILTER('VPLData(raw)'!C:C,'VPLData(raw)'!B:B=545,'VPLData(raw)'!A:A=A11),0)"),"0")</f>
        <v>0</v>
      </c>
      <c r="AK11" t="str">
        <f ca="1">IFERROR(__xludf.DUMMYFUNCTION("IFERROR(IF(AJ11&gt;0, FILTER('VPLData(raw)'!E:E,'VPLData(raw)'!B:B=545,'VPLData(raw)'!A:A=A11), 0),0)"),"0")</f>
        <v>0</v>
      </c>
      <c r="AL11" t="str">
        <f ca="1">IFERROR(__xludf.DUMMYFUNCTION("IFERROR(FILTER('VPLData(raw)'!F:F,'VPLData(raw)'!B:B=545,'VPLData(raw)'!A:A=A11),0)"),"0")</f>
        <v>0</v>
      </c>
      <c r="AM11" s="1"/>
    </row>
    <row r="12" spans="1:39" ht="15.75" customHeight="1" x14ac:dyDescent="0.15">
      <c r="A12" s="2">
        <v>10222</v>
      </c>
      <c r="B12" s="2">
        <v>9436110</v>
      </c>
      <c r="C12" t="str">
        <f ca="1">IFERROR(__xludf.DUMMYFUNCTION("IFERROR(FILTER('VPLData(raw)'!C:C,'VPLData(raw)'!B:B=504,'VPLData(raw)'!A:A=A12),0)"),"0")</f>
        <v>0</v>
      </c>
      <c r="D12" s="3" t="str">
        <f ca="1">IFERROR(__xludf.DUMMYFUNCTION("IFERROR(IF(C12&gt;0, FILTER('VPLData(raw)'!E:E,'VPLData(raw)'!B:B=504,'VPLData(raw)'!A:A=A12), 0),0)"),"0")</f>
        <v>0</v>
      </c>
      <c r="E12" t="str">
        <f ca="1">IFERROR(__xludf.DUMMYFUNCTION("IFERROR(FILTER('VPLData(raw)'!F:F,'VPLData(raw)'!B:B=504,'VPLData(raw)'!A:A=A12),0)"),"0")</f>
        <v>0</v>
      </c>
      <c r="F12" t="str">
        <f ca="1">IFERROR(__xludf.DUMMYFUNCTION("IFERROR(FILTER('VPLData(raw)'!C:C,'VPLData(raw)'!B:B=454,'VPLData(raw)'!A:A=A12),0)"),"0")</f>
        <v>0</v>
      </c>
      <c r="G12" t="str">
        <f ca="1">IFERROR(__xludf.DUMMYFUNCTION("IFERROR(IF(F12&gt;0, FILTER('VPLData(raw)'!E:E,'VPLData(raw)'!B:B=454,'VPLData(raw)'!A:A=A12), 0),0)"),"0")</f>
        <v>0</v>
      </c>
      <c r="H12" t="str">
        <f ca="1">IFERROR(__xludf.DUMMYFUNCTION("IFERROR(FILTER('VPLData(raw)'!F:F,'VPLData(raw)'!B:B=454,'VPLData(raw)'!A:A=A12),0)"),"0")</f>
        <v>0</v>
      </c>
      <c r="I12" t="str">
        <f ca="1">IFERROR(__xludf.DUMMYFUNCTION("IFERROR(FILTER('VPLData(raw)'!C:C,'VPLData(raw)'!B:B=457,'VPLData(raw)'!A:A=A12),0)"),"0")</f>
        <v>0</v>
      </c>
      <c r="J12" t="str">
        <f ca="1">IFERROR(__xludf.DUMMYFUNCTION("IFERROR(IF(I12&gt;0, FILTER('VPLData(raw)'!E:E,'VPLData(raw)'!B:B=457,'VPLData(raw)'!A:A=A12), 0),0)"),"0")</f>
        <v>0</v>
      </c>
      <c r="K12" t="str">
        <f ca="1">IFERROR(__xludf.DUMMYFUNCTION("IFERROR(FILTER('VPLData(raw)'!F:F,'VPLData(raw)'!B:B=457,'VPLData(raw)'!A:A=A12),0)"),"0")</f>
        <v>0</v>
      </c>
      <c r="L12" t="str">
        <f ca="1">IFERROR(__xludf.DUMMYFUNCTION("IFERROR(FILTER('VPLData(raw)'!C:C,'VPLData(raw)'!B:B=534,'VPLData(raw)'!A:A=A12),0)"),"0")</f>
        <v>0</v>
      </c>
      <c r="M12" t="str">
        <f ca="1">IFERROR(__xludf.DUMMYFUNCTION("IFERROR(IF(L12&gt;0, FILTER('VPLData(raw)'!E:E,'VPLData(raw)'!B:B=534,'VPLData(raw)'!A:A=A12), 0),0)"),"0")</f>
        <v>0</v>
      </c>
      <c r="N12" t="str">
        <f ca="1">IFERROR(__xludf.DUMMYFUNCTION("IFERROR(FILTER('VPLData(raw)'!F:F,'VPLData(raw)'!B:B=534,'VPLData(raw)'!A:A=A12),0)"),"0")</f>
        <v>0</v>
      </c>
      <c r="O12" t="str">
        <f ca="1">IFERROR(__xludf.DUMMYFUNCTION("IFERROR(FILTER('VPLData(raw)'!C:C,'VPLData(raw)'!B:B=498,'VPLData(raw)'!A:A=A12),0)"),"1496721235")</f>
        <v>1496721235</v>
      </c>
      <c r="P12" t="str">
        <f ca="1">IFERROR(__xludf.DUMMYFUNCTION("IFERROR(IF(O12&gt;0, FILTER('VPLData(raw)'!E:E,'VPLData(raw)'!B:B=498,'VPLData(raw)'!A:A=A12), 0),0)"),"10")</f>
        <v>10</v>
      </c>
      <c r="Q12" t="str">
        <f ca="1">IFERROR(__xludf.DUMMYFUNCTION("IFERROR(FILTER('VPLData(raw)'!F:F,'VPLData(raw)'!B:B=498,'VPLData(raw)'!A:A=A12),0)"),"171")</f>
        <v>171</v>
      </c>
      <c r="R12" t="str">
        <f ca="1">IFERROR(__xludf.DUMMYFUNCTION("IFERROR(FILTER('VPLData(raw)'!C:C,'VPLData(raw)'!B:B=515,'VPLData(raw)'!A:A=A12),0)"),"1496719786")</f>
        <v>1496719786</v>
      </c>
      <c r="S12" t="str">
        <f ca="1">IFERROR(__xludf.DUMMYFUNCTION("IFERROR(IF(R12&gt;0, FILTER('VPLData(raw)'!E:E,'VPLData(raw)'!B:B=515,'VPLData(raw)'!A:A=A12), 0),0)"),"10")</f>
        <v>10</v>
      </c>
      <c r="T12" t="str">
        <f ca="1">IFERROR(__xludf.DUMMYFUNCTION("IFERROR(FILTER('VPLData(raw)'!F:F,'VPLData(raw)'!B:B=515,'VPLData(raw)'!A:A=A12),0)"),"561")</f>
        <v>561</v>
      </c>
      <c r="U12" t="str">
        <f ca="1">IFERROR(__xludf.DUMMYFUNCTION("IFERROR(FILTER('VPLData(raw)'!C:C,'VPLData(raw)'!B:B=528,'VPLData(raw)'!A:A=A12),0)"),"1496318981")</f>
        <v>1496318981</v>
      </c>
      <c r="V12" t="str">
        <f ca="1">IFERROR(__xludf.DUMMYFUNCTION("IFERROR(IF(U12&gt;0, FILTER('VPLData(raw)'!E:E,'VPLData(raw)'!B:B=528,'VPLData(raw)'!A:A=A12), 0),0)"),"10")</f>
        <v>10</v>
      </c>
      <c r="W12" t="str">
        <f ca="1">IFERROR(__xludf.DUMMYFUNCTION("IFERROR(FILTER('VPLData(raw)'!F:F,'VPLData(raw)'!B:B=528,'VPLData(raw)'!A:A=A12),0)"),"465")</f>
        <v>465</v>
      </c>
      <c r="X12" t="str">
        <f ca="1">IFERROR(__xludf.DUMMYFUNCTION("IFERROR(FILTER('VPLData(raw)'!C:C,'VPLData(raw)'!B:B=524,'VPLData(raw)'!A:A=A12),0)"),"1496319745")</f>
        <v>1496319745</v>
      </c>
      <c r="Y12" t="str">
        <f ca="1">IFERROR(__xludf.DUMMYFUNCTION("IFERROR(IF(X12&gt;0, FILTER('VPLData(raw)'!E:E,'VPLData(raw)'!B:B=524,'VPLData(raw)'!A:A=A12), 0),0)"),"10")</f>
        <v>10</v>
      </c>
      <c r="Z12" t="str">
        <f ca="1">IFERROR(__xludf.DUMMYFUNCTION("IFERROR(FILTER('VPLData(raw)'!F:F,'VPLData(raw)'!B:B=524,'VPLData(raw)'!A:A=A12),0)"),"1136")</f>
        <v>1136</v>
      </c>
      <c r="AA12" t="str">
        <f ca="1">IFERROR(__xludf.DUMMYFUNCTION("IFERROR(FILTER('VPLData(raw)'!C:C,'VPLData(raw)'!B:B=478,'VPLData(raw)'!A:A=A12),0)"),"1496711248")</f>
        <v>1496711248</v>
      </c>
      <c r="AB12" t="str">
        <f ca="1">IFERROR(__xludf.DUMMYFUNCTION("IFERROR(IF(AA12&gt;0, FILTER('VPLData(raw)'!E:E,'VPLData(raw)'!B:B=478,'VPLData(raw)'!A:A=A12), 0),0)"),"10")</f>
        <v>10</v>
      </c>
      <c r="AC12" t="str">
        <f ca="1">IFERROR(__xludf.DUMMYFUNCTION("IFERROR(FILTER('VPLData(raw)'!F:F,'VPLData(raw)'!B:B=478,'VPLData(raw)'!A:A=A12),0)"),"1505")</f>
        <v>1505</v>
      </c>
      <c r="AD12" t="str">
        <f ca="1">IFERROR(__xludf.DUMMYFUNCTION("IFERROR(FILTER('VPLData(raw)'!C:C,'VPLData(raw)'!B:B=542,'VPLData(raw)'!A:A=A12),0)"),"0")</f>
        <v>0</v>
      </c>
      <c r="AE12" t="str">
        <f ca="1">IFERROR(__xludf.DUMMYFUNCTION("IFERROR(IF(AD12&gt;0, FILTER('VPLData(raw)'!E:E,'VPLData(raw)'!B:B=542,'VPLData(raw)'!A:A=A12), 0),0)"),"0")</f>
        <v>0</v>
      </c>
      <c r="AF12" t="str">
        <f ca="1">IFERROR(__xludf.DUMMYFUNCTION("IFERROR(FILTER('VPLData(raw)'!F:F,'VPLData(raw)'!B:B=542,'VPLData(raw)'!A:A=A12),0)"),"0")</f>
        <v>0</v>
      </c>
      <c r="AG12" t="str">
        <f ca="1">IFERROR(__xludf.DUMMYFUNCTION("IFERROR(FILTER('VPLData(raw)'!C:C,'VPLData(raw)'!B:B=544,'VPLData(raw)'!A:A=A12),0)"),"0")</f>
        <v>0</v>
      </c>
      <c r="AH12" t="str">
        <f ca="1">IFERROR(__xludf.DUMMYFUNCTION("IFERROR(IF(AG12&gt;0, FILTER('VPLData(raw)'!E:E,'VPLData(raw)'!B:B=544,'VPLData(raw)'!A:A=A12), 0),0)"),"0")</f>
        <v>0</v>
      </c>
      <c r="AI12" t="str">
        <f ca="1">IFERROR(__xludf.DUMMYFUNCTION("IFERROR(FILTER('VPLData(raw)'!F:F,'VPLData(raw)'!B:B=544,'VPLData(raw)'!A:A=A12),0)"),"0")</f>
        <v>0</v>
      </c>
      <c r="AJ12" t="str">
        <f ca="1">IFERROR(__xludf.DUMMYFUNCTION("IFERROR(FILTER('VPLData(raw)'!C:C,'VPLData(raw)'!B:B=545,'VPLData(raw)'!A:A=A12),0)"),"0")</f>
        <v>0</v>
      </c>
      <c r="AK12" t="str">
        <f ca="1">IFERROR(__xludf.DUMMYFUNCTION("IFERROR(IF(AJ12&gt;0, FILTER('VPLData(raw)'!E:E,'VPLData(raw)'!B:B=545,'VPLData(raw)'!A:A=A12), 0),0)"),"0")</f>
        <v>0</v>
      </c>
      <c r="AL12" t="str">
        <f ca="1">IFERROR(__xludf.DUMMYFUNCTION("IFERROR(FILTER('VPLData(raw)'!F:F,'VPLData(raw)'!B:B=545,'VPLData(raw)'!A:A=A12),0)"),"0")</f>
        <v>0</v>
      </c>
      <c r="AM12" s="1"/>
    </row>
    <row r="13" spans="1:39" ht="15.75" customHeight="1" x14ac:dyDescent="0.15">
      <c r="A13" s="2">
        <v>10220</v>
      </c>
      <c r="B13" s="2">
        <v>9760151</v>
      </c>
      <c r="C13" t="str">
        <f ca="1">IFERROR(__xludf.DUMMYFUNCTION("IFERROR(FILTER('VPLData(raw)'!C:C,'VPLData(raw)'!B:B=504,'VPLData(raw)'!A:A=A13),0)"),"1490892710")</f>
        <v>1490892710</v>
      </c>
      <c r="D13" s="3" t="str">
        <f ca="1">IFERROR(__xludf.DUMMYFUNCTION("IFERROR(IF(C13&gt;0, FILTER('VPLData(raw)'!E:E,'VPLData(raw)'!B:B=504,'VPLData(raw)'!A:A=A13), 0),0)"),"")</f>
        <v/>
      </c>
      <c r="E13" t="str">
        <f ca="1">IFERROR(__xludf.DUMMYFUNCTION("IFERROR(FILTER('VPLData(raw)'!F:F,'VPLData(raw)'!B:B=504,'VPLData(raw)'!A:A=A13),0)"),"514")</f>
        <v>514</v>
      </c>
      <c r="F13" t="str">
        <f ca="1">IFERROR(__xludf.DUMMYFUNCTION("IFERROR(FILTER('VPLData(raw)'!C:C,'VPLData(raw)'!B:B=454,'VPLData(raw)'!A:A=A13),0)"),"0")</f>
        <v>0</v>
      </c>
      <c r="G13" t="str">
        <f ca="1">IFERROR(__xludf.DUMMYFUNCTION("IFERROR(IF(F13&gt;0, FILTER('VPLData(raw)'!E:E,'VPLData(raw)'!B:B=454,'VPLData(raw)'!A:A=A13), 0),0)"),"0")</f>
        <v>0</v>
      </c>
      <c r="H13" t="str">
        <f ca="1">IFERROR(__xludf.DUMMYFUNCTION("IFERROR(FILTER('VPLData(raw)'!F:F,'VPLData(raw)'!B:B=454,'VPLData(raw)'!A:A=A13),0)"),"0")</f>
        <v>0</v>
      </c>
      <c r="I13" t="str">
        <f ca="1">IFERROR(__xludf.DUMMYFUNCTION("IFERROR(FILTER('VPLData(raw)'!C:C,'VPLData(raw)'!B:B=457,'VPLData(raw)'!A:A=A13),0)"),"0")</f>
        <v>0</v>
      </c>
      <c r="J13" t="str">
        <f ca="1">IFERROR(__xludf.DUMMYFUNCTION("IFERROR(IF(I13&gt;0, FILTER('VPLData(raw)'!E:E,'VPLData(raw)'!B:B=457,'VPLData(raw)'!A:A=A13), 0),0)"),"0")</f>
        <v>0</v>
      </c>
      <c r="K13" t="str">
        <f ca="1">IFERROR(__xludf.DUMMYFUNCTION("IFERROR(FILTER('VPLData(raw)'!F:F,'VPLData(raw)'!B:B=457,'VPLData(raw)'!A:A=A13),0)"),"0")</f>
        <v>0</v>
      </c>
      <c r="L13" t="str">
        <f ca="1">IFERROR(__xludf.DUMMYFUNCTION("IFERROR(FILTER('VPLData(raw)'!C:C,'VPLData(raw)'!B:B=534,'VPLData(raw)'!A:A=A13),0)"),"0")</f>
        <v>0</v>
      </c>
      <c r="M13" t="str">
        <f ca="1">IFERROR(__xludf.DUMMYFUNCTION("IFERROR(IF(L13&gt;0, FILTER('VPLData(raw)'!E:E,'VPLData(raw)'!B:B=534,'VPLData(raw)'!A:A=A13), 0),0)"),"0")</f>
        <v>0</v>
      </c>
      <c r="N13" t="str">
        <f ca="1">IFERROR(__xludf.DUMMYFUNCTION("IFERROR(FILTER('VPLData(raw)'!F:F,'VPLData(raw)'!B:B=534,'VPLData(raw)'!A:A=A13),0)"),"0")</f>
        <v>0</v>
      </c>
      <c r="O13" t="str">
        <f ca="1">IFERROR(__xludf.DUMMYFUNCTION("IFERROR(FILTER('VPLData(raw)'!C:C,'VPLData(raw)'!B:B=498,'VPLData(raw)'!A:A=A13),0)"),"1499456080")</f>
        <v>1499456080</v>
      </c>
      <c r="P13" t="str">
        <f ca="1">IFERROR(__xludf.DUMMYFUNCTION("IFERROR(IF(O13&gt;0, FILTER('VPLData(raw)'!E:E,'VPLData(raw)'!B:B=498,'VPLData(raw)'!A:A=A13), 0),0)"),"10")</f>
        <v>10</v>
      </c>
      <c r="Q13" t="str">
        <f ca="1">IFERROR(__xludf.DUMMYFUNCTION("IFERROR(FILTER('VPLData(raw)'!F:F,'VPLData(raw)'!B:B=498,'VPLData(raw)'!A:A=A13),0)"),"1657")</f>
        <v>1657</v>
      </c>
      <c r="R13" t="str">
        <f ca="1">IFERROR(__xludf.DUMMYFUNCTION("IFERROR(FILTER('VPLData(raw)'!C:C,'VPLData(raw)'!B:B=515,'VPLData(raw)'!A:A=A13),0)"),"1499480844")</f>
        <v>1499480844</v>
      </c>
      <c r="S13" t="str">
        <f ca="1">IFERROR(__xludf.DUMMYFUNCTION("IFERROR(IF(R13&gt;0, FILTER('VPLData(raw)'!E:E,'VPLData(raw)'!B:B=515,'VPLData(raw)'!A:A=A13), 0),0)"),"10")</f>
        <v>10</v>
      </c>
      <c r="T13" t="str">
        <f ca="1">IFERROR(__xludf.DUMMYFUNCTION("IFERROR(FILTER('VPLData(raw)'!F:F,'VPLData(raw)'!B:B=515,'VPLData(raw)'!A:A=A13),0)"),"2660")</f>
        <v>2660</v>
      </c>
      <c r="U13" t="str">
        <f ca="1">IFERROR(__xludf.DUMMYFUNCTION("IFERROR(FILTER('VPLData(raw)'!C:C,'VPLData(raw)'!B:B=528,'VPLData(raw)'!A:A=A13),0)"),"0")</f>
        <v>0</v>
      </c>
      <c r="V13" t="str">
        <f ca="1">IFERROR(__xludf.DUMMYFUNCTION("IFERROR(IF(U13&gt;0, FILTER('VPLData(raw)'!E:E,'VPLData(raw)'!B:B=528,'VPLData(raw)'!A:A=A13), 0),0)"),"0")</f>
        <v>0</v>
      </c>
      <c r="W13" t="str">
        <f ca="1">IFERROR(__xludf.DUMMYFUNCTION("IFERROR(FILTER('VPLData(raw)'!F:F,'VPLData(raw)'!B:B=528,'VPLData(raw)'!A:A=A13),0)"),"0")</f>
        <v>0</v>
      </c>
      <c r="X13" t="str">
        <f ca="1">IFERROR(__xludf.DUMMYFUNCTION("IFERROR(FILTER('VPLData(raw)'!C:C,'VPLData(raw)'!B:B=524,'VPLData(raw)'!A:A=A13),0)"),"0")</f>
        <v>0</v>
      </c>
      <c r="Y13" t="str">
        <f ca="1">IFERROR(__xludf.DUMMYFUNCTION("IFERROR(IF(X13&gt;0, FILTER('VPLData(raw)'!E:E,'VPLData(raw)'!B:B=524,'VPLData(raw)'!A:A=A13), 0),0)"),"0")</f>
        <v>0</v>
      </c>
      <c r="Z13" t="str">
        <f ca="1">IFERROR(__xludf.DUMMYFUNCTION("IFERROR(FILTER('VPLData(raw)'!F:F,'VPLData(raw)'!B:B=524,'VPLData(raw)'!A:A=A13),0)"),"0")</f>
        <v>0</v>
      </c>
      <c r="AA13" t="str">
        <f ca="1">IFERROR(__xludf.DUMMYFUNCTION("IFERROR(FILTER('VPLData(raw)'!C:C,'VPLData(raw)'!B:B=478,'VPLData(raw)'!A:A=A13),0)"),"0")</f>
        <v>0</v>
      </c>
      <c r="AB13" t="str">
        <f ca="1">IFERROR(__xludf.DUMMYFUNCTION("IFERROR(IF(AA13&gt;0, FILTER('VPLData(raw)'!E:E,'VPLData(raw)'!B:B=478,'VPLData(raw)'!A:A=A13), 0),0)"),"0")</f>
        <v>0</v>
      </c>
      <c r="AC13" t="str">
        <f ca="1">IFERROR(__xludf.DUMMYFUNCTION("IFERROR(FILTER('VPLData(raw)'!F:F,'VPLData(raw)'!B:B=478,'VPLData(raw)'!A:A=A13),0)"),"0")</f>
        <v>0</v>
      </c>
      <c r="AD13" t="str">
        <f ca="1">IFERROR(__xludf.DUMMYFUNCTION("IFERROR(FILTER('VPLData(raw)'!C:C,'VPLData(raw)'!B:B=542,'VPLData(raw)'!A:A=A13),0)"),"0")</f>
        <v>0</v>
      </c>
      <c r="AE13" t="str">
        <f ca="1">IFERROR(__xludf.DUMMYFUNCTION("IFERROR(IF(AD13&gt;0, FILTER('VPLData(raw)'!E:E,'VPLData(raw)'!B:B=542,'VPLData(raw)'!A:A=A13), 0),0)"),"0")</f>
        <v>0</v>
      </c>
      <c r="AF13" t="str">
        <f ca="1">IFERROR(__xludf.DUMMYFUNCTION("IFERROR(FILTER('VPLData(raw)'!F:F,'VPLData(raw)'!B:B=542,'VPLData(raw)'!A:A=A13),0)"),"0")</f>
        <v>0</v>
      </c>
      <c r="AG13" t="str">
        <f ca="1">IFERROR(__xludf.DUMMYFUNCTION("IFERROR(FILTER('VPLData(raw)'!C:C,'VPLData(raw)'!B:B=544,'VPLData(raw)'!A:A=A13),0)"),"0")</f>
        <v>0</v>
      </c>
      <c r="AH13" t="str">
        <f ca="1">IFERROR(__xludf.DUMMYFUNCTION("IFERROR(IF(AG13&gt;0, FILTER('VPLData(raw)'!E:E,'VPLData(raw)'!B:B=544,'VPLData(raw)'!A:A=A13), 0),0)"),"0")</f>
        <v>0</v>
      </c>
      <c r="AI13" t="str">
        <f ca="1">IFERROR(__xludf.DUMMYFUNCTION("IFERROR(FILTER('VPLData(raw)'!F:F,'VPLData(raw)'!B:B=544,'VPLData(raw)'!A:A=A13),0)"),"0")</f>
        <v>0</v>
      </c>
      <c r="AJ13" t="str">
        <f ca="1">IFERROR(__xludf.DUMMYFUNCTION("IFERROR(FILTER('VPLData(raw)'!C:C,'VPLData(raw)'!B:B=545,'VPLData(raw)'!A:A=A13),0)"),"0")</f>
        <v>0</v>
      </c>
      <c r="AK13" t="str">
        <f ca="1">IFERROR(__xludf.DUMMYFUNCTION("IFERROR(IF(AJ13&gt;0, FILTER('VPLData(raw)'!E:E,'VPLData(raw)'!B:B=545,'VPLData(raw)'!A:A=A13), 0),0)"),"0")</f>
        <v>0</v>
      </c>
      <c r="AL13" t="str">
        <f ca="1">IFERROR(__xludf.DUMMYFUNCTION("IFERROR(FILTER('VPLData(raw)'!F:F,'VPLData(raw)'!B:B=545,'VPLData(raw)'!A:A=A13),0)"),"0")</f>
        <v>0</v>
      </c>
      <c r="AM13" s="1"/>
    </row>
    <row r="14" spans="1:39" ht="15.75" customHeight="1" x14ac:dyDescent="0.15">
      <c r="A14" s="2">
        <v>10187</v>
      </c>
      <c r="B14" s="2">
        <v>9790781</v>
      </c>
      <c r="C14" t="str">
        <f ca="1">IFERROR(__xludf.DUMMYFUNCTION("IFERROR(FILTER('VPLData(raw)'!C:C,'VPLData(raw)'!B:B=504,'VPLData(raw)'!A:A=A14),0)"),"1490724656")</f>
        <v>1490724656</v>
      </c>
      <c r="D14" s="3" t="str">
        <f ca="1">IFERROR(__xludf.DUMMYFUNCTION("IFERROR(IF(C14&gt;0, FILTER('VPLData(raw)'!E:E,'VPLData(raw)'!B:B=504,'VPLData(raw)'!A:A=A14), 0),0)"),"10")</f>
        <v>10</v>
      </c>
      <c r="E14" t="str">
        <f ca="1">IFERROR(__xludf.DUMMYFUNCTION("IFERROR(FILTER('VPLData(raw)'!F:F,'VPLData(raw)'!B:B=504,'VPLData(raw)'!A:A=A14),0)"),"573")</f>
        <v>573</v>
      </c>
      <c r="F14" t="str">
        <f ca="1">IFERROR(__xludf.DUMMYFUNCTION("IFERROR(FILTER('VPLData(raw)'!C:C,'VPLData(raw)'!B:B=454,'VPLData(raw)'!A:A=A14),0)"),"1491508032")</f>
        <v>1491508032</v>
      </c>
      <c r="G14" t="str">
        <f ca="1">IFERROR(__xludf.DUMMYFUNCTION("IFERROR(IF(F14&gt;0, FILTER('VPLData(raw)'!E:E,'VPLData(raw)'!B:B=454,'VPLData(raw)'!A:A=A14), 0),0)"),"10")</f>
        <v>10</v>
      </c>
      <c r="H14" t="str">
        <f ca="1">IFERROR(__xludf.DUMMYFUNCTION("IFERROR(FILTER('VPLData(raw)'!F:F,'VPLData(raw)'!B:B=454,'VPLData(raw)'!A:A=A14),0)"),"254")</f>
        <v>254</v>
      </c>
      <c r="I14" t="str">
        <f ca="1">IFERROR(__xludf.DUMMYFUNCTION("IFERROR(FILTER('VPLData(raw)'!C:C,'VPLData(raw)'!B:B=457,'VPLData(raw)'!A:A=A14),0)"),"1492534312")</f>
        <v>1492534312</v>
      </c>
      <c r="J14" t="str">
        <f ca="1">IFERROR(__xludf.DUMMYFUNCTION("IFERROR(IF(I14&gt;0, FILTER('VPLData(raw)'!E:E,'VPLData(raw)'!B:B=457,'VPLData(raw)'!A:A=A14), 0),0)"),"10")</f>
        <v>10</v>
      </c>
      <c r="K14" t="str">
        <f ca="1">IFERROR(__xludf.DUMMYFUNCTION("IFERROR(FILTER('VPLData(raw)'!F:F,'VPLData(raw)'!B:B=457,'VPLData(raw)'!A:A=A14),0)"),"4913")</f>
        <v>4913</v>
      </c>
      <c r="L14" t="str">
        <f ca="1">IFERROR(__xludf.DUMMYFUNCTION("IFERROR(FILTER('VPLData(raw)'!C:C,'VPLData(raw)'!B:B=534,'VPLData(raw)'!A:A=A14),0)"),"0")</f>
        <v>0</v>
      </c>
      <c r="M14" t="str">
        <f ca="1">IFERROR(__xludf.DUMMYFUNCTION("IFERROR(IF(L14&gt;0, FILTER('VPLData(raw)'!E:E,'VPLData(raw)'!B:B=534,'VPLData(raw)'!A:A=A14), 0),0)"),"0")</f>
        <v>0</v>
      </c>
      <c r="N14" t="str">
        <f ca="1">IFERROR(__xludf.DUMMYFUNCTION("IFERROR(FILTER('VPLData(raw)'!F:F,'VPLData(raw)'!B:B=534,'VPLData(raw)'!A:A=A14),0)"),"0")</f>
        <v>0</v>
      </c>
      <c r="O14" t="str">
        <f ca="1">IFERROR(__xludf.DUMMYFUNCTION("IFERROR(FILTER('VPLData(raw)'!C:C,'VPLData(raw)'!B:B=498,'VPLData(raw)'!A:A=A14),0)"),"1492478131")</f>
        <v>1492478131</v>
      </c>
      <c r="P14" t="str">
        <f ca="1">IFERROR(__xludf.DUMMYFUNCTION("IFERROR(IF(O14&gt;0, FILTER('VPLData(raw)'!E:E,'VPLData(raw)'!B:B=498,'VPLData(raw)'!A:A=A14), 0),0)"),"10")</f>
        <v>10</v>
      </c>
      <c r="Q14" t="str">
        <f ca="1">IFERROR(__xludf.DUMMYFUNCTION("IFERROR(FILTER('VPLData(raw)'!F:F,'VPLData(raw)'!B:B=498,'VPLData(raw)'!A:A=A14),0)"),"341")</f>
        <v>341</v>
      </c>
      <c r="R14" t="str">
        <f ca="1">IFERROR(__xludf.DUMMYFUNCTION("IFERROR(FILTER('VPLData(raw)'!C:C,'VPLData(raw)'!B:B=515,'VPLData(raw)'!A:A=A14),0)"),"1492478707")</f>
        <v>1492478707</v>
      </c>
      <c r="S14" t="str">
        <f ca="1">IFERROR(__xludf.DUMMYFUNCTION("IFERROR(IF(R14&gt;0, FILTER('VPLData(raw)'!E:E,'VPLData(raw)'!B:B=515,'VPLData(raw)'!A:A=A14), 0),0)"),"10")</f>
        <v>10</v>
      </c>
      <c r="T14" t="str">
        <f ca="1">IFERROR(__xludf.DUMMYFUNCTION("IFERROR(FILTER('VPLData(raw)'!F:F,'VPLData(raw)'!B:B=515,'VPLData(raw)'!A:A=A14),0)"),"2266")</f>
        <v>2266</v>
      </c>
      <c r="U14" t="str">
        <f ca="1">IFERROR(__xludf.DUMMYFUNCTION("IFERROR(FILTER('VPLData(raw)'!C:C,'VPLData(raw)'!B:B=528,'VPLData(raw)'!A:A=A14),0)"),"1495895461")</f>
        <v>1495895461</v>
      </c>
      <c r="V14" t="str">
        <f ca="1">IFERROR(__xludf.DUMMYFUNCTION("IFERROR(IF(U14&gt;0, FILTER('VPLData(raw)'!E:E,'VPLData(raw)'!B:B=528,'VPLData(raw)'!A:A=A14), 0),0)"),"10")</f>
        <v>10</v>
      </c>
      <c r="W14" t="str">
        <f ca="1">IFERROR(__xludf.DUMMYFUNCTION("IFERROR(FILTER('VPLData(raw)'!F:F,'VPLData(raw)'!B:B=528,'VPLData(raw)'!A:A=A14),0)"),"145")</f>
        <v>145</v>
      </c>
      <c r="X14" t="str">
        <f ca="1">IFERROR(__xludf.DUMMYFUNCTION("IFERROR(FILTER('VPLData(raw)'!C:C,'VPLData(raw)'!B:B=524,'VPLData(raw)'!A:A=A14),0)"),"1495907206")</f>
        <v>1495907206</v>
      </c>
      <c r="Y14" t="str">
        <f ca="1">IFERROR(__xludf.DUMMYFUNCTION("IFERROR(IF(X14&gt;0, FILTER('VPLData(raw)'!E:E,'VPLData(raw)'!B:B=524,'VPLData(raw)'!A:A=A14), 0),0)"),"10")</f>
        <v>10</v>
      </c>
      <c r="Z14" t="str">
        <f ca="1">IFERROR(__xludf.DUMMYFUNCTION("IFERROR(FILTER('VPLData(raw)'!F:F,'VPLData(raw)'!B:B=524,'VPLData(raw)'!A:A=A14),0)"),"2789")</f>
        <v>2789</v>
      </c>
      <c r="AA14" t="str">
        <f ca="1">IFERROR(__xludf.DUMMYFUNCTION("IFERROR(FILTER('VPLData(raw)'!C:C,'VPLData(raw)'!B:B=478,'VPLData(raw)'!A:A=A14),0)"),"1496103899")</f>
        <v>1496103899</v>
      </c>
      <c r="AB14" t="str">
        <f ca="1">IFERROR(__xludf.DUMMYFUNCTION("IFERROR(IF(AA14&gt;0, FILTER('VPLData(raw)'!E:E,'VPLData(raw)'!B:B=478,'VPLData(raw)'!A:A=A14), 0),0)"),"10")</f>
        <v>10</v>
      </c>
      <c r="AC14" t="str">
        <f ca="1">IFERROR(__xludf.DUMMYFUNCTION("IFERROR(FILTER('VPLData(raw)'!F:F,'VPLData(raw)'!B:B=478,'VPLData(raw)'!A:A=A14),0)"),"3641")</f>
        <v>3641</v>
      </c>
      <c r="AD14" t="str">
        <f ca="1">IFERROR(__xludf.DUMMYFUNCTION("IFERROR(FILTER('VPLData(raw)'!C:C,'VPLData(raw)'!B:B=542,'VPLData(raw)'!A:A=A14),0)"),"0")</f>
        <v>0</v>
      </c>
      <c r="AE14" t="str">
        <f ca="1">IFERROR(__xludf.DUMMYFUNCTION("IFERROR(IF(AD14&gt;0, FILTER('VPLData(raw)'!E:E,'VPLData(raw)'!B:B=542,'VPLData(raw)'!A:A=A14), 0),0)"),"0")</f>
        <v>0</v>
      </c>
      <c r="AF14" t="str">
        <f ca="1">IFERROR(__xludf.DUMMYFUNCTION("IFERROR(FILTER('VPLData(raw)'!F:F,'VPLData(raw)'!B:B=542,'VPLData(raw)'!A:A=A14),0)"),"0")</f>
        <v>0</v>
      </c>
      <c r="AG14" t="str">
        <f ca="1">IFERROR(__xludf.DUMMYFUNCTION("IFERROR(FILTER('VPLData(raw)'!C:C,'VPLData(raw)'!B:B=544,'VPLData(raw)'!A:A=A14),0)"),"0")</f>
        <v>0</v>
      </c>
      <c r="AH14" t="str">
        <f ca="1">IFERROR(__xludf.DUMMYFUNCTION("IFERROR(IF(AG14&gt;0, FILTER('VPLData(raw)'!E:E,'VPLData(raw)'!B:B=544,'VPLData(raw)'!A:A=A14), 0),0)"),"0")</f>
        <v>0</v>
      </c>
      <c r="AI14" t="str">
        <f ca="1">IFERROR(__xludf.DUMMYFUNCTION("IFERROR(FILTER('VPLData(raw)'!F:F,'VPLData(raw)'!B:B=544,'VPLData(raw)'!A:A=A14),0)"),"0")</f>
        <v>0</v>
      </c>
      <c r="AJ14" t="str">
        <f ca="1">IFERROR(__xludf.DUMMYFUNCTION("IFERROR(FILTER('VPLData(raw)'!C:C,'VPLData(raw)'!B:B=545,'VPLData(raw)'!A:A=A14),0)"),"0")</f>
        <v>0</v>
      </c>
      <c r="AK14" t="str">
        <f ca="1">IFERROR(__xludf.DUMMYFUNCTION("IFERROR(IF(AJ14&gt;0, FILTER('VPLData(raw)'!E:E,'VPLData(raw)'!B:B=545,'VPLData(raw)'!A:A=A14), 0),0)"),"0")</f>
        <v>0</v>
      </c>
      <c r="AL14" t="str">
        <f ca="1">IFERROR(__xludf.DUMMYFUNCTION("IFERROR(FILTER('VPLData(raw)'!F:F,'VPLData(raw)'!B:B=545,'VPLData(raw)'!A:A=A14),0)"),"0")</f>
        <v>0</v>
      </c>
      <c r="AM14" s="1"/>
    </row>
    <row r="15" spans="1:39" ht="15.75" customHeight="1" x14ac:dyDescent="0.15">
      <c r="A15" s="2">
        <v>10223</v>
      </c>
      <c r="B15" s="2">
        <v>9795185</v>
      </c>
      <c r="C15" t="str">
        <f ca="1">IFERROR(__xludf.DUMMYFUNCTION("IFERROR(FILTER('VPLData(raw)'!C:C,'VPLData(raw)'!B:B=504,'VPLData(raw)'!A:A=A15),0)"),"0")</f>
        <v>0</v>
      </c>
      <c r="D15" s="3" t="str">
        <f ca="1">IFERROR(__xludf.DUMMYFUNCTION("IFERROR(IF(C15&gt;0, FILTER('VPLData(raw)'!E:E,'VPLData(raw)'!B:B=504,'VPLData(raw)'!A:A=A15), 0),0)"),"0")</f>
        <v>0</v>
      </c>
      <c r="E15" t="str">
        <f ca="1">IFERROR(__xludf.DUMMYFUNCTION("IFERROR(FILTER('VPLData(raw)'!F:F,'VPLData(raw)'!B:B=504,'VPLData(raw)'!A:A=A15),0)"),"0")</f>
        <v>0</v>
      </c>
      <c r="F15" t="str">
        <f ca="1">IFERROR(__xludf.DUMMYFUNCTION("IFERROR(FILTER('VPLData(raw)'!C:C,'VPLData(raw)'!B:B=454,'VPLData(raw)'!A:A=A15),0)"),"1491408835")</f>
        <v>1491408835</v>
      </c>
      <c r="G15" t="str">
        <f ca="1">IFERROR(__xludf.DUMMYFUNCTION("IFERROR(IF(F15&gt;0, FILTER('VPLData(raw)'!E:E,'VPLData(raw)'!B:B=454,'VPLData(raw)'!A:A=A15), 0),0)"),"10")</f>
        <v>10</v>
      </c>
      <c r="H15" t="str">
        <f ca="1">IFERROR(__xludf.DUMMYFUNCTION("IFERROR(FILTER('VPLData(raw)'!F:F,'VPLData(raw)'!B:B=454,'VPLData(raw)'!A:A=A15),0)"),"216")</f>
        <v>216</v>
      </c>
      <c r="I15" t="str">
        <f ca="1">IFERROR(__xludf.DUMMYFUNCTION("IFERROR(FILTER('VPLData(raw)'!C:C,'VPLData(raw)'!B:B=457,'VPLData(raw)'!A:A=A15),0)"),"1492099491")</f>
        <v>1492099491</v>
      </c>
      <c r="J15" t="str">
        <f ca="1">IFERROR(__xludf.DUMMYFUNCTION("IFERROR(IF(I15&gt;0, FILTER('VPLData(raw)'!E:E,'VPLData(raw)'!B:B=457,'VPLData(raw)'!A:A=A15), 0),0)"),"10")</f>
        <v>10</v>
      </c>
      <c r="K15" t="str">
        <f ca="1">IFERROR(__xludf.DUMMYFUNCTION("IFERROR(FILTER('VPLData(raw)'!F:F,'VPLData(raw)'!B:B=457,'VPLData(raw)'!A:A=A15),0)"),"5600")</f>
        <v>5600</v>
      </c>
      <c r="L15" t="str">
        <f ca="1">IFERROR(__xludf.DUMMYFUNCTION("IFERROR(FILTER('VPLData(raw)'!C:C,'VPLData(raw)'!B:B=534,'VPLData(raw)'!A:A=A15),0)"),"0")</f>
        <v>0</v>
      </c>
      <c r="M15" t="str">
        <f ca="1">IFERROR(__xludf.DUMMYFUNCTION("IFERROR(IF(L15&gt;0, FILTER('VPLData(raw)'!E:E,'VPLData(raw)'!B:B=534,'VPLData(raw)'!A:A=A15), 0),0)"),"0")</f>
        <v>0</v>
      </c>
      <c r="N15" t="str">
        <f ca="1">IFERROR(__xludf.DUMMYFUNCTION("IFERROR(FILTER('VPLData(raw)'!F:F,'VPLData(raw)'!B:B=534,'VPLData(raw)'!A:A=A15),0)"),"0")</f>
        <v>0</v>
      </c>
      <c r="O15" t="str">
        <f ca="1">IFERROR(__xludf.DUMMYFUNCTION("IFERROR(FILTER('VPLData(raw)'!C:C,'VPLData(raw)'!B:B=498,'VPLData(raw)'!A:A=A15),0)"),"1499019212")</f>
        <v>1499019212</v>
      </c>
      <c r="P15" t="str">
        <f ca="1">IFERROR(__xludf.DUMMYFUNCTION("IFERROR(IF(O15&gt;0, FILTER('VPLData(raw)'!E:E,'VPLData(raw)'!B:B=498,'VPLData(raw)'!A:A=A15), 0),0)"),"10")</f>
        <v>10</v>
      </c>
      <c r="Q15" t="str">
        <f ca="1">IFERROR(__xludf.DUMMYFUNCTION("IFERROR(FILTER('VPLData(raw)'!F:F,'VPLData(raw)'!B:B=498,'VPLData(raw)'!A:A=A15),0)"),"235")</f>
        <v>235</v>
      </c>
      <c r="R15" t="str">
        <f ca="1">IFERROR(__xludf.DUMMYFUNCTION("IFERROR(FILTER('VPLData(raw)'!C:C,'VPLData(raw)'!B:B=515,'VPLData(raw)'!A:A=A15),0)"),"1499019724")</f>
        <v>1499019724</v>
      </c>
      <c r="S15" t="str">
        <f ca="1">IFERROR(__xludf.DUMMYFUNCTION("IFERROR(IF(R15&gt;0, FILTER('VPLData(raw)'!E:E,'VPLData(raw)'!B:B=515,'VPLData(raw)'!A:A=A15), 0),0)"),"10")</f>
        <v>10</v>
      </c>
      <c r="T15" t="str">
        <f ca="1">IFERROR(__xludf.DUMMYFUNCTION("IFERROR(FILTER('VPLData(raw)'!F:F,'VPLData(raw)'!B:B=515,'VPLData(raw)'!A:A=A15),0)"),"291")</f>
        <v>291</v>
      </c>
      <c r="U15" t="str">
        <f ca="1">IFERROR(__xludf.DUMMYFUNCTION("IFERROR(FILTER('VPLData(raw)'!C:C,'VPLData(raw)'!B:B=528,'VPLData(raw)'!A:A=A15),0)"),"1499020134")</f>
        <v>1499020134</v>
      </c>
      <c r="V15" t="str">
        <f ca="1">IFERROR(__xludf.DUMMYFUNCTION("IFERROR(IF(U15&gt;0, FILTER('VPLData(raw)'!E:E,'VPLData(raw)'!B:B=528,'VPLData(raw)'!A:A=A15), 0),0)"),"10")</f>
        <v>10</v>
      </c>
      <c r="W15" t="str">
        <f ca="1">IFERROR(__xludf.DUMMYFUNCTION("IFERROR(FILTER('VPLData(raw)'!F:F,'VPLData(raw)'!B:B=528,'VPLData(raw)'!A:A=A15),0)"),"129")</f>
        <v>129</v>
      </c>
      <c r="X15" t="str">
        <f ca="1">IFERROR(__xludf.DUMMYFUNCTION("IFERROR(FILTER('VPLData(raw)'!C:C,'VPLData(raw)'!B:B=524,'VPLData(raw)'!A:A=A15),0)"),"1499020461")</f>
        <v>1499020461</v>
      </c>
      <c r="Y15" t="str">
        <f ca="1">IFERROR(__xludf.DUMMYFUNCTION("IFERROR(IF(X15&gt;0, FILTER('VPLData(raw)'!E:E,'VPLData(raw)'!B:B=524,'VPLData(raw)'!A:A=A15), 0),0)"),"10")</f>
        <v>10</v>
      </c>
      <c r="Z15" t="str">
        <f ca="1">IFERROR(__xludf.DUMMYFUNCTION("IFERROR(FILTER('VPLData(raw)'!F:F,'VPLData(raw)'!B:B=524,'VPLData(raw)'!A:A=A15),0)"),"647")</f>
        <v>647</v>
      </c>
      <c r="AA15" t="str">
        <f ca="1">IFERROR(__xludf.DUMMYFUNCTION("IFERROR(FILTER('VPLData(raw)'!C:C,'VPLData(raw)'!B:B=478,'VPLData(raw)'!A:A=A15),0)"),"0")</f>
        <v>0</v>
      </c>
      <c r="AB15" t="str">
        <f ca="1">IFERROR(__xludf.DUMMYFUNCTION("IFERROR(IF(AA15&gt;0, FILTER('VPLData(raw)'!E:E,'VPLData(raw)'!B:B=478,'VPLData(raw)'!A:A=A15), 0),0)"),"0")</f>
        <v>0</v>
      </c>
      <c r="AC15" t="str">
        <f ca="1">IFERROR(__xludf.DUMMYFUNCTION("IFERROR(FILTER('VPLData(raw)'!F:F,'VPLData(raw)'!B:B=478,'VPLData(raw)'!A:A=A15),0)"),"0")</f>
        <v>0</v>
      </c>
      <c r="AD15" t="str">
        <f ca="1">IFERROR(__xludf.DUMMYFUNCTION("IFERROR(FILTER('VPLData(raw)'!C:C,'VPLData(raw)'!B:B=542,'VPLData(raw)'!A:A=A15),0)"),"0")</f>
        <v>0</v>
      </c>
      <c r="AE15" t="str">
        <f ca="1">IFERROR(__xludf.DUMMYFUNCTION("IFERROR(IF(AD15&gt;0, FILTER('VPLData(raw)'!E:E,'VPLData(raw)'!B:B=542,'VPLData(raw)'!A:A=A15), 0),0)"),"0")</f>
        <v>0</v>
      </c>
      <c r="AF15" t="str">
        <f ca="1">IFERROR(__xludf.DUMMYFUNCTION("IFERROR(FILTER('VPLData(raw)'!F:F,'VPLData(raw)'!B:B=542,'VPLData(raw)'!A:A=A15),0)"),"0")</f>
        <v>0</v>
      </c>
      <c r="AG15" t="str">
        <f ca="1">IFERROR(__xludf.DUMMYFUNCTION("IFERROR(FILTER('VPLData(raw)'!C:C,'VPLData(raw)'!B:B=544,'VPLData(raw)'!A:A=A15),0)"),"0")</f>
        <v>0</v>
      </c>
      <c r="AH15" t="str">
        <f ca="1">IFERROR(__xludf.DUMMYFUNCTION("IFERROR(IF(AG15&gt;0, FILTER('VPLData(raw)'!E:E,'VPLData(raw)'!B:B=544,'VPLData(raw)'!A:A=A15), 0),0)"),"0")</f>
        <v>0</v>
      </c>
      <c r="AI15" t="str">
        <f ca="1">IFERROR(__xludf.DUMMYFUNCTION("IFERROR(FILTER('VPLData(raw)'!F:F,'VPLData(raw)'!B:B=544,'VPLData(raw)'!A:A=A15),0)"),"0")</f>
        <v>0</v>
      </c>
      <c r="AJ15" t="str">
        <f ca="1">IFERROR(__xludf.DUMMYFUNCTION("IFERROR(FILTER('VPLData(raw)'!C:C,'VPLData(raw)'!B:B=545,'VPLData(raw)'!A:A=A15),0)"),"0")</f>
        <v>0</v>
      </c>
      <c r="AK15" t="str">
        <f ca="1">IFERROR(__xludf.DUMMYFUNCTION("IFERROR(IF(AJ15&gt;0, FILTER('VPLData(raw)'!E:E,'VPLData(raw)'!B:B=545,'VPLData(raw)'!A:A=A15), 0),0)"),"0")</f>
        <v>0</v>
      </c>
      <c r="AL15" t="str">
        <f ca="1">IFERROR(__xludf.DUMMYFUNCTION("IFERROR(FILTER('VPLData(raw)'!F:F,'VPLData(raw)'!B:B=545,'VPLData(raw)'!A:A=A15),0)"),"0")</f>
        <v>0</v>
      </c>
      <c r="AM15" s="1"/>
    </row>
    <row r="16" spans="1:39" ht="15.75" customHeight="1" x14ac:dyDescent="0.15">
      <c r="A16" s="2">
        <v>10200</v>
      </c>
      <c r="B16" s="2">
        <v>9795272</v>
      </c>
      <c r="C16" t="str">
        <f ca="1">IFERROR(__xludf.DUMMYFUNCTION("IFERROR(FILTER('VPLData(raw)'!C:C,'VPLData(raw)'!B:B=504,'VPLData(raw)'!A:A=A16),0)"),"1490836953")</f>
        <v>1490836953</v>
      </c>
      <c r="D16" s="3" t="str">
        <f ca="1">IFERROR(__xludf.DUMMYFUNCTION("IFERROR(IF(C16&gt;0, FILTER('VPLData(raw)'!E:E,'VPLData(raw)'!B:B=504,'VPLData(raw)'!A:A=A16), 0),0)"),"10")</f>
        <v>10</v>
      </c>
      <c r="E16" t="str">
        <f ca="1">IFERROR(__xludf.DUMMYFUNCTION("IFERROR(FILTER('VPLData(raw)'!F:F,'VPLData(raw)'!B:B=504,'VPLData(raw)'!A:A=A16),0)"),"4854")</f>
        <v>4854</v>
      </c>
      <c r="F16" t="str">
        <f ca="1">IFERROR(__xludf.DUMMYFUNCTION("IFERROR(FILTER('VPLData(raw)'!C:C,'VPLData(raw)'!B:B=454,'VPLData(raw)'!A:A=A16),0)"),"1491847204")</f>
        <v>1491847204</v>
      </c>
      <c r="G16" t="str">
        <f ca="1">IFERROR(__xludf.DUMMYFUNCTION("IFERROR(IF(F16&gt;0, FILTER('VPLData(raw)'!E:E,'VPLData(raw)'!B:B=454,'VPLData(raw)'!A:A=A16), 0),0)"),"10")</f>
        <v>10</v>
      </c>
      <c r="H16" t="str">
        <f ca="1">IFERROR(__xludf.DUMMYFUNCTION("IFERROR(FILTER('VPLData(raw)'!F:F,'VPLData(raw)'!B:B=454,'VPLData(raw)'!A:A=A16),0)"),"4507")</f>
        <v>4507</v>
      </c>
      <c r="I16" t="str">
        <f ca="1">IFERROR(__xludf.DUMMYFUNCTION("IFERROR(FILTER('VPLData(raw)'!C:C,'VPLData(raw)'!B:B=457,'VPLData(raw)'!A:A=A16),0)"),"1492285440")</f>
        <v>1492285440</v>
      </c>
      <c r="J16" t="str">
        <f ca="1">IFERROR(__xludf.DUMMYFUNCTION("IFERROR(IF(I16&gt;0, FILTER('VPLData(raw)'!E:E,'VPLData(raw)'!B:B=457,'VPLData(raw)'!A:A=A16), 0),0)"),"10")</f>
        <v>10</v>
      </c>
      <c r="K16" t="str">
        <f ca="1">IFERROR(__xludf.DUMMYFUNCTION("IFERROR(FILTER('VPLData(raw)'!F:F,'VPLData(raw)'!B:B=457,'VPLData(raw)'!A:A=A16),0)"),"25241")</f>
        <v>25241</v>
      </c>
      <c r="L16" t="str">
        <f ca="1">IFERROR(__xludf.DUMMYFUNCTION("IFERROR(FILTER('VPLData(raw)'!C:C,'VPLData(raw)'!B:B=534,'VPLData(raw)'!A:A=A16),0)"),"1495645952")</f>
        <v>1495645952</v>
      </c>
      <c r="M16" t="str">
        <f ca="1">IFERROR(__xludf.DUMMYFUNCTION("IFERROR(IF(L16&gt;0, FILTER('VPLData(raw)'!E:E,'VPLData(raw)'!B:B=534,'VPLData(raw)'!A:A=A16), 0),0)"),"")</f>
        <v/>
      </c>
      <c r="N16" t="str">
        <f ca="1">IFERROR(__xludf.DUMMYFUNCTION("IFERROR(FILTER('VPLData(raw)'!F:F,'VPLData(raw)'!B:B=534,'VPLData(raw)'!A:A=A16),0)"),"20554")</f>
        <v>20554</v>
      </c>
      <c r="O16" t="str">
        <f ca="1">IFERROR(__xludf.DUMMYFUNCTION("IFERROR(FILTER('VPLData(raw)'!C:C,'VPLData(raw)'!B:B=498,'VPLData(raw)'!A:A=A16),0)"),"1492892078")</f>
        <v>1492892078</v>
      </c>
      <c r="P16" t="str">
        <f ca="1">IFERROR(__xludf.DUMMYFUNCTION("IFERROR(IF(O16&gt;0, FILTER('VPLData(raw)'!E:E,'VPLData(raw)'!B:B=498,'VPLData(raw)'!A:A=A16), 0),0)"),"10")</f>
        <v>10</v>
      </c>
      <c r="Q16" t="str">
        <f ca="1">IFERROR(__xludf.DUMMYFUNCTION("IFERROR(FILTER('VPLData(raw)'!F:F,'VPLData(raw)'!B:B=498,'VPLData(raw)'!A:A=A16),0)"),"1188")</f>
        <v>1188</v>
      </c>
      <c r="R16" t="str">
        <f ca="1">IFERROR(__xludf.DUMMYFUNCTION("IFERROR(FILTER('VPLData(raw)'!C:C,'VPLData(raw)'!B:B=515,'VPLData(raw)'!A:A=A16),0)"),"1493583333")</f>
        <v>1493583333</v>
      </c>
      <c r="S16" t="str">
        <f ca="1">IFERROR(__xludf.DUMMYFUNCTION("IFERROR(IF(R16&gt;0, FILTER('VPLData(raw)'!E:E,'VPLData(raw)'!B:B=515,'VPLData(raw)'!A:A=A16), 0),0)"),"10")</f>
        <v>10</v>
      </c>
      <c r="T16" t="str">
        <f ca="1">IFERROR(__xludf.DUMMYFUNCTION("IFERROR(FILTER('VPLData(raw)'!F:F,'VPLData(raw)'!B:B=515,'VPLData(raw)'!A:A=A16),0)"),"2619")</f>
        <v>2619</v>
      </c>
      <c r="U16" t="str">
        <f ca="1">IFERROR(__xludf.DUMMYFUNCTION("IFERROR(FILTER('VPLData(raw)'!C:C,'VPLData(raw)'!B:B=528,'VPLData(raw)'!A:A=A16),0)"),"1494701103")</f>
        <v>1494701103</v>
      </c>
      <c r="V16" t="str">
        <f ca="1">IFERROR(__xludf.DUMMYFUNCTION("IFERROR(IF(U16&gt;0, FILTER('VPLData(raw)'!E:E,'VPLData(raw)'!B:B=528,'VPLData(raw)'!A:A=A16), 0),0)"),"10")</f>
        <v>10</v>
      </c>
      <c r="W16" t="str">
        <f ca="1">IFERROR(__xludf.DUMMYFUNCTION("IFERROR(FILTER('VPLData(raw)'!F:F,'VPLData(raw)'!B:B=528,'VPLData(raw)'!A:A=A16),0)"),"4156")</f>
        <v>4156</v>
      </c>
      <c r="X16" t="str">
        <f ca="1">IFERROR(__xludf.DUMMYFUNCTION("IFERROR(FILTER('VPLData(raw)'!C:C,'VPLData(raw)'!B:B=524,'VPLData(raw)'!A:A=A16),0)"),"1494783372")</f>
        <v>1494783372</v>
      </c>
      <c r="Y16" t="str">
        <f ca="1">IFERROR(__xludf.DUMMYFUNCTION("IFERROR(IF(X16&gt;0, FILTER('VPLData(raw)'!E:E,'VPLData(raw)'!B:B=524,'VPLData(raw)'!A:A=A16), 0),0)"),"10")</f>
        <v>10</v>
      </c>
      <c r="Z16" t="str">
        <f ca="1">IFERROR(__xludf.DUMMYFUNCTION("IFERROR(FILTER('VPLData(raw)'!F:F,'VPLData(raw)'!B:B=524,'VPLData(raw)'!A:A=A16),0)"),"3177")</f>
        <v>3177</v>
      </c>
      <c r="AA16" t="str">
        <f ca="1">IFERROR(__xludf.DUMMYFUNCTION("IFERROR(FILTER('VPLData(raw)'!C:C,'VPLData(raw)'!B:B=478,'VPLData(raw)'!A:A=A16),0)"),"1496433056")</f>
        <v>1496433056</v>
      </c>
      <c r="AB16" t="str">
        <f ca="1">IFERROR(__xludf.DUMMYFUNCTION("IFERROR(IF(AA16&gt;0, FILTER('VPLData(raw)'!E:E,'VPLData(raw)'!B:B=478,'VPLData(raw)'!A:A=A16), 0),0)"),"10")</f>
        <v>10</v>
      </c>
      <c r="AC16" t="str">
        <f ca="1">IFERROR(__xludf.DUMMYFUNCTION("IFERROR(FILTER('VPLData(raw)'!F:F,'VPLData(raw)'!B:B=478,'VPLData(raw)'!A:A=A16),0)"),"9643")</f>
        <v>9643</v>
      </c>
      <c r="AD16" t="str">
        <f ca="1">IFERROR(__xludf.DUMMYFUNCTION("IFERROR(FILTER('VPLData(raw)'!C:C,'VPLData(raw)'!B:B=542,'VPLData(raw)'!A:A=A16),0)"),"0")</f>
        <v>0</v>
      </c>
      <c r="AE16" t="str">
        <f ca="1">IFERROR(__xludf.DUMMYFUNCTION("IFERROR(IF(AD16&gt;0, FILTER('VPLData(raw)'!E:E,'VPLData(raw)'!B:B=542,'VPLData(raw)'!A:A=A16), 0),0)"),"0")</f>
        <v>0</v>
      </c>
      <c r="AF16" t="str">
        <f ca="1">IFERROR(__xludf.DUMMYFUNCTION("IFERROR(FILTER('VPLData(raw)'!F:F,'VPLData(raw)'!B:B=542,'VPLData(raw)'!A:A=A16),0)"),"0")</f>
        <v>0</v>
      </c>
      <c r="AG16" t="str">
        <f ca="1">IFERROR(__xludf.DUMMYFUNCTION("IFERROR(FILTER('VPLData(raw)'!C:C,'VPLData(raw)'!B:B=544,'VPLData(raw)'!A:A=A16),0)"),"0")</f>
        <v>0</v>
      </c>
      <c r="AH16" t="str">
        <f ca="1">IFERROR(__xludf.DUMMYFUNCTION("IFERROR(IF(AG16&gt;0, FILTER('VPLData(raw)'!E:E,'VPLData(raw)'!B:B=544,'VPLData(raw)'!A:A=A16), 0),0)"),"0")</f>
        <v>0</v>
      </c>
      <c r="AI16" t="str">
        <f ca="1">IFERROR(__xludf.DUMMYFUNCTION("IFERROR(FILTER('VPLData(raw)'!F:F,'VPLData(raw)'!B:B=544,'VPLData(raw)'!A:A=A16),0)"),"0")</f>
        <v>0</v>
      </c>
      <c r="AJ16" t="str">
        <f ca="1">IFERROR(__xludf.DUMMYFUNCTION("IFERROR(FILTER('VPLData(raw)'!C:C,'VPLData(raw)'!B:B=545,'VPLData(raw)'!A:A=A16),0)"),"0")</f>
        <v>0</v>
      </c>
      <c r="AK16" t="str">
        <f ca="1">IFERROR(__xludf.DUMMYFUNCTION("IFERROR(IF(AJ16&gt;0, FILTER('VPLData(raw)'!E:E,'VPLData(raw)'!B:B=545,'VPLData(raw)'!A:A=A16), 0),0)"),"0")</f>
        <v>0</v>
      </c>
      <c r="AL16" t="str">
        <f ca="1">IFERROR(__xludf.DUMMYFUNCTION("IFERROR(FILTER('VPLData(raw)'!F:F,'VPLData(raw)'!B:B=545,'VPLData(raw)'!A:A=A16),0)"),"0")</f>
        <v>0</v>
      </c>
      <c r="AM16" s="1"/>
    </row>
    <row r="17" spans="1:39" ht="15.75" customHeight="1" x14ac:dyDescent="0.15">
      <c r="A17" s="2">
        <v>10233</v>
      </c>
      <c r="B17" s="2">
        <v>9805320</v>
      </c>
      <c r="C17" t="str">
        <f ca="1">IFERROR(__xludf.DUMMYFUNCTION("IFERROR(FILTER('VPLData(raw)'!C:C,'VPLData(raw)'!B:B=504,'VPLData(raw)'!A:A=A17),0)"),"0")</f>
        <v>0</v>
      </c>
      <c r="D17" s="3" t="str">
        <f ca="1">IFERROR(__xludf.DUMMYFUNCTION("IFERROR(IF(C17&gt;0, FILTER('VPLData(raw)'!E:E,'VPLData(raw)'!B:B=504,'VPLData(raw)'!A:A=A17), 0),0)"),"0")</f>
        <v>0</v>
      </c>
      <c r="E17" t="str">
        <f ca="1">IFERROR(__xludf.DUMMYFUNCTION("IFERROR(FILTER('VPLData(raw)'!F:F,'VPLData(raw)'!B:B=504,'VPLData(raw)'!A:A=A17),0)"),"0")</f>
        <v>0</v>
      </c>
      <c r="F17" t="str">
        <f ca="1">IFERROR(__xludf.DUMMYFUNCTION("IFERROR(FILTER('VPLData(raw)'!C:C,'VPLData(raw)'!B:B=454,'VPLData(raw)'!A:A=A17),0)"),"0")</f>
        <v>0</v>
      </c>
      <c r="G17" t="str">
        <f ca="1">IFERROR(__xludf.DUMMYFUNCTION("IFERROR(IF(F17&gt;0, FILTER('VPLData(raw)'!E:E,'VPLData(raw)'!B:B=454,'VPLData(raw)'!A:A=A17), 0),0)"),"0")</f>
        <v>0</v>
      </c>
      <c r="H17" t="str">
        <f ca="1">IFERROR(__xludf.DUMMYFUNCTION("IFERROR(FILTER('VPLData(raw)'!F:F,'VPLData(raw)'!B:B=454,'VPLData(raw)'!A:A=A17),0)"),"0")</f>
        <v>0</v>
      </c>
      <c r="I17" t="str">
        <f ca="1">IFERROR(__xludf.DUMMYFUNCTION("IFERROR(FILTER('VPLData(raw)'!C:C,'VPLData(raw)'!B:B=457,'VPLData(raw)'!A:A=A17),0)"),"0")</f>
        <v>0</v>
      </c>
      <c r="J17" t="str">
        <f ca="1">IFERROR(__xludf.DUMMYFUNCTION("IFERROR(IF(I17&gt;0, FILTER('VPLData(raw)'!E:E,'VPLData(raw)'!B:B=457,'VPLData(raw)'!A:A=A17), 0),0)"),"0")</f>
        <v>0</v>
      </c>
      <c r="K17" t="str">
        <f ca="1">IFERROR(__xludf.DUMMYFUNCTION("IFERROR(FILTER('VPLData(raw)'!F:F,'VPLData(raw)'!B:B=457,'VPLData(raw)'!A:A=A17),0)"),"0")</f>
        <v>0</v>
      </c>
      <c r="L17" t="str">
        <f ca="1">IFERROR(__xludf.DUMMYFUNCTION("IFERROR(FILTER('VPLData(raw)'!C:C,'VPLData(raw)'!B:B=534,'VPLData(raw)'!A:A=A17),0)"),"0")</f>
        <v>0</v>
      </c>
      <c r="M17" t="str">
        <f ca="1">IFERROR(__xludf.DUMMYFUNCTION("IFERROR(IF(L17&gt;0, FILTER('VPLData(raw)'!E:E,'VPLData(raw)'!B:B=534,'VPLData(raw)'!A:A=A17), 0),0)"),"0")</f>
        <v>0</v>
      </c>
      <c r="N17" t="str">
        <f ca="1">IFERROR(__xludf.DUMMYFUNCTION("IFERROR(FILTER('VPLData(raw)'!F:F,'VPLData(raw)'!B:B=534,'VPLData(raw)'!A:A=A17),0)"),"0")</f>
        <v>0</v>
      </c>
      <c r="O17" t="str">
        <f ca="1">IFERROR(__xludf.DUMMYFUNCTION("IFERROR(FILTER('VPLData(raw)'!C:C,'VPLData(raw)'!B:B=498,'VPLData(raw)'!A:A=A17),0)"),"1493503322")</f>
        <v>1493503322</v>
      </c>
      <c r="P17" t="str">
        <f ca="1">IFERROR(__xludf.DUMMYFUNCTION("IFERROR(IF(O17&gt;0, FILTER('VPLData(raw)'!E:E,'VPLData(raw)'!B:B=498,'VPLData(raw)'!A:A=A17), 0),0)"),"10")</f>
        <v>10</v>
      </c>
      <c r="Q17" t="str">
        <f ca="1">IFERROR(__xludf.DUMMYFUNCTION("IFERROR(FILTER('VPLData(raw)'!F:F,'VPLData(raw)'!B:B=498,'VPLData(raw)'!A:A=A17),0)"),"510")</f>
        <v>510</v>
      </c>
      <c r="R17" t="str">
        <f ca="1">IFERROR(__xludf.DUMMYFUNCTION("IFERROR(FILTER('VPLData(raw)'!C:C,'VPLData(raw)'!B:B=515,'VPLData(raw)'!A:A=A17),0)"),"1493503921")</f>
        <v>1493503921</v>
      </c>
      <c r="S17" t="str">
        <f ca="1">IFERROR(__xludf.DUMMYFUNCTION("IFERROR(IF(R17&gt;0, FILTER('VPLData(raw)'!E:E,'VPLData(raw)'!B:B=515,'VPLData(raw)'!A:A=A17), 0),0)"),"10")</f>
        <v>10</v>
      </c>
      <c r="T17" t="str">
        <f ca="1">IFERROR(__xludf.DUMMYFUNCTION("IFERROR(FILTER('VPLData(raw)'!F:F,'VPLData(raw)'!B:B=515,'VPLData(raw)'!A:A=A17),0)"),"997")</f>
        <v>997</v>
      </c>
      <c r="U17" t="str">
        <f ca="1">IFERROR(__xludf.DUMMYFUNCTION("IFERROR(FILTER('VPLData(raw)'!C:C,'VPLData(raw)'!B:B=528,'VPLData(raw)'!A:A=A17),0)"),"0")</f>
        <v>0</v>
      </c>
      <c r="V17" t="str">
        <f ca="1">IFERROR(__xludf.DUMMYFUNCTION("IFERROR(IF(U17&gt;0, FILTER('VPLData(raw)'!E:E,'VPLData(raw)'!B:B=528,'VPLData(raw)'!A:A=A17), 0),0)"),"0")</f>
        <v>0</v>
      </c>
      <c r="W17" t="str">
        <f ca="1">IFERROR(__xludf.DUMMYFUNCTION("IFERROR(FILTER('VPLData(raw)'!F:F,'VPLData(raw)'!B:B=528,'VPLData(raw)'!A:A=A17),0)"),"0")</f>
        <v>0</v>
      </c>
      <c r="X17" t="str">
        <f ca="1">IFERROR(__xludf.DUMMYFUNCTION("IFERROR(FILTER('VPLData(raw)'!C:C,'VPLData(raw)'!B:B=524,'VPLData(raw)'!A:A=A17),0)"),"0")</f>
        <v>0</v>
      </c>
      <c r="Y17" t="str">
        <f ca="1">IFERROR(__xludf.DUMMYFUNCTION("IFERROR(IF(X17&gt;0, FILTER('VPLData(raw)'!E:E,'VPLData(raw)'!B:B=524,'VPLData(raw)'!A:A=A17), 0),0)"),"0")</f>
        <v>0</v>
      </c>
      <c r="Z17" t="str">
        <f ca="1">IFERROR(__xludf.DUMMYFUNCTION("IFERROR(FILTER('VPLData(raw)'!F:F,'VPLData(raw)'!B:B=524,'VPLData(raw)'!A:A=A17),0)"),"0")</f>
        <v>0</v>
      </c>
      <c r="AA17" t="str">
        <f ca="1">IFERROR(__xludf.DUMMYFUNCTION("IFERROR(FILTER('VPLData(raw)'!C:C,'VPLData(raw)'!B:B=478,'VPLData(raw)'!A:A=A17),0)"),"0")</f>
        <v>0</v>
      </c>
      <c r="AB17" t="str">
        <f ca="1">IFERROR(__xludf.DUMMYFUNCTION("IFERROR(IF(AA17&gt;0, FILTER('VPLData(raw)'!E:E,'VPLData(raw)'!B:B=478,'VPLData(raw)'!A:A=A17), 0),0)"),"0")</f>
        <v>0</v>
      </c>
      <c r="AC17" t="str">
        <f ca="1">IFERROR(__xludf.DUMMYFUNCTION("IFERROR(FILTER('VPLData(raw)'!F:F,'VPLData(raw)'!B:B=478,'VPLData(raw)'!A:A=A17),0)"),"0")</f>
        <v>0</v>
      </c>
      <c r="AD17" t="str">
        <f ca="1">IFERROR(__xludf.DUMMYFUNCTION("IFERROR(FILTER('VPLData(raw)'!C:C,'VPLData(raw)'!B:B=542,'VPLData(raw)'!A:A=A17),0)"),"0")</f>
        <v>0</v>
      </c>
      <c r="AE17" t="str">
        <f ca="1">IFERROR(__xludf.DUMMYFUNCTION("IFERROR(IF(AD17&gt;0, FILTER('VPLData(raw)'!E:E,'VPLData(raw)'!B:B=542,'VPLData(raw)'!A:A=A17), 0),0)"),"0")</f>
        <v>0</v>
      </c>
      <c r="AF17" t="str">
        <f ca="1">IFERROR(__xludf.DUMMYFUNCTION("IFERROR(FILTER('VPLData(raw)'!F:F,'VPLData(raw)'!B:B=542,'VPLData(raw)'!A:A=A17),0)"),"0")</f>
        <v>0</v>
      </c>
      <c r="AG17" t="str">
        <f ca="1">IFERROR(__xludf.DUMMYFUNCTION("IFERROR(FILTER('VPLData(raw)'!C:C,'VPLData(raw)'!B:B=544,'VPLData(raw)'!A:A=A17),0)"),"0")</f>
        <v>0</v>
      </c>
      <c r="AH17" t="str">
        <f ca="1">IFERROR(__xludf.DUMMYFUNCTION("IFERROR(IF(AG17&gt;0, FILTER('VPLData(raw)'!E:E,'VPLData(raw)'!B:B=544,'VPLData(raw)'!A:A=A17), 0),0)"),"0")</f>
        <v>0</v>
      </c>
      <c r="AI17" t="str">
        <f ca="1">IFERROR(__xludf.DUMMYFUNCTION("IFERROR(FILTER('VPLData(raw)'!F:F,'VPLData(raw)'!B:B=544,'VPLData(raw)'!A:A=A17),0)"),"0")</f>
        <v>0</v>
      </c>
      <c r="AJ17" t="str">
        <f ca="1">IFERROR(__xludf.DUMMYFUNCTION("IFERROR(FILTER('VPLData(raw)'!C:C,'VPLData(raw)'!B:B=545,'VPLData(raw)'!A:A=A17),0)"),"0")</f>
        <v>0</v>
      </c>
      <c r="AK17" t="str">
        <f ca="1">IFERROR(__xludf.DUMMYFUNCTION("IFERROR(IF(AJ17&gt;0, FILTER('VPLData(raw)'!E:E,'VPLData(raw)'!B:B=545,'VPLData(raw)'!A:A=A17), 0),0)"),"0")</f>
        <v>0</v>
      </c>
      <c r="AL17" t="str">
        <f ca="1">IFERROR(__xludf.DUMMYFUNCTION("IFERROR(FILTER('VPLData(raw)'!F:F,'VPLData(raw)'!B:B=545,'VPLData(raw)'!A:A=A17),0)"),"0")</f>
        <v>0</v>
      </c>
      <c r="AM17" s="1"/>
    </row>
    <row r="18" spans="1:39" ht="15.75" customHeight="1" x14ac:dyDescent="0.15">
      <c r="A18" s="2">
        <v>10217</v>
      </c>
      <c r="B18" s="2">
        <v>9805341</v>
      </c>
      <c r="C18" t="str">
        <f ca="1">IFERROR(__xludf.DUMMYFUNCTION("IFERROR(FILTER('VPLData(raw)'!C:C,'VPLData(raw)'!B:B=504,'VPLData(raw)'!A:A=A18),0)"),"1490725764")</f>
        <v>1490725764</v>
      </c>
      <c r="D18" s="3" t="str">
        <f ca="1">IFERROR(__xludf.DUMMYFUNCTION("IFERROR(IF(C18&gt;0, FILTER('VPLData(raw)'!E:E,'VPLData(raw)'!B:B=504,'VPLData(raw)'!A:A=A18), 0),0)"),"10")</f>
        <v>10</v>
      </c>
      <c r="E18" t="str">
        <f ca="1">IFERROR(__xludf.DUMMYFUNCTION("IFERROR(FILTER('VPLData(raw)'!F:F,'VPLData(raw)'!B:B=504,'VPLData(raw)'!A:A=A18),0)"),"780")</f>
        <v>780</v>
      </c>
      <c r="F18" t="str">
        <f ca="1">IFERROR(__xludf.DUMMYFUNCTION("IFERROR(FILTER('VPLData(raw)'!C:C,'VPLData(raw)'!B:B=454,'VPLData(raw)'!A:A=A18),0)"),"1491401406")</f>
        <v>1491401406</v>
      </c>
      <c r="G18" t="str">
        <f ca="1">IFERROR(__xludf.DUMMYFUNCTION("IFERROR(IF(F18&gt;0, FILTER('VPLData(raw)'!E:E,'VPLData(raw)'!B:B=454,'VPLData(raw)'!A:A=A18), 0),0)"),"10")</f>
        <v>10</v>
      </c>
      <c r="H18" t="str">
        <f ca="1">IFERROR(__xludf.DUMMYFUNCTION("IFERROR(FILTER('VPLData(raw)'!F:F,'VPLData(raw)'!B:B=454,'VPLData(raw)'!A:A=A18),0)"),"360")</f>
        <v>360</v>
      </c>
      <c r="I18" t="str">
        <f ca="1">IFERROR(__xludf.DUMMYFUNCTION("IFERROR(FILTER('VPLData(raw)'!C:C,'VPLData(raw)'!B:B=457,'VPLData(raw)'!A:A=A18),0)"),"1492396073")</f>
        <v>1492396073</v>
      </c>
      <c r="J18" t="str">
        <f ca="1">IFERROR(__xludf.DUMMYFUNCTION("IFERROR(IF(I18&gt;0, FILTER('VPLData(raw)'!E:E,'VPLData(raw)'!B:B=457,'VPLData(raw)'!A:A=A18), 0),0)"),"10")</f>
        <v>10</v>
      </c>
      <c r="K18" t="str">
        <f ca="1">IFERROR(__xludf.DUMMYFUNCTION("IFERROR(FILTER('VPLData(raw)'!F:F,'VPLData(raw)'!B:B=457,'VPLData(raw)'!A:A=A18),0)"),"4411")</f>
        <v>4411</v>
      </c>
      <c r="L18" t="str">
        <f ca="1">IFERROR(__xludf.DUMMYFUNCTION("IFERROR(FILTER('VPLData(raw)'!C:C,'VPLData(raw)'!B:B=534,'VPLData(raw)'!A:A=A18),0)"),"0")</f>
        <v>0</v>
      </c>
      <c r="M18" t="str">
        <f ca="1">IFERROR(__xludf.DUMMYFUNCTION("IFERROR(IF(L18&gt;0, FILTER('VPLData(raw)'!E:E,'VPLData(raw)'!B:B=534,'VPLData(raw)'!A:A=A18), 0),0)"),"0")</f>
        <v>0</v>
      </c>
      <c r="N18" t="str">
        <f ca="1">IFERROR(__xludf.DUMMYFUNCTION("IFERROR(FILTER('VPLData(raw)'!F:F,'VPLData(raw)'!B:B=534,'VPLData(raw)'!A:A=A18),0)"),"0")</f>
        <v>0</v>
      </c>
      <c r="O18" t="str">
        <f ca="1">IFERROR(__xludf.DUMMYFUNCTION("IFERROR(FILTER('VPLData(raw)'!C:C,'VPLData(raw)'!B:B=498,'VPLData(raw)'!A:A=A18),0)"),"1492532694")</f>
        <v>1492532694</v>
      </c>
      <c r="P18" t="str">
        <f ca="1">IFERROR(__xludf.DUMMYFUNCTION("IFERROR(IF(O18&gt;0, FILTER('VPLData(raw)'!E:E,'VPLData(raw)'!B:B=498,'VPLData(raw)'!A:A=A18), 0),0)"),"10")</f>
        <v>10</v>
      </c>
      <c r="Q18" t="str">
        <f ca="1">IFERROR(__xludf.DUMMYFUNCTION("IFERROR(FILTER('VPLData(raw)'!F:F,'VPLData(raw)'!B:B=498,'VPLData(raw)'!A:A=A18),0)"),"728")</f>
        <v>728</v>
      </c>
      <c r="R18" t="str">
        <f ca="1">IFERROR(__xludf.DUMMYFUNCTION("IFERROR(FILTER('VPLData(raw)'!C:C,'VPLData(raw)'!B:B=515,'VPLData(raw)'!A:A=A18),0)"),"1492533528")</f>
        <v>1492533528</v>
      </c>
      <c r="S18" t="str">
        <f ca="1">IFERROR(__xludf.DUMMYFUNCTION("IFERROR(IF(R18&gt;0, FILTER('VPLData(raw)'!E:E,'VPLData(raw)'!B:B=515,'VPLData(raw)'!A:A=A18), 0),0)"),"10")</f>
        <v>10</v>
      </c>
      <c r="T18" t="str">
        <f ca="1">IFERROR(__xludf.DUMMYFUNCTION("IFERROR(FILTER('VPLData(raw)'!F:F,'VPLData(raw)'!B:B=515,'VPLData(raw)'!A:A=A18),0)"),"436")</f>
        <v>436</v>
      </c>
      <c r="U18" t="str">
        <f ca="1">IFERROR(__xludf.DUMMYFUNCTION("IFERROR(FILTER('VPLData(raw)'!C:C,'VPLData(raw)'!B:B=528,'VPLData(raw)'!A:A=A18),0)"),"1494354773")</f>
        <v>1494354773</v>
      </c>
      <c r="V18" t="str">
        <f ca="1">IFERROR(__xludf.DUMMYFUNCTION("IFERROR(IF(U18&gt;0, FILTER('VPLData(raw)'!E:E,'VPLData(raw)'!B:B=528,'VPLData(raw)'!A:A=A18), 0),0)"),"10")</f>
        <v>10</v>
      </c>
      <c r="W18" t="str">
        <f ca="1">IFERROR(__xludf.DUMMYFUNCTION("IFERROR(FILTER('VPLData(raw)'!F:F,'VPLData(raw)'!B:B=528,'VPLData(raw)'!A:A=A18),0)"),"494")</f>
        <v>494</v>
      </c>
      <c r="X18" t="str">
        <f ca="1">IFERROR(__xludf.DUMMYFUNCTION("IFERROR(FILTER('VPLData(raw)'!C:C,'VPLData(raw)'!B:B=524,'VPLData(raw)'!A:A=A18),0)"),"1494355369")</f>
        <v>1494355369</v>
      </c>
      <c r="Y18" t="str">
        <f ca="1">IFERROR(__xludf.DUMMYFUNCTION("IFERROR(IF(X18&gt;0, FILTER('VPLData(raw)'!E:E,'VPLData(raw)'!B:B=524,'VPLData(raw)'!A:A=A18), 0),0)"),"10")</f>
        <v>10</v>
      </c>
      <c r="Z18" t="str">
        <f ca="1">IFERROR(__xludf.DUMMYFUNCTION("IFERROR(FILTER('VPLData(raw)'!F:F,'VPLData(raw)'!B:B=524,'VPLData(raw)'!A:A=A18),0)"),"1810")</f>
        <v>1810</v>
      </c>
      <c r="AA18" t="str">
        <f ca="1">IFERROR(__xludf.DUMMYFUNCTION("IFERROR(FILTER('VPLData(raw)'!C:C,'VPLData(raw)'!B:B=478,'VPLData(raw)'!A:A=A18),0)"),"1494357796")</f>
        <v>1494357796</v>
      </c>
      <c r="AB18" t="str">
        <f ca="1">IFERROR(__xludf.DUMMYFUNCTION("IFERROR(IF(AA18&gt;0, FILTER('VPLData(raw)'!E:E,'VPLData(raw)'!B:B=478,'VPLData(raw)'!A:A=A18), 0),0)"),"10")</f>
        <v>10</v>
      </c>
      <c r="AC18" t="str">
        <f ca="1">IFERROR(__xludf.DUMMYFUNCTION("IFERROR(FILTER('VPLData(raw)'!F:F,'VPLData(raw)'!B:B=478,'VPLData(raw)'!A:A=A18),0)"),"12388")</f>
        <v>12388</v>
      </c>
      <c r="AD18" t="str">
        <f ca="1">IFERROR(__xludf.DUMMYFUNCTION("IFERROR(FILTER('VPLData(raw)'!C:C,'VPLData(raw)'!B:B=542,'VPLData(raw)'!A:A=A18),0)"),"1497668059")</f>
        <v>1497668059</v>
      </c>
      <c r="AE18" t="str">
        <f ca="1">IFERROR(__xludf.DUMMYFUNCTION("IFERROR(IF(AD18&gt;0, FILTER('VPLData(raw)'!E:E,'VPLData(raw)'!B:B=542,'VPLData(raw)'!A:A=A18), 0),0)"),"10")</f>
        <v>10</v>
      </c>
      <c r="AF18" t="str">
        <f ca="1">IFERROR(__xludf.DUMMYFUNCTION("IFERROR(FILTER('VPLData(raw)'!F:F,'VPLData(raw)'!B:B=542,'VPLData(raw)'!A:A=A18),0)"),"1418")</f>
        <v>1418</v>
      </c>
      <c r="AG18" t="str">
        <f ca="1">IFERROR(__xludf.DUMMYFUNCTION("IFERROR(FILTER('VPLData(raw)'!C:C,'VPLData(raw)'!B:B=544,'VPLData(raw)'!A:A=A18),0)"),"1497670010")</f>
        <v>1497670010</v>
      </c>
      <c r="AH18" t="str">
        <f ca="1">IFERROR(__xludf.DUMMYFUNCTION("IFERROR(IF(AG18&gt;0, FILTER('VPLData(raw)'!E:E,'VPLData(raw)'!B:B=544,'VPLData(raw)'!A:A=A18), 0),0)"),"10")</f>
        <v>10</v>
      </c>
      <c r="AI18" t="str">
        <f ca="1">IFERROR(__xludf.DUMMYFUNCTION("IFERROR(FILTER('VPLData(raw)'!F:F,'VPLData(raw)'!B:B=544,'VPLData(raw)'!A:A=A18),0)"),"999")</f>
        <v>999</v>
      </c>
      <c r="AJ18" t="str">
        <f ca="1">IFERROR(__xludf.DUMMYFUNCTION("IFERROR(FILTER('VPLData(raw)'!C:C,'VPLData(raw)'!B:B=545,'VPLData(raw)'!A:A=A18),0)"),"1497673296")</f>
        <v>1497673296</v>
      </c>
      <c r="AK18" t="str">
        <f ca="1">IFERROR(__xludf.DUMMYFUNCTION("IFERROR(IF(AJ18&gt;0, FILTER('VPLData(raw)'!E:E,'VPLData(raw)'!B:B=545,'VPLData(raw)'!A:A=A18), 0),0)"),"10")</f>
        <v>10</v>
      </c>
      <c r="AL18" t="str">
        <f ca="1">IFERROR(__xludf.DUMMYFUNCTION("IFERROR(FILTER('VPLData(raw)'!F:F,'VPLData(raw)'!B:B=545,'VPLData(raw)'!A:A=A18),0)"),"4327")</f>
        <v>4327</v>
      </c>
    </row>
    <row r="19" spans="1:39" ht="15.75" customHeight="1" x14ac:dyDescent="0.15">
      <c r="A19" s="2">
        <v>10218</v>
      </c>
      <c r="B19" s="2">
        <v>9842913</v>
      </c>
      <c r="C19" t="str">
        <f ca="1">IFERROR(__xludf.DUMMYFUNCTION("IFERROR(FILTER('VPLData(raw)'!C:C,'VPLData(raw)'!B:B=504,'VPLData(raw)'!A:A=A19),0)"),"1490833680")</f>
        <v>1490833680</v>
      </c>
      <c r="D19" s="3" t="str">
        <f ca="1">IFERROR(__xludf.DUMMYFUNCTION("IFERROR(IF(C19&gt;0, FILTER('VPLData(raw)'!E:E,'VPLData(raw)'!B:B=504,'VPLData(raw)'!A:A=A19), 0),0)"),"10")</f>
        <v>10</v>
      </c>
      <c r="E19" t="str">
        <f ca="1">IFERROR(__xludf.DUMMYFUNCTION("IFERROR(FILTER('VPLData(raw)'!F:F,'VPLData(raw)'!B:B=504,'VPLData(raw)'!A:A=A19),0)"),"719")</f>
        <v>719</v>
      </c>
      <c r="F19" t="str">
        <f ca="1">IFERROR(__xludf.DUMMYFUNCTION("IFERROR(FILTER('VPLData(raw)'!C:C,'VPLData(raw)'!B:B=454,'VPLData(raw)'!A:A=A19),0)"),"1491435810")</f>
        <v>1491435810</v>
      </c>
      <c r="G19" t="str">
        <f ca="1">IFERROR(__xludf.DUMMYFUNCTION("IFERROR(IF(F19&gt;0, FILTER('VPLData(raw)'!E:E,'VPLData(raw)'!B:B=454,'VPLData(raw)'!A:A=A19), 0),0)"),"10")</f>
        <v>10</v>
      </c>
      <c r="H19" t="str">
        <f ca="1">IFERROR(__xludf.DUMMYFUNCTION("IFERROR(FILTER('VPLData(raw)'!F:F,'VPLData(raw)'!B:B=454,'VPLData(raw)'!A:A=A19),0)"),"1735")</f>
        <v>1735</v>
      </c>
      <c r="I19" t="str">
        <f ca="1">IFERROR(__xludf.DUMMYFUNCTION("IFERROR(FILTER('VPLData(raw)'!C:C,'VPLData(raw)'!B:B=457,'VPLData(raw)'!A:A=A19),0)"),"1492476501")</f>
        <v>1492476501</v>
      </c>
      <c r="J19" t="str">
        <f ca="1">IFERROR(__xludf.DUMMYFUNCTION("IFERROR(IF(I19&gt;0, FILTER('VPLData(raw)'!E:E,'VPLData(raw)'!B:B=457,'VPLData(raw)'!A:A=A19), 0),0)"),"10")</f>
        <v>10</v>
      </c>
      <c r="K19" t="str">
        <f ca="1">IFERROR(__xludf.DUMMYFUNCTION("IFERROR(FILTER('VPLData(raw)'!F:F,'VPLData(raw)'!B:B=457,'VPLData(raw)'!A:A=A19),0)"),"195")</f>
        <v>195</v>
      </c>
      <c r="L19" t="str">
        <f ca="1">IFERROR(__xludf.DUMMYFUNCTION("IFERROR(FILTER('VPLData(raw)'!C:C,'VPLData(raw)'!B:B=534,'VPLData(raw)'!A:A=A19),0)"),"0")</f>
        <v>0</v>
      </c>
      <c r="M19" t="str">
        <f ca="1">IFERROR(__xludf.DUMMYFUNCTION("IFERROR(IF(L19&gt;0, FILTER('VPLData(raw)'!E:E,'VPLData(raw)'!B:B=534,'VPLData(raw)'!A:A=A19), 0),0)"),"0")</f>
        <v>0</v>
      </c>
      <c r="N19" t="str">
        <f ca="1">IFERROR(__xludf.DUMMYFUNCTION("IFERROR(FILTER('VPLData(raw)'!F:F,'VPLData(raw)'!B:B=534,'VPLData(raw)'!A:A=A19),0)"),"0")</f>
        <v>0</v>
      </c>
      <c r="O19" t="str">
        <f ca="1">IFERROR(__xludf.DUMMYFUNCTION("IFERROR(FILTER('VPLData(raw)'!C:C,'VPLData(raw)'!B:B=498,'VPLData(raw)'!A:A=A19),0)"),"1492476951")</f>
        <v>1492476951</v>
      </c>
      <c r="P19" t="str">
        <f ca="1">IFERROR(__xludf.DUMMYFUNCTION("IFERROR(IF(O19&gt;0, FILTER('VPLData(raw)'!E:E,'VPLData(raw)'!B:B=498,'VPLData(raw)'!A:A=A19), 0),0)"),"10")</f>
        <v>10</v>
      </c>
      <c r="Q19" t="str">
        <f ca="1">IFERROR(__xludf.DUMMYFUNCTION("IFERROR(FILTER('VPLData(raw)'!F:F,'VPLData(raw)'!B:B=498,'VPLData(raw)'!A:A=A19),0)"),"372")</f>
        <v>372</v>
      </c>
      <c r="R19" t="str">
        <f ca="1">IFERROR(__xludf.DUMMYFUNCTION("IFERROR(FILTER('VPLData(raw)'!C:C,'VPLData(raw)'!B:B=515,'VPLData(raw)'!A:A=A19),0)"),"1494874995")</f>
        <v>1494874995</v>
      </c>
      <c r="S19" t="str">
        <f ca="1">IFERROR(__xludf.DUMMYFUNCTION("IFERROR(IF(R19&gt;0, FILTER('VPLData(raw)'!E:E,'VPLData(raw)'!B:B=515,'VPLData(raw)'!A:A=A19), 0),0)"),"10")</f>
        <v>10</v>
      </c>
      <c r="T19" t="str">
        <f ca="1">IFERROR(__xludf.DUMMYFUNCTION("IFERROR(FILTER('VPLData(raw)'!F:F,'VPLData(raw)'!B:B=515,'VPLData(raw)'!A:A=A19),0)"),"1028")</f>
        <v>1028</v>
      </c>
      <c r="U19" t="str">
        <f ca="1">IFERROR(__xludf.DUMMYFUNCTION("IFERROR(FILTER('VPLData(raw)'!C:C,'VPLData(raw)'!B:B=528,'VPLData(raw)'!A:A=A19),0)"),"1499462874")</f>
        <v>1499462874</v>
      </c>
      <c r="V19" t="str">
        <f ca="1">IFERROR(__xludf.DUMMYFUNCTION("IFERROR(IF(U19&gt;0, FILTER('VPLData(raw)'!E:E,'VPLData(raw)'!B:B=528,'VPLData(raw)'!A:A=A19), 0),0)"),"10")</f>
        <v>10</v>
      </c>
      <c r="W19" t="str">
        <f ca="1">IFERROR(__xludf.DUMMYFUNCTION("IFERROR(FILTER('VPLData(raw)'!F:F,'VPLData(raw)'!B:B=528,'VPLData(raw)'!A:A=A19),0)"),"130")</f>
        <v>130</v>
      </c>
      <c r="X19" t="str">
        <f ca="1">IFERROR(__xludf.DUMMYFUNCTION("IFERROR(FILTER('VPLData(raw)'!C:C,'VPLData(raw)'!B:B=524,'VPLData(raw)'!A:A=A19),0)"),"1494891071")</f>
        <v>1494891071</v>
      </c>
      <c r="Y19" t="str">
        <f ca="1">IFERROR(__xludf.DUMMYFUNCTION("IFERROR(IF(X19&gt;0, FILTER('VPLData(raw)'!E:E,'VPLData(raw)'!B:B=524,'VPLData(raw)'!A:A=A19), 0),0)"),"10")</f>
        <v>10</v>
      </c>
      <c r="Z19" t="str">
        <f ca="1">IFERROR(__xludf.DUMMYFUNCTION("IFERROR(FILTER('VPLData(raw)'!F:F,'VPLData(raw)'!B:B=524,'VPLData(raw)'!A:A=A19),0)"),"141")</f>
        <v>141</v>
      </c>
      <c r="AA19" t="str">
        <f ca="1">IFERROR(__xludf.DUMMYFUNCTION("IFERROR(FILTER('VPLData(raw)'!C:C,'VPLData(raw)'!B:B=478,'VPLData(raw)'!A:A=A19),0)"),"1494895980")</f>
        <v>1494895980</v>
      </c>
      <c r="AB19" t="str">
        <f ca="1">IFERROR(__xludf.DUMMYFUNCTION("IFERROR(IF(AA19&gt;0, FILTER('VPLData(raw)'!E:E,'VPLData(raw)'!B:B=478,'VPLData(raw)'!A:A=A19), 0),0)"),"10")</f>
        <v>10</v>
      </c>
      <c r="AC19" t="str">
        <f ca="1">IFERROR(__xludf.DUMMYFUNCTION("IFERROR(FILTER('VPLData(raw)'!F:F,'VPLData(raw)'!B:B=478,'VPLData(raw)'!A:A=A19),0)"),"824")</f>
        <v>824</v>
      </c>
      <c r="AD19" t="str">
        <f ca="1">IFERROR(__xludf.DUMMYFUNCTION("IFERROR(FILTER('VPLData(raw)'!C:C,'VPLData(raw)'!B:B=542,'VPLData(raw)'!A:A=A19),0)"),"0")</f>
        <v>0</v>
      </c>
      <c r="AE19" t="str">
        <f ca="1">IFERROR(__xludf.DUMMYFUNCTION("IFERROR(IF(AD19&gt;0, FILTER('VPLData(raw)'!E:E,'VPLData(raw)'!B:B=542,'VPLData(raw)'!A:A=A19), 0),0)"),"0")</f>
        <v>0</v>
      </c>
      <c r="AF19" t="str">
        <f ca="1">IFERROR(__xludf.DUMMYFUNCTION("IFERROR(FILTER('VPLData(raw)'!F:F,'VPLData(raw)'!B:B=542,'VPLData(raw)'!A:A=A19),0)"),"0")</f>
        <v>0</v>
      </c>
      <c r="AG19" t="str">
        <f ca="1">IFERROR(__xludf.DUMMYFUNCTION("IFERROR(FILTER('VPLData(raw)'!C:C,'VPLData(raw)'!B:B=544,'VPLData(raw)'!A:A=A19),0)"),"1499463530")</f>
        <v>1499463530</v>
      </c>
      <c r="AH19" t="str">
        <f ca="1">IFERROR(__xludf.DUMMYFUNCTION("IFERROR(IF(AG19&gt;0, FILTER('VPLData(raw)'!E:E,'VPLData(raw)'!B:B=544,'VPLData(raw)'!A:A=A19), 0),0)"),"10")</f>
        <v>10</v>
      </c>
      <c r="AI19" t="str">
        <f ca="1">IFERROR(__xludf.DUMMYFUNCTION("IFERROR(FILTER('VPLData(raw)'!F:F,'VPLData(raw)'!B:B=544,'VPLData(raw)'!A:A=A19),0)"),"7")</f>
        <v>7</v>
      </c>
      <c r="AJ19" t="str">
        <f ca="1">IFERROR(__xludf.DUMMYFUNCTION("IFERROR(FILTER('VPLData(raw)'!C:C,'VPLData(raw)'!B:B=545,'VPLData(raw)'!A:A=A19),0)"),"0")</f>
        <v>0</v>
      </c>
      <c r="AK19" t="str">
        <f ca="1">IFERROR(__xludf.DUMMYFUNCTION("IFERROR(IF(AJ19&gt;0, FILTER('VPLData(raw)'!E:E,'VPLData(raw)'!B:B=545,'VPLData(raw)'!A:A=A19), 0),0)"),"0")</f>
        <v>0</v>
      </c>
      <c r="AL19" t="str">
        <f ca="1">IFERROR(__xludf.DUMMYFUNCTION("IFERROR(FILTER('VPLData(raw)'!F:F,'VPLData(raw)'!B:B=545,'VPLData(raw)'!A:A=A19),0)"),"0")</f>
        <v>0</v>
      </c>
    </row>
    <row r="20" spans="1:39" ht="15.75" customHeight="1" x14ac:dyDescent="0.15">
      <c r="A20" s="2">
        <v>10241</v>
      </c>
      <c r="B20" s="2">
        <v>9885286</v>
      </c>
      <c r="C20" t="str">
        <f ca="1">IFERROR(__xludf.DUMMYFUNCTION("IFERROR(FILTER('VPLData(raw)'!C:C,'VPLData(raw)'!B:B=504,'VPLData(raw)'!A:A=A20),0)"),"0")</f>
        <v>0</v>
      </c>
      <c r="D20" s="3" t="str">
        <f ca="1">IFERROR(__xludf.DUMMYFUNCTION("IFERROR(IF(C20&gt;0, FILTER('VPLData(raw)'!E:E,'VPLData(raw)'!B:B=504,'VPLData(raw)'!A:A=A20), 0),0)"),"0")</f>
        <v>0</v>
      </c>
      <c r="E20" t="str">
        <f ca="1">IFERROR(__xludf.DUMMYFUNCTION("IFERROR(FILTER('VPLData(raw)'!F:F,'VPLData(raw)'!B:B=504,'VPLData(raw)'!A:A=A20),0)"),"0")</f>
        <v>0</v>
      </c>
      <c r="F20" t="str">
        <f ca="1">IFERROR(__xludf.DUMMYFUNCTION("IFERROR(FILTER('VPLData(raw)'!C:C,'VPLData(raw)'!B:B=454,'VPLData(raw)'!A:A=A20),0)"),"0")</f>
        <v>0</v>
      </c>
      <c r="G20" t="str">
        <f ca="1">IFERROR(__xludf.DUMMYFUNCTION("IFERROR(IF(F20&gt;0, FILTER('VPLData(raw)'!E:E,'VPLData(raw)'!B:B=454,'VPLData(raw)'!A:A=A20), 0),0)"),"0")</f>
        <v>0</v>
      </c>
      <c r="H20" t="str">
        <f ca="1">IFERROR(__xludf.DUMMYFUNCTION("IFERROR(FILTER('VPLData(raw)'!F:F,'VPLData(raw)'!B:B=454,'VPLData(raw)'!A:A=A20),0)"),"0")</f>
        <v>0</v>
      </c>
      <c r="I20" t="str">
        <f ca="1">IFERROR(__xludf.DUMMYFUNCTION("IFERROR(FILTER('VPLData(raw)'!C:C,'VPLData(raw)'!B:B=457,'VPLData(raw)'!A:A=A20),0)"),"0")</f>
        <v>0</v>
      </c>
      <c r="J20" t="str">
        <f ca="1">IFERROR(__xludf.DUMMYFUNCTION("IFERROR(IF(I20&gt;0, FILTER('VPLData(raw)'!E:E,'VPLData(raw)'!B:B=457,'VPLData(raw)'!A:A=A20), 0),0)"),"0")</f>
        <v>0</v>
      </c>
      <c r="K20" t="str">
        <f ca="1">IFERROR(__xludf.DUMMYFUNCTION("IFERROR(FILTER('VPLData(raw)'!F:F,'VPLData(raw)'!B:B=457,'VPLData(raw)'!A:A=A20),0)"),"0")</f>
        <v>0</v>
      </c>
      <c r="L20" t="str">
        <f ca="1">IFERROR(__xludf.DUMMYFUNCTION("IFERROR(FILTER('VPLData(raw)'!C:C,'VPLData(raw)'!B:B=534,'VPLData(raw)'!A:A=A20),0)"),"0")</f>
        <v>0</v>
      </c>
      <c r="M20" t="str">
        <f ca="1">IFERROR(__xludf.DUMMYFUNCTION("IFERROR(IF(L20&gt;0, FILTER('VPLData(raw)'!E:E,'VPLData(raw)'!B:B=534,'VPLData(raw)'!A:A=A20), 0),0)"),"0")</f>
        <v>0</v>
      </c>
      <c r="N20" t="str">
        <f ca="1">IFERROR(__xludf.DUMMYFUNCTION("IFERROR(FILTER('VPLData(raw)'!F:F,'VPLData(raw)'!B:B=534,'VPLData(raw)'!A:A=A20),0)"),"0")</f>
        <v>0</v>
      </c>
      <c r="O20" t="str">
        <f ca="1">IFERROR(__xludf.DUMMYFUNCTION("IFERROR(FILTER('VPLData(raw)'!C:C,'VPLData(raw)'!B:B=498,'VPLData(raw)'!A:A=A20),0)"),"0")</f>
        <v>0</v>
      </c>
      <c r="P20" t="str">
        <f ca="1">IFERROR(__xludf.DUMMYFUNCTION("IFERROR(IF(O20&gt;0, FILTER('VPLData(raw)'!E:E,'VPLData(raw)'!B:B=498,'VPLData(raw)'!A:A=A20), 0),0)"),"0")</f>
        <v>0</v>
      </c>
      <c r="Q20" t="str">
        <f ca="1">IFERROR(__xludf.DUMMYFUNCTION("IFERROR(FILTER('VPLData(raw)'!F:F,'VPLData(raw)'!B:B=498,'VPLData(raw)'!A:A=A20),0)"),"0")</f>
        <v>0</v>
      </c>
      <c r="R20" t="str">
        <f ca="1">IFERROR(__xludf.DUMMYFUNCTION("IFERROR(FILTER('VPLData(raw)'!C:C,'VPLData(raw)'!B:B=515,'VPLData(raw)'!A:A=A20),0)"),"0")</f>
        <v>0</v>
      </c>
      <c r="S20" t="str">
        <f ca="1">IFERROR(__xludf.DUMMYFUNCTION("IFERROR(IF(R20&gt;0, FILTER('VPLData(raw)'!E:E,'VPLData(raw)'!B:B=515,'VPLData(raw)'!A:A=A20), 0),0)"),"0")</f>
        <v>0</v>
      </c>
      <c r="T20" t="str">
        <f ca="1">IFERROR(__xludf.DUMMYFUNCTION("IFERROR(FILTER('VPLData(raw)'!F:F,'VPLData(raw)'!B:B=515,'VPLData(raw)'!A:A=A20),0)"),"0")</f>
        <v>0</v>
      </c>
      <c r="U20" t="str">
        <f ca="1">IFERROR(__xludf.DUMMYFUNCTION("IFERROR(FILTER('VPLData(raw)'!C:C,'VPLData(raw)'!B:B=528,'VPLData(raw)'!A:A=A20),0)"),"0")</f>
        <v>0</v>
      </c>
      <c r="V20" t="str">
        <f ca="1">IFERROR(__xludf.DUMMYFUNCTION("IFERROR(IF(U20&gt;0, FILTER('VPLData(raw)'!E:E,'VPLData(raw)'!B:B=528,'VPLData(raw)'!A:A=A20), 0),0)"),"0")</f>
        <v>0</v>
      </c>
      <c r="W20" t="str">
        <f ca="1">IFERROR(__xludf.DUMMYFUNCTION("IFERROR(FILTER('VPLData(raw)'!F:F,'VPLData(raw)'!B:B=528,'VPLData(raw)'!A:A=A20),0)"),"0")</f>
        <v>0</v>
      </c>
      <c r="X20" t="str">
        <f ca="1">IFERROR(__xludf.DUMMYFUNCTION("IFERROR(FILTER('VPLData(raw)'!C:C,'VPLData(raw)'!B:B=524,'VPLData(raw)'!A:A=A20),0)"),"0")</f>
        <v>0</v>
      </c>
      <c r="Y20" t="str">
        <f ca="1">IFERROR(__xludf.DUMMYFUNCTION("IFERROR(IF(X20&gt;0, FILTER('VPLData(raw)'!E:E,'VPLData(raw)'!B:B=524,'VPLData(raw)'!A:A=A20), 0),0)"),"0")</f>
        <v>0</v>
      </c>
      <c r="Z20" t="str">
        <f ca="1">IFERROR(__xludf.DUMMYFUNCTION("IFERROR(FILTER('VPLData(raw)'!F:F,'VPLData(raw)'!B:B=524,'VPLData(raw)'!A:A=A20),0)"),"0")</f>
        <v>0</v>
      </c>
      <c r="AA20" t="str">
        <f ca="1">IFERROR(__xludf.DUMMYFUNCTION("IFERROR(FILTER('VPLData(raw)'!C:C,'VPLData(raw)'!B:B=478,'VPLData(raw)'!A:A=A20),0)"),"0")</f>
        <v>0</v>
      </c>
      <c r="AB20" t="str">
        <f ca="1">IFERROR(__xludf.DUMMYFUNCTION("IFERROR(IF(AA20&gt;0, FILTER('VPLData(raw)'!E:E,'VPLData(raw)'!B:B=478,'VPLData(raw)'!A:A=A20), 0),0)"),"0")</f>
        <v>0</v>
      </c>
      <c r="AC20" t="str">
        <f ca="1">IFERROR(__xludf.DUMMYFUNCTION("IFERROR(FILTER('VPLData(raw)'!F:F,'VPLData(raw)'!B:B=478,'VPLData(raw)'!A:A=A20),0)"),"0")</f>
        <v>0</v>
      </c>
      <c r="AD20" t="str">
        <f ca="1">IFERROR(__xludf.DUMMYFUNCTION("IFERROR(FILTER('VPLData(raw)'!C:C,'VPLData(raw)'!B:B=542,'VPLData(raw)'!A:A=A20),0)"),"0")</f>
        <v>0</v>
      </c>
      <c r="AE20" t="str">
        <f ca="1">IFERROR(__xludf.DUMMYFUNCTION("IFERROR(IF(AD20&gt;0, FILTER('VPLData(raw)'!E:E,'VPLData(raw)'!B:B=542,'VPLData(raw)'!A:A=A20), 0),0)"),"0")</f>
        <v>0</v>
      </c>
      <c r="AF20" t="str">
        <f ca="1">IFERROR(__xludf.DUMMYFUNCTION("IFERROR(FILTER('VPLData(raw)'!F:F,'VPLData(raw)'!B:B=542,'VPLData(raw)'!A:A=A20),0)"),"0")</f>
        <v>0</v>
      </c>
      <c r="AG20" t="str">
        <f ca="1">IFERROR(__xludf.DUMMYFUNCTION("IFERROR(FILTER('VPLData(raw)'!C:C,'VPLData(raw)'!B:B=544,'VPLData(raw)'!A:A=A20),0)"),"0")</f>
        <v>0</v>
      </c>
      <c r="AH20" t="str">
        <f ca="1">IFERROR(__xludf.DUMMYFUNCTION("IFERROR(IF(AG20&gt;0, FILTER('VPLData(raw)'!E:E,'VPLData(raw)'!B:B=544,'VPLData(raw)'!A:A=A20), 0),0)"),"0")</f>
        <v>0</v>
      </c>
      <c r="AI20" t="str">
        <f ca="1">IFERROR(__xludf.DUMMYFUNCTION("IFERROR(FILTER('VPLData(raw)'!F:F,'VPLData(raw)'!B:B=544,'VPLData(raw)'!A:A=A20),0)"),"0")</f>
        <v>0</v>
      </c>
      <c r="AJ20" t="str">
        <f ca="1">IFERROR(__xludf.DUMMYFUNCTION("IFERROR(FILTER('VPLData(raw)'!C:C,'VPLData(raw)'!B:B=545,'VPLData(raw)'!A:A=A20),0)"),"0")</f>
        <v>0</v>
      </c>
      <c r="AK20" t="str">
        <f ca="1">IFERROR(__xludf.DUMMYFUNCTION("IFERROR(IF(AJ20&gt;0, FILTER('VPLData(raw)'!E:E,'VPLData(raw)'!B:B=545,'VPLData(raw)'!A:A=A20), 0),0)"),"0")</f>
        <v>0</v>
      </c>
      <c r="AL20" t="str">
        <f ca="1">IFERROR(__xludf.DUMMYFUNCTION("IFERROR(FILTER('VPLData(raw)'!F:F,'VPLData(raw)'!B:B=545,'VPLData(raw)'!A:A=A20),0)"),"0")</f>
        <v>0</v>
      </c>
    </row>
    <row r="21" spans="1:39" ht="15.75" customHeight="1" x14ac:dyDescent="0.15">
      <c r="A21" s="2">
        <v>10203</v>
      </c>
      <c r="B21" s="2">
        <v>9921470</v>
      </c>
      <c r="C21" t="str">
        <f ca="1">IFERROR(__xludf.DUMMYFUNCTION("IFERROR(FILTER('VPLData(raw)'!C:C,'VPLData(raw)'!B:B=504,'VPLData(raw)'!A:A=A21),0)"),"1490882556")</f>
        <v>1490882556</v>
      </c>
      <c r="D21" s="3" t="str">
        <f ca="1">IFERROR(__xludf.DUMMYFUNCTION("IFERROR(IF(C21&gt;0, FILTER('VPLData(raw)'!E:E,'VPLData(raw)'!B:B=504,'VPLData(raw)'!A:A=A21), 0),0)"),"")</f>
        <v/>
      </c>
      <c r="E21" t="str">
        <f ca="1">IFERROR(__xludf.DUMMYFUNCTION("IFERROR(FILTER('VPLData(raw)'!F:F,'VPLData(raw)'!B:B=504,'VPLData(raw)'!A:A=A21),0)"),"6105")</f>
        <v>6105</v>
      </c>
      <c r="F21" t="str">
        <f ca="1">IFERROR(__xludf.DUMMYFUNCTION("IFERROR(FILTER('VPLData(raw)'!C:C,'VPLData(raw)'!B:B=454,'VPLData(raw)'!A:A=A21),0)"),"1492694156")</f>
        <v>1492694156</v>
      </c>
      <c r="G21" t="str">
        <f ca="1">IFERROR(__xludf.DUMMYFUNCTION("IFERROR(IF(F21&gt;0, FILTER('VPLData(raw)'!E:E,'VPLData(raw)'!B:B=454,'VPLData(raw)'!A:A=A21), 0),0)"),"10")</f>
        <v>10</v>
      </c>
      <c r="H21" t="str">
        <f ca="1">IFERROR(__xludf.DUMMYFUNCTION("IFERROR(FILTER('VPLData(raw)'!F:F,'VPLData(raw)'!B:B=454,'VPLData(raw)'!A:A=A21),0)"),"2201")</f>
        <v>2201</v>
      </c>
      <c r="I21" t="str">
        <f ca="1">IFERROR(__xludf.DUMMYFUNCTION("IFERROR(FILTER('VPLData(raw)'!C:C,'VPLData(raw)'!B:B=457,'VPLData(raw)'!A:A=A21),0)"),"1492696628")</f>
        <v>1492696628</v>
      </c>
      <c r="J21" t="str">
        <f ca="1">IFERROR(__xludf.DUMMYFUNCTION("IFERROR(IF(I21&gt;0, FILTER('VPLData(raw)'!E:E,'VPLData(raw)'!B:B=457,'VPLData(raw)'!A:A=A21), 0),0)"),"")</f>
        <v/>
      </c>
      <c r="K21" t="str">
        <f ca="1">IFERROR(__xludf.DUMMYFUNCTION("IFERROR(FILTER('VPLData(raw)'!F:F,'VPLData(raw)'!B:B=457,'VPLData(raw)'!A:A=A21),0)"),"99")</f>
        <v>99</v>
      </c>
      <c r="L21" t="str">
        <f ca="1">IFERROR(__xludf.DUMMYFUNCTION("IFERROR(FILTER('VPLData(raw)'!C:C,'VPLData(raw)'!B:B=534,'VPLData(raw)'!A:A=A21),0)"),"0")</f>
        <v>0</v>
      </c>
      <c r="M21" t="str">
        <f ca="1">IFERROR(__xludf.DUMMYFUNCTION("IFERROR(IF(L21&gt;0, FILTER('VPLData(raw)'!E:E,'VPLData(raw)'!B:B=534,'VPLData(raw)'!A:A=A21), 0),0)"),"0")</f>
        <v>0</v>
      </c>
      <c r="N21" t="str">
        <f ca="1">IFERROR(__xludf.DUMMYFUNCTION("IFERROR(FILTER('VPLData(raw)'!F:F,'VPLData(raw)'!B:B=534,'VPLData(raw)'!A:A=A21),0)"),"0")</f>
        <v>0</v>
      </c>
      <c r="O21" t="str">
        <f ca="1">IFERROR(__xludf.DUMMYFUNCTION("IFERROR(FILTER('VPLData(raw)'!C:C,'VPLData(raw)'!B:B=498,'VPLData(raw)'!A:A=A21),0)"),"1492645265")</f>
        <v>1492645265</v>
      </c>
      <c r="P21" t="str">
        <f ca="1">IFERROR(__xludf.DUMMYFUNCTION("IFERROR(IF(O21&gt;0, FILTER('VPLData(raw)'!E:E,'VPLData(raw)'!B:B=498,'VPLData(raw)'!A:A=A21), 0),0)"),"10")</f>
        <v>10</v>
      </c>
      <c r="Q21" t="str">
        <f ca="1">IFERROR(__xludf.DUMMYFUNCTION("IFERROR(FILTER('VPLData(raw)'!F:F,'VPLData(raw)'!B:B=498,'VPLData(raw)'!A:A=A21),0)"),"683")</f>
        <v>683</v>
      </c>
      <c r="R21" t="str">
        <f ca="1">IFERROR(__xludf.DUMMYFUNCTION("IFERROR(FILTER('VPLData(raw)'!C:C,'VPLData(raw)'!B:B=515,'VPLData(raw)'!A:A=A21),0)"),"1492646095")</f>
        <v>1492646095</v>
      </c>
      <c r="S21" t="str">
        <f ca="1">IFERROR(__xludf.DUMMYFUNCTION("IFERROR(IF(R21&gt;0, FILTER('VPLData(raw)'!E:E,'VPLData(raw)'!B:B=515,'VPLData(raw)'!A:A=A21), 0),0)"),"")</f>
        <v/>
      </c>
      <c r="T21" t="str">
        <f ca="1">IFERROR(__xludf.DUMMYFUNCTION("IFERROR(FILTER('VPLData(raw)'!F:F,'VPLData(raw)'!B:B=515,'VPLData(raw)'!A:A=A21),0)"),"9816")</f>
        <v>9816</v>
      </c>
      <c r="U21" t="str">
        <f ca="1">IFERROR(__xludf.DUMMYFUNCTION("IFERROR(FILTER('VPLData(raw)'!C:C,'VPLData(raw)'!B:B=528,'VPLData(raw)'!A:A=A21),0)"),"1494352639")</f>
        <v>1494352639</v>
      </c>
      <c r="V21" t="str">
        <f ca="1">IFERROR(__xludf.DUMMYFUNCTION("IFERROR(IF(U21&gt;0, FILTER('VPLData(raw)'!E:E,'VPLData(raw)'!B:B=528,'VPLData(raw)'!A:A=A21), 0),0)"),"10")</f>
        <v>10</v>
      </c>
      <c r="W21" t="str">
        <f ca="1">IFERROR(__xludf.DUMMYFUNCTION("IFERROR(FILTER('VPLData(raw)'!F:F,'VPLData(raw)'!B:B=528,'VPLData(raw)'!A:A=A21),0)"),"1078")</f>
        <v>1078</v>
      </c>
      <c r="X21" t="str">
        <f ca="1">IFERROR(__xludf.DUMMYFUNCTION("IFERROR(FILTER('VPLData(raw)'!C:C,'VPLData(raw)'!B:B=524,'VPLData(raw)'!A:A=A21),0)"),"1494861988")</f>
        <v>1494861988</v>
      </c>
      <c r="Y21" t="str">
        <f ca="1">IFERROR(__xludf.DUMMYFUNCTION("IFERROR(IF(X21&gt;0, FILTER('VPLData(raw)'!E:E,'VPLData(raw)'!B:B=524,'VPLData(raw)'!A:A=A21), 0),0)"),"10")</f>
        <v>10</v>
      </c>
      <c r="Z21" t="str">
        <f ca="1">IFERROR(__xludf.DUMMYFUNCTION("IFERROR(FILTER('VPLData(raw)'!F:F,'VPLData(raw)'!B:B=524,'VPLData(raw)'!A:A=A21),0)"),"977")</f>
        <v>977</v>
      </c>
      <c r="AA21" t="str">
        <f ca="1">IFERROR(__xludf.DUMMYFUNCTION("IFERROR(FILTER('VPLData(raw)'!C:C,'VPLData(raw)'!B:B=478,'VPLData(raw)'!A:A=A21),0)"),"1494625823")</f>
        <v>1494625823</v>
      </c>
      <c r="AB21" t="str">
        <f ca="1">IFERROR(__xludf.DUMMYFUNCTION("IFERROR(IF(AA21&gt;0, FILTER('VPLData(raw)'!E:E,'VPLData(raw)'!B:B=478,'VPLData(raw)'!A:A=A21), 0),0)"),"10")</f>
        <v>10</v>
      </c>
      <c r="AC21" t="str">
        <f ca="1">IFERROR(__xludf.DUMMYFUNCTION("IFERROR(FILTER('VPLData(raw)'!F:F,'VPLData(raw)'!B:B=478,'VPLData(raw)'!A:A=A21),0)"),"2819")</f>
        <v>2819</v>
      </c>
      <c r="AD21" t="str">
        <f ca="1">IFERROR(__xludf.DUMMYFUNCTION("IFERROR(FILTER('VPLData(raw)'!C:C,'VPLData(raw)'!B:B=542,'VPLData(raw)'!A:A=A21),0)"),"0")</f>
        <v>0</v>
      </c>
      <c r="AE21" t="str">
        <f ca="1">IFERROR(__xludf.DUMMYFUNCTION("IFERROR(IF(AD21&gt;0, FILTER('VPLData(raw)'!E:E,'VPLData(raw)'!B:B=542,'VPLData(raw)'!A:A=A21), 0),0)"),"0")</f>
        <v>0</v>
      </c>
      <c r="AF21" t="str">
        <f ca="1">IFERROR(__xludf.DUMMYFUNCTION("IFERROR(FILTER('VPLData(raw)'!F:F,'VPLData(raw)'!B:B=542,'VPLData(raw)'!A:A=A21),0)"),"0")</f>
        <v>0</v>
      </c>
      <c r="AG21" t="str">
        <f ca="1">IFERROR(__xludf.DUMMYFUNCTION("IFERROR(FILTER('VPLData(raw)'!C:C,'VPLData(raw)'!B:B=544,'VPLData(raw)'!A:A=A21),0)"),"0")</f>
        <v>0</v>
      </c>
      <c r="AH21" t="str">
        <f ca="1">IFERROR(__xludf.DUMMYFUNCTION("IFERROR(IF(AG21&gt;0, FILTER('VPLData(raw)'!E:E,'VPLData(raw)'!B:B=544,'VPLData(raw)'!A:A=A21), 0),0)"),"0")</f>
        <v>0</v>
      </c>
      <c r="AI21" t="str">
        <f ca="1">IFERROR(__xludf.DUMMYFUNCTION("IFERROR(FILTER('VPLData(raw)'!F:F,'VPLData(raw)'!B:B=544,'VPLData(raw)'!A:A=A21),0)"),"0")</f>
        <v>0</v>
      </c>
      <c r="AJ21" t="str">
        <f ca="1">IFERROR(__xludf.DUMMYFUNCTION("IFERROR(FILTER('VPLData(raw)'!C:C,'VPLData(raw)'!B:B=545,'VPLData(raw)'!A:A=A21),0)"),"1499100092")</f>
        <v>1499100092</v>
      </c>
      <c r="AK21" t="str">
        <f ca="1">IFERROR(__xludf.DUMMYFUNCTION("IFERROR(IF(AJ21&gt;0, FILTER('VPLData(raw)'!E:E,'VPLData(raw)'!B:B=545,'VPLData(raw)'!A:A=A21), 0),0)"),"")</f>
        <v/>
      </c>
      <c r="AL21" t="str">
        <f ca="1">IFERROR(__xludf.DUMMYFUNCTION("IFERROR(FILTER('VPLData(raw)'!F:F,'VPLData(raw)'!B:B=545,'VPLData(raw)'!A:A=A21),0)"),"3551")</f>
        <v>3551</v>
      </c>
    </row>
    <row r="22" spans="1:39" ht="15.75" customHeight="1" x14ac:dyDescent="0.15">
      <c r="A22" s="2">
        <v>10170</v>
      </c>
      <c r="B22" s="2">
        <v>10260351</v>
      </c>
      <c r="C22" t="str">
        <f ca="1">IFERROR(__xludf.DUMMYFUNCTION("IFERROR(FILTER('VPLData(raw)'!C:C,'VPLData(raw)'!B:B=504,'VPLData(raw)'!A:A=A22),0)"),"0")</f>
        <v>0</v>
      </c>
      <c r="D22" s="3" t="str">
        <f ca="1">IFERROR(__xludf.DUMMYFUNCTION("IFERROR(IF(C22&gt;0, FILTER('VPLData(raw)'!E:E,'VPLData(raw)'!B:B=504,'VPLData(raw)'!A:A=A22), 0),0)"),"0")</f>
        <v>0</v>
      </c>
      <c r="E22" t="str">
        <f ca="1">IFERROR(__xludf.DUMMYFUNCTION("IFERROR(FILTER('VPLData(raw)'!F:F,'VPLData(raw)'!B:B=504,'VPLData(raw)'!A:A=A22),0)"),"0")</f>
        <v>0</v>
      </c>
      <c r="F22" t="str">
        <f ca="1">IFERROR(__xludf.DUMMYFUNCTION("IFERROR(FILTER('VPLData(raw)'!C:C,'VPLData(raw)'!B:B=454,'VPLData(raw)'!A:A=A22),0)"),"1491791894")</f>
        <v>1491791894</v>
      </c>
      <c r="G22" t="str">
        <f ca="1">IFERROR(__xludf.DUMMYFUNCTION("IFERROR(IF(F22&gt;0, FILTER('VPLData(raw)'!E:E,'VPLData(raw)'!B:B=454,'VPLData(raw)'!A:A=A22), 0),0)"),"")</f>
        <v/>
      </c>
      <c r="H22" t="str">
        <f ca="1">IFERROR(__xludf.DUMMYFUNCTION("IFERROR(FILTER('VPLData(raw)'!F:F,'VPLData(raw)'!B:B=454,'VPLData(raw)'!A:A=A22),0)"),"809")</f>
        <v>809</v>
      </c>
      <c r="I22" t="str">
        <f ca="1">IFERROR(__xludf.DUMMYFUNCTION("IFERROR(FILTER('VPLData(raw)'!C:C,'VPLData(raw)'!B:B=457,'VPLData(raw)'!A:A=A22),0)"),"0")</f>
        <v>0</v>
      </c>
      <c r="J22" t="str">
        <f ca="1">IFERROR(__xludf.DUMMYFUNCTION("IFERROR(IF(I22&gt;0, FILTER('VPLData(raw)'!E:E,'VPLData(raw)'!B:B=457,'VPLData(raw)'!A:A=A22), 0),0)"),"0")</f>
        <v>0</v>
      </c>
      <c r="K22" t="str">
        <f ca="1">IFERROR(__xludf.DUMMYFUNCTION("IFERROR(FILTER('VPLData(raw)'!F:F,'VPLData(raw)'!B:B=457,'VPLData(raw)'!A:A=A22),0)"),"0")</f>
        <v>0</v>
      </c>
      <c r="L22" t="str">
        <f ca="1">IFERROR(__xludf.DUMMYFUNCTION("IFERROR(FILTER('VPLData(raw)'!C:C,'VPLData(raw)'!B:B=534,'VPLData(raw)'!A:A=A22),0)"),"0")</f>
        <v>0</v>
      </c>
      <c r="M22" t="str">
        <f ca="1">IFERROR(__xludf.DUMMYFUNCTION("IFERROR(IF(L22&gt;0, FILTER('VPLData(raw)'!E:E,'VPLData(raw)'!B:B=534,'VPLData(raw)'!A:A=A22), 0),0)"),"0")</f>
        <v>0</v>
      </c>
      <c r="N22" t="str">
        <f ca="1">IFERROR(__xludf.DUMMYFUNCTION("IFERROR(FILTER('VPLData(raw)'!F:F,'VPLData(raw)'!B:B=534,'VPLData(raw)'!A:A=A22),0)"),"0")</f>
        <v>0</v>
      </c>
      <c r="O22" t="str">
        <f ca="1">IFERROR(__xludf.DUMMYFUNCTION("IFERROR(FILTER('VPLData(raw)'!C:C,'VPLData(raw)'!B:B=498,'VPLData(raw)'!A:A=A22),0)"),"1493518631")</f>
        <v>1493518631</v>
      </c>
      <c r="P22" t="str">
        <f ca="1">IFERROR(__xludf.DUMMYFUNCTION("IFERROR(IF(O22&gt;0, FILTER('VPLData(raw)'!E:E,'VPLData(raw)'!B:B=498,'VPLData(raw)'!A:A=A22), 0),0)"),"10")</f>
        <v>10</v>
      </c>
      <c r="Q22" t="str">
        <f ca="1">IFERROR(__xludf.DUMMYFUNCTION("IFERROR(FILTER('VPLData(raw)'!F:F,'VPLData(raw)'!B:B=498,'VPLData(raw)'!A:A=A22),0)"),"2837")</f>
        <v>2837</v>
      </c>
      <c r="R22" t="str">
        <f ca="1">IFERROR(__xludf.DUMMYFUNCTION("IFERROR(FILTER('VPLData(raw)'!C:C,'VPLData(raw)'!B:B=515,'VPLData(raw)'!A:A=A22),0)"),"1493522617")</f>
        <v>1493522617</v>
      </c>
      <c r="S22" t="str">
        <f ca="1">IFERROR(__xludf.DUMMYFUNCTION("IFERROR(IF(R22&gt;0, FILTER('VPLData(raw)'!E:E,'VPLData(raw)'!B:B=515,'VPLData(raw)'!A:A=A22), 0),0)"),"10")</f>
        <v>10</v>
      </c>
      <c r="T22" t="str">
        <f ca="1">IFERROR(__xludf.DUMMYFUNCTION("IFERROR(FILTER('VPLData(raw)'!F:F,'VPLData(raw)'!B:B=515,'VPLData(raw)'!A:A=A22),0)"),"4337")</f>
        <v>4337</v>
      </c>
      <c r="U22" t="str">
        <f ca="1">IFERROR(__xludf.DUMMYFUNCTION("IFERROR(FILTER('VPLData(raw)'!C:C,'VPLData(raw)'!B:B=528,'VPLData(raw)'!A:A=A22),0)"),"1495503450")</f>
        <v>1495503450</v>
      </c>
      <c r="V22" t="str">
        <f ca="1">IFERROR(__xludf.DUMMYFUNCTION("IFERROR(IF(U22&gt;0, FILTER('VPLData(raw)'!E:E,'VPLData(raw)'!B:B=528,'VPLData(raw)'!A:A=A22), 0),0)"),"10")</f>
        <v>10</v>
      </c>
      <c r="W22" t="str">
        <f ca="1">IFERROR(__xludf.DUMMYFUNCTION("IFERROR(FILTER('VPLData(raw)'!F:F,'VPLData(raw)'!B:B=528,'VPLData(raw)'!A:A=A22),0)"),"172")</f>
        <v>172</v>
      </c>
      <c r="X22" t="str">
        <f ca="1">IFERROR(__xludf.DUMMYFUNCTION("IFERROR(FILTER('VPLData(raw)'!C:C,'VPLData(raw)'!B:B=524,'VPLData(raw)'!A:A=A22),0)"),"1496940841")</f>
        <v>1496940841</v>
      </c>
      <c r="Y22" t="str">
        <f ca="1">IFERROR(__xludf.DUMMYFUNCTION("IFERROR(IF(X22&gt;0, FILTER('VPLData(raw)'!E:E,'VPLData(raw)'!B:B=524,'VPLData(raw)'!A:A=A22), 0),0)"),"10")</f>
        <v>10</v>
      </c>
      <c r="Z22" t="str">
        <f ca="1">IFERROR(__xludf.DUMMYFUNCTION("IFERROR(FILTER('VPLData(raw)'!F:F,'VPLData(raw)'!B:B=524,'VPLData(raw)'!A:A=A22),0)"),"311")</f>
        <v>311</v>
      </c>
      <c r="AA22" t="str">
        <f ca="1">IFERROR(__xludf.DUMMYFUNCTION("IFERROR(FILTER('VPLData(raw)'!C:C,'VPLData(raw)'!B:B=478,'VPLData(raw)'!A:A=A22),0)"),"1499449147")</f>
        <v>1499449147</v>
      </c>
      <c r="AB22" t="str">
        <f ca="1">IFERROR(__xludf.DUMMYFUNCTION("IFERROR(IF(AA22&gt;0, FILTER('VPLData(raw)'!E:E,'VPLData(raw)'!B:B=478,'VPLData(raw)'!A:A=A22), 0),0)"),"10")</f>
        <v>10</v>
      </c>
      <c r="AC22" t="str">
        <f ca="1">IFERROR(__xludf.DUMMYFUNCTION("IFERROR(FILTER('VPLData(raw)'!F:F,'VPLData(raw)'!B:B=478,'VPLData(raw)'!A:A=A22),0)"),"374")</f>
        <v>374</v>
      </c>
      <c r="AD22" t="str">
        <f ca="1">IFERROR(__xludf.DUMMYFUNCTION("IFERROR(FILTER('VPLData(raw)'!C:C,'VPLData(raw)'!B:B=542,'VPLData(raw)'!A:A=A22),0)"),"1499448179")</f>
        <v>1499448179</v>
      </c>
      <c r="AE22" t="str">
        <f ca="1">IFERROR(__xludf.DUMMYFUNCTION("IFERROR(IF(AD22&gt;0, FILTER('VPLData(raw)'!E:E,'VPLData(raw)'!B:B=542,'VPLData(raw)'!A:A=A22), 0),0)"),"10")</f>
        <v>10</v>
      </c>
      <c r="AF22" t="str">
        <f ca="1">IFERROR(__xludf.DUMMYFUNCTION("IFERROR(FILTER('VPLData(raw)'!F:F,'VPLData(raw)'!B:B=542,'VPLData(raw)'!A:A=A22),0)"),"1247")</f>
        <v>1247</v>
      </c>
      <c r="AG22" t="str">
        <f ca="1">IFERROR(__xludf.DUMMYFUNCTION("IFERROR(FILTER('VPLData(raw)'!C:C,'VPLData(raw)'!B:B=544,'VPLData(raw)'!A:A=A22),0)"),"1499456003")</f>
        <v>1499456003</v>
      </c>
      <c r="AH22" t="str">
        <f ca="1">IFERROR(__xludf.DUMMYFUNCTION("IFERROR(IF(AG22&gt;0, FILTER('VPLData(raw)'!E:E,'VPLData(raw)'!B:B=544,'VPLData(raw)'!A:A=A22), 0),0)"),"10")</f>
        <v>10</v>
      </c>
      <c r="AI22" t="str">
        <f ca="1">IFERROR(__xludf.DUMMYFUNCTION("IFERROR(FILTER('VPLData(raw)'!F:F,'VPLData(raw)'!B:B=544,'VPLData(raw)'!A:A=A22),0)"),"1006")</f>
        <v>1006</v>
      </c>
      <c r="AJ22" t="str">
        <f ca="1">IFERROR(__xludf.DUMMYFUNCTION("IFERROR(FILTER('VPLData(raw)'!C:C,'VPLData(raw)'!B:B=545,'VPLData(raw)'!A:A=A22),0)"),"1499450338")</f>
        <v>1499450338</v>
      </c>
      <c r="AK22" t="str">
        <f ca="1">IFERROR(__xludf.DUMMYFUNCTION("IFERROR(IF(AJ22&gt;0, FILTER('VPLData(raw)'!E:E,'VPLData(raw)'!B:B=545,'VPLData(raw)'!A:A=A22), 0),0)"),"10")</f>
        <v>10</v>
      </c>
      <c r="AL22" t="str">
        <f ca="1">IFERROR(__xludf.DUMMYFUNCTION("IFERROR(FILTER('VPLData(raw)'!F:F,'VPLData(raw)'!B:B=545,'VPLData(raw)'!A:A=A22),0)"),"-5189")</f>
        <v>-5189</v>
      </c>
    </row>
    <row r="23" spans="1:39" ht="15.75" customHeight="1" x14ac:dyDescent="0.15">
      <c r="A23" s="2">
        <v>10209</v>
      </c>
      <c r="B23" s="2">
        <v>10262669</v>
      </c>
      <c r="C23" t="str">
        <f ca="1">IFERROR(__xludf.DUMMYFUNCTION("IFERROR(FILTER('VPLData(raw)'!C:C,'VPLData(raw)'!B:B=504,'VPLData(raw)'!A:A=A23),0)"),"1490977483")</f>
        <v>1490977483</v>
      </c>
      <c r="D23" s="3" t="str">
        <f ca="1">IFERROR(__xludf.DUMMYFUNCTION("IFERROR(IF(C23&gt;0, FILTER('VPLData(raw)'!E:E,'VPLData(raw)'!B:B=504,'VPLData(raw)'!A:A=A23), 0),0)"),"")</f>
        <v/>
      </c>
      <c r="E23" t="str">
        <f ca="1">IFERROR(__xludf.DUMMYFUNCTION("IFERROR(FILTER('VPLData(raw)'!F:F,'VPLData(raw)'!B:B=504,'VPLData(raw)'!A:A=A23),0)"),"2368")</f>
        <v>2368</v>
      </c>
      <c r="F23" t="str">
        <f ca="1">IFERROR(__xludf.DUMMYFUNCTION("IFERROR(FILTER('VPLData(raw)'!C:C,'VPLData(raw)'!B:B=454,'VPLData(raw)'!A:A=A23),0)"),"1491428709")</f>
        <v>1491428709</v>
      </c>
      <c r="G23" t="str">
        <f ca="1">IFERROR(__xludf.DUMMYFUNCTION("IFERROR(IF(F23&gt;0, FILTER('VPLData(raw)'!E:E,'VPLData(raw)'!B:B=454,'VPLData(raw)'!A:A=A23), 0),0)"),"10")</f>
        <v>10</v>
      </c>
      <c r="H23" t="str">
        <f ca="1">IFERROR(__xludf.DUMMYFUNCTION("IFERROR(FILTER('VPLData(raw)'!F:F,'VPLData(raw)'!B:B=454,'VPLData(raw)'!A:A=A23),0)"),"360")</f>
        <v>360</v>
      </c>
      <c r="I23" t="str">
        <f ca="1">IFERROR(__xludf.DUMMYFUNCTION("IFERROR(FILTER('VPLData(raw)'!C:C,'VPLData(raw)'!B:B=457,'VPLData(raw)'!A:A=A23),0)"),"1492012792")</f>
        <v>1492012792</v>
      </c>
      <c r="J23" t="str">
        <f ca="1">IFERROR(__xludf.DUMMYFUNCTION("IFERROR(IF(I23&gt;0, FILTER('VPLData(raw)'!E:E,'VPLData(raw)'!B:B=457,'VPLData(raw)'!A:A=A23), 0),0)"),"10")</f>
        <v>10</v>
      </c>
      <c r="K23" t="str">
        <f ca="1">IFERROR(__xludf.DUMMYFUNCTION("IFERROR(FILTER('VPLData(raw)'!F:F,'VPLData(raw)'!B:B=457,'VPLData(raw)'!A:A=A23),0)"),"1188")</f>
        <v>1188</v>
      </c>
      <c r="L23" t="str">
        <f ca="1">IFERROR(__xludf.DUMMYFUNCTION("IFERROR(FILTER('VPLData(raw)'!C:C,'VPLData(raw)'!B:B=534,'VPLData(raw)'!A:A=A23),0)"),"0")</f>
        <v>0</v>
      </c>
      <c r="M23" t="str">
        <f ca="1">IFERROR(__xludf.DUMMYFUNCTION("IFERROR(IF(L23&gt;0, FILTER('VPLData(raw)'!E:E,'VPLData(raw)'!B:B=534,'VPLData(raw)'!A:A=A23), 0),0)"),"0")</f>
        <v>0</v>
      </c>
      <c r="N23" t="str">
        <f ca="1">IFERROR(__xludf.DUMMYFUNCTION("IFERROR(FILTER('VPLData(raw)'!F:F,'VPLData(raw)'!B:B=534,'VPLData(raw)'!A:A=A23),0)"),"0")</f>
        <v>0</v>
      </c>
      <c r="O23" t="str">
        <f ca="1">IFERROR(__xludf.DUMMYFUNCTION("IFERROR(FILTER('VPLData(raw)'!C:C,'VPLData(raw)'!B:B=498,'VPLData(raw)'!A:A=A23),0)"),"1497829031")</f>
        <v>1497829031</v>
      </c>
      <c r="P23" t="str">
        <f ca="1">IFERROR(__xludf.DUMMYFUNCTION("IFERROR(IF(O23&gt;0, FILTER('VPLData(raw)'!E:E,'VPLData(raw)'!B:B=498,'VPLData(raw)'!A:A=A23), 0),0)"),"10")</f>
        <v>10</v>
      </c>
      <c r="Q23" t="str">
        <f ca="1">IFERROR(__xludf.DUMMYFUNCTION("IFERROR(FILTER('VPLData(raw)'!F:F,'VPLData(raw)'!B:B=498,'VPLData(raw)'!A:A=A23),0)"),"179")</f>
        <v>179</v>
      </c>
      <c r="R23" t="str">
        <f ca="1">IFERROR(__xludf.DUMMYFUNCTION("IFERROR(FILTER('VPLData(raw)'!C:C,'VPLData(raw)'!B:B=515,'VPLData(raw)'!A:A=A23),0)"),"1497838060")</f>
        <v>1497838060</v>
      </c>
      <c r="S23" t="str">
        <f ca="1">IFERROR(__xludf.DUMMYFUNCTION("IFERROR(IF(R23&gt;0, FILTER('VPLData(raw)'!E:E,'VPLData(raw)'!B:B=515,'VPLData(raw)'!A:A=A23), 0),0)"),"10")</f>
        <v>10</v>
      </c>
      <c r="T23" t="str">
        <f ca="1">IFERROR(__xludf.DUMMYFUNCTION("IFERROR(FILTER('VPLData(raw)'!F:F,'VPLData(raw)'!B:B=515,'VPLData(raw)'!A:A=A23),0)"),"456")</f>
        <v>456</v>
      </c>
      <c r="U23" t="str">
        <f ca="1">IFERROR(__xludf.DUMMYFUNCTION("IFERROR(FILTER('VPLData(raw)'!C:C,'VPLData(raw)'!B:B=528,'VPLData(raw)'!A:A=A23),0)"),"1494979854")</f>
        <v>1494979854</v>
      </c>
      <c r="V23" t="str">
        <f ca="1">IFERROR(__xludf.DUMMYFUNCTION("IFERROR(IF(U23&gt;0, FILTER('VPLData(raw)'!E:E,'VPLData(raw)'!B:B=528,'VPLData(raw)'!A:A=A23), 0),0)"),"10")</f>
        <v>10</v>
      </c>
      <c r="W23" t="str">
        <f ca="1">IFERROR(__xludf.DUMMYFUNCTION("IFERROR(FILTER('VPLData(raw)'!F:F,'VPLData(raw)'!B:B=528,'VPLData(raw)'!A:A=A23),0)"),"1946")</f>
        <v>1946</v>
      </c>
      <c r="X23" t="str">
        <f ca="1">IFERROR(__xludf.DUMMYFUNCTION("IFERROR(FILTER('VPLData(raw)'!C:C,'VPLData(raw)'!B:B=524,'VPLData(raw)'!A:A=A23),0)"),"1495769200")</f>
        <v>1495769200</v>
      </c>
      <c r="Y23" t="str">
        <f ca="1">IFERROR(__xludf.DUMMYFUNCTION("IFERROR(IF(X23&gt;0, FILTER('VPLData(raw)'!E:E,'VPLData(raw)'!B:B=524,'VPLData(raw)'!A:A=A23), 0),0)"),"10")</f>
        <v>10</v>
      </c>
      <c r="Z23" t="str">
        <f ca="1">IFERROR(__xludf.DUMMYFUNCTION("IFERROR(FILTER('VPLData(raw)'!F:F,'VPLData(raw)'!B:B=524,'VPLData(raw)'!A:A=A23),0)"),"4148")</f>
        <v>4148</v>
      </c>
      <c r="AA23" t="str">
        <f ca="1">IFERROR(__xludf.DUMMYFUNCTION("IFERROR(FILTER('VPLData(raw)'!C:C,'VPLData(raw)'!B:B=478,'VPLData(raw)'!A:A=A23),0)"),"1499383270")</f>
        <v>1499383270</v>
      </c>
      <c r="AB23" t="str">
        <f ca="1">IFERROR(__xludf.DUMMYFUNCTION("IFERROR(IF(AA23&gt;0, FILTER('VPLData(raw)'!E:E,'VPLData(raw)'!B:B=478,'VPLData(raw)'!A:A=A23), 0),0)"),"10")</f>
        <v>10</v>
      </c>
      <c r="AC23" t="str">
        <f ca="1">IFERROR(__xludf.DUMMYFUNCTION("IFERROR(FILTER('VPLData(raw)'!F:F,'VPLData(raw)'!B:B=478,'VPLData(raw)'!A:A=A23),0)"),"412")</f>
        <v>412</v>
      </c>
      <c r="AD23" t="str">
        <f ca="1">IFERROR(__xludf.DUMMYFUNCTION("IFERROR(FILTER('VPLData(raw)'!C:C,'VPLData(raw)'!B:B=542,'VPLData(raw)'!A:A=A23),0)"),"1499389334")</f>
        <v>1499389334</v>
      </c>
      <c r="AE23" t="str">
        <f ca="1">IFERROR(__xludf.DUMMYFUNCTION("IFERROR(IF(AD23&gt;0, FILTER('VPLData(raw)'!E:E,'VPLData(raw)'!B:B=542,'VPLData(raw)'!A:A=A23), 0),0)"),"10")</f>
        <v>10</v>
      </c>
      <c r="AF23" t="str">
        <f ca="1">IFERROR(__xludf.DUMMYFUNCTION("IFERROR(FILTER('VPLData(raw)'!F:F,'VPLData(raw)'!B:B=542,'VPLData(raw)'!A:A=A23),0)"),"2865")</f>
        <v>2865</v>
      </c>
      <c r="AG23" t="str">
        <f ca="1">IFERROR(__xludf.DUMMYFUNCTION("IFERROR(FILTER('VPLData(raw)'!C:C,'VPLData(raw)'!B:B=544,'VPLData(raw)'!A:A=A23),0)"),"1499394168")</f>
        <v>1499394168</v>
      </c>
      <c r="AH23" t="str">
        <f ca="1">IFERROR(__xludf.DUMMYFUNCTION("IFERROR(IF(AG23&gt;0, FILTER('VPLData(raw)'!E:E,'VPLData(raw)'!B:B=544,'VPLData(raw)'!A:A=A23), 0),0)"),"10")</f>
        <v>10</v>
      </c>
      <c r="AI23" t="str">
        <f ca="1">IFERROR(__xludf.DUMMYFUNCTION("IFERROR(FILTER('VPLData(raw)'!F:F,'VPLData(raw)'!B:B=544,'VPLData(raw)'!A:A=A23),0)"),"7333")</f>
        <v>7333</v>
      </c>
      <c r="AJ23" t="str">
        <f ca="1">IFERROR(__xludf.DUMMYFUNCTION("IFERROR(FILTER('VPLData(raw)'!C:C,'VPLData(raw)'!B:B=545,'VPLData(raw)'!A:A=A23),0)"),"1499403255")</f>
        <v>1499403255</v>
      </c>
      <c r="AK23" t="str">
        <f ca="1">IFERROR(__xludf.DUMMYFUNCTION("IFERROR(IF(AJ23&gt;0, FILTER('VPLData(raw)'!E:E,'VPLData(raw)'!B:B=545,'VPLData(raw)'!A:A=A23), 0),0)"),"")</f>
        <v/>
      </c>
      <c r="AL23" t="str">
        <f ca="1">IFERROR(__xludf.DUMMYFUNCTION("IFERROR(FILTER('VPLData(raw)'!F:F,'VPLData(raw)'!B:B=545,'VPLData(raw)'!A:A=A23),0)"),"2453")</f>
        <v>2453</v>
      </c>
    </row>
    <row r="24" spans="1:39" ht="15.75" customHeight="1" x14ac:dyDescent="0.15">
      <c r="A24" s="2">
        <v>10172</v>
      </c>
      <c r="B24" s="2">
        <v>10273971</v>
      </c>
      <c r="C24" t="str">
        <f ca="1">IFERROR(__xludf.DUMMYFUNCTION("IFERROR(FILTER('VPLData(raw)'!C:C,'VPLData(raw)'!B:B=504,'VPLData(raw)'!A:A=A24),0)"),"1490751193")</f>
        <v>1490751193</v>
      </c>
      <c r="D24" s="3" t="str">
        <f ca="1">IFERROR(__xludf.DUMMYFUNCTION("IFERROR(IF(C24&gt;0, FILTER('VPLData(raw)'!E:E,'VPLData(raw)'!B:B=504,'VPLData(raw)'!A:A=A24), 0),0)"),"10")</f>
        <v>10</v>
      </c>
      <c r="E24" t="str">
        <f ca="1">IFERROR(__xludf.DUMMYFUNCTION("IFERROR(FILTER('VPLData(raw)'!F:F,'VPLData(raw)'!B:B=504,'VPLData(raw)'!A:A=A24),0)"),"1314")</f>
        <v>1314</v>
      </c>
      <c r="F24" t="str">
        <f ca="1">IFERROR(__xludf.DUMMYFUNCTION("IFERROR(FILTER('VPLData(raw)'!C:C,'VPLData(raw)'!B:B=454,'VPLData(raw)'!A:A=A24),0)"),"1492456379")</f>
        <v>1492456379</v>
      </c>
      <c r="G24" t="str">
        <f ca="1">IFERROR(__xludf.DUMMYFUNCTION("IFERROR(IF(F24&gt;0, FILTER('VPLData(raw)'!E:E,'VPLData(raw)'!B:B=454,'VPLData(raw)'!A:A=A24), 0),0)"),"10")</f>
        <v>10</v>
      </c>
      <c r="H24" t="str">
        <f ca="1">IFERROR(__xludf.DUMMYFUNCTION("IFERROR(FILTER('VPLData(raw)'!F:F,'VPLData(raw)'!B:B=454,'VPLData(raw)'!A:A=A24),0)"),"108")</f>
        <v>108</v>
      </c>
      <c r="I24" t="str">
        <f ca="1">IFERROR(__xludf.DUMMYFUNCTION("IFERROR(FILTER('VPLData(raw)'!C:C,'VPLData(raw)'!B:B=457,'VPLData(raw)'!A:A=A24),0)"),"1492456619")</f>
        <v>1492456619</v>
      </c>
      <c r="J24" t="str">
        <f ca="1">IFERROR(__xludf.DUMMYFUNCTION("IFERROR(IF(I24&gt;0, FILTER('VPLData(raw)'!E:E,'VPLData(raw)'!B:B=457,'VPLData(raw)'!A:A=A24), 0),0)"),"10")</f>
        <v>10</v>
      </c>
      <c r="K24" t="str">
        <f ca="1">IFERROR(__xludf.DUMMYFUNCTION("IFERROR(FILTER('VPLData(raw)'!F:F,'VPLData(raw)'!B:B=457,'VPLData(raw)'!A:A=A24),0)"),"2278")</f>
        <v>2278</v>
      </c>
      <c r="L24" t="str">
        <f ca="1">IFERROR(__xludf.DUMMYFUNCTION("IFERROR(FILTER('VPLData(raw)'!C:C,'VPLData(raw)'!B:B=534,'VPLData(raw)'!A:A=A24),0)"),"0")</f>
        <v>0</v>
      </c>
      <c r="M24" t="str">
        <f ca="1">IFERROR(__xludf.DUMMYFUNCTION("IFERROR(IF(L24&gt;0, FILTER('VPLData(raw)'!E:E,'VPLData(raw)'!B:B=534,'VPLData(raw)'!A:A=A24), 0),0)"),"0")</f>
        <v>0</v>
      </c>
      <c r="N24" t="str">
        <f ca="1">IFERROR(__xludf.DUMMYFUNCTION("IFERROR(FILTER('VPLData(raw)'!F:F,'VPLData(raw)'!B:B=534,'VPLData(raw)'!A:A=A24),0)"),"0")</f>
        <v>0</v>
      </c>
      <c r="O24" t="str">
        <f ca="1">IFERROR(__xludf.DUMMYFUNCTION("IFERROR(FILTER('VPLData(raw)'!C:C,'VPLData(raw)'!B:B=498,'VPLData(raw)'!A:A=A24),0)"),"1492455544")</f>
        <v>1492455544</v>
      </c>
      <c r="P24" t="str">
        <f ca="1">IFERROR(__xludf.DUMMYFUNCTION("IFERROR(IF(O24&gt;0, FILTER('VPLData(raw)'!E:E,'VPLData(raw)'!B:B=498,'VPLData(raw)'!A:A=A24), 0),0)"),"10")</f>
        <v>10</v>
      </c>
      <c r="Q24" t="str">
        <f ca="1">IFERROR(__xludf.DUMMYFUNCTION("IFERROR(FILTER('VPLData(raw)'!F:F,'VPLData(raw)'!B:B=498,'VPLData(raw)'!A:A=A24),0)"),"375")</f>
        <v>375</v>
      </c>
      <c r="R24" t="str">
        <f ca="1">IFERROR(__xludf.DUMMYFUNCTION("IFERROR(FILTER('VPLData(raw)'!C:C,'VPLData(raw)'!B:B=515,'VPLData(raw)'!A:A=A24),0)"),"1492456062")</f>
        <v>1492456062</v>
      </c>
      <c r="S24" t="str">
        <f ca="1">IFERROR(__xludf.DUMMYFUNCTION("IFERROR(IF(R24&gt;0, FILTER('VPLData(raw)'!E:E,'VPLData(raw)'!B:B=515,'VPLData(raw)'!A:A=A24), 0),0)"),"10")</f>
        <v>10</v>
      </c>
      <c r="T24" t="str">
        <f ca="1">IFERROR(__xludf.DUMMYFUNCTION("IFERROR(FILTER('VPLData(raw)'!F:F,'VPLData(raw)'!B:B=515,'VPLData(raw)'!A:A=A24),0)"),"231")</f>
        <v>231</v>
      </c>
      <c r="U24" t="str">
        <f ca="1">IFERROR(__xludf.DUMMYFUNCTION("IFERROR(FILTER('VPLData(raw)'!C:C,'VPLData(raw)'!B:B=528,'VPLData(raw)'!A:A=A24),0)"),"1494347608")</f>
        <v>1494347608</v>
      </c>
      <c r="V24" t="str">
        <f ca="1">IFERROR(__xludf.DUMMYFUNCTION("IFERROR(IF(U24&gt;0, FILTER('VPLData(raw)'!E:E,'VPLData(raw)'!B:B=528,'VPLData(raw)'!A:A=A24), 0),0)"),"10")</f>
        <v>10</v>
      </c>
      <c r="W24" t="str">
        <f ca="1">IFERROR(__xludf.DUMMYFUNCTION("IFERROR(FILTER('VPLData(raw)'!F:F,'VPLData(raw)'!B:B=528,'VPLData(raw)'!A:A=A24),0)"),"277")</f>
        <v>277</v>
      </c>
      <c r="X24" t="str">
        <f ca="1">IFERROR(__xludf.DUMMYFUNCTION("IFERROR(FILTER('VPLData(raw)'!C:C,'VPLData(raw)'!B:B=524,'VPLData(raw)'!A:A=A24),0)"),"1494348100")</f>
        <v>1494348100</v>
      </c>
      <c r="Y24" t="str">
        <f ca="1">IFERROR(__xludf.DUMMYFUNCTION("IFERROR(IF(X24&gt;0, FILTER('VPLData(raw)'!E:E,'VPLData(raw)'!B:B=524,'VPLData(raw)'!A:A=A24), 0),0)"),"10")</f>
        <v>10</v>
      </c>
      <c r="Z24" t="str">
        <f ca="1">IFERROR(__xludf.DUMMYFUNCTION("IFERROR(FILTER('VPLData(raw)'!F:F,'VPLData(raw)'!B:B=524,'VPLData(raw)'!A:A=A24),0)"),"272")</f>
        <v>272</v>
      </c>
      <c r="AA24" t="str">
        <f ca="1">IFERROR(__xludf.DUMMYFUNCTION("IFERROR(FILTER('VPLData(raw)'!C:C,'VPLData(raw)'!B:B=478,'VPLData(raw)'!A:A=A24),0)"),"1494442023")</f>
        <v>1494442023</v>
      </c>
      <c r="AB24" t="str">
        <f ca="1">IFERROR(__xludf.DUMMYFUNCTION("IFERROR(IF(AA24&gt;0, FILTER('VPLData(raw)'!E:E,'VPLData(raw)'!B:B=478,'VPLData(raw)'!A:A=A24), 0),0)"),"10")</f>
        <v>10</v>
      </c>
      <c r="AC24" t="str">
        <f ca="1">IFERROR(__xludf.DUMMYFUNCTION("IFERROR(FILTER('VPLData(raw)'!F:F,'VPLData(raw)'!B:B=478,'VPLData(raw)'!A:A=A24),0)"),"6779")</f>
        <v>6779</v>
      </c>
      <c r="AD24" t="str">
        <f ca="1">IFERROR(__xludf.DUMMYFUNCTION("IFERROR(FILTER('VPLData(raw)'!C:C,'VPLData(raw)'!B:B=542,'VPLData(raw)'!A:A=A24),0)"),"1499476055")</f>
        <v>1499476055</v>
      </c>
      <c r="AE24" t="str">
        <f ca="1">IFERROR(__xludf.DUMMYFUNCTION("IFERROR(IF(AD24&gt;0, FILTER('VPLData(raw)'!E:E,'VPLData(raw)'!B:B=542,'VPLData(raw)'!A:A=A24), 0),0)"),"10")</f>
        <v>10</v>
      </c>
      <c r="AF24" t="str">
        <f ca="1">IFERROR(__xludf.DUMMYFUNCTION("IFERROR(FILTER('VPLData(raw)'!F:F,'VPLData(raw)'!B:B=542,'VPLData(raw)'!A:A=A24),0)"),"1586")</f>
        <v>1586</v>
      </c>
      <c r="AG24" t="str">
        <f ca="1">IFERROR(__xludf.DUMMYFUNCTION("IFERROR(FILTER('VPLData(raw)'!C:C,'VPLData(raw)'!B:B=544,'VPLData(raw)'!A:A=A24),0)"),"1499477045")</f>
        <v>1499477045</v>
      </c>
      <c r="AH24" t="str">
        <f ca="1">IFERROR(__xludf.DUMMYFUNCTION("IFERROR(IF(AG24&gt;0, FILTER('VPLData(raw)'!E:E,'VPLData(raw)'!B:B=544,'VPLData(raw)'!A:A=A24), 0),0)"),"10")</f>
        <v>10</v>
      </c>
      <c r="AI24" t="str">
        <f ca="1">IFERROR(__xludf.DUMMYFUNCTION("IFERROR(FILTER('VPLData(raw)'!F:F,'VPLData(raw)'!B:B=544,'VPLData(raw)'!A:A=A24),0)"),"1483")</f>
        <v>1483</v>
      </c>
      <c r="AJ24" t="str">
        <f ca="1">IFERROR(__xludf.DUMMYFUNCTION("IFERROR(FILTER('VPLData(raw)'!C:C,'VPLData(raw)'!B:B=545,'VPLData(raw)'!A:A=A24),0)"),"1499481825")</f>
        <v>1499481825</v>
      </c>
      <c r="AK24" t="str">
        <f ca="1">IFERROR(__xludf.DUMMYFUNCTION("IFERROR(IF(AJ24&gt;0, FILTER('VPLData(raw)'!E:E,'VPLData(raw)'!B:B=545,'VPLData(raw)'!A:A=A24), 0),0)"),"10")</f>
        <v>10</v>
      </c>
      <c r="AL24" t="str">
        <f ca="1">IFERROR(__xludf.DUMMYFUNCTION("IFERROR(FILTER('VPLData(raw)'!F:F,'VPLData(raw)'!B:B=545,'VPLData(raw)'!A:A=A24),0)"),"675")</f>
        <v>675</v>
      </c>
    </row>
    <row r="25" spans="1:39" ht="15.75" customHeight="1" x14ac:dyDescent="0.15">
      <c r="A25" s="2">
        <v>10240</v>
      </c>
      <c r="B25" s="2">
        <v>10276654</v>
      </c>
      <c r="C25" t="str">
        <f ca="1">IFERROR(__xludf.DUMMYFUNCTION("IFERROR(FILTER('VPLData(raw)'!C:C,'VPLData(raw)'!B:B=504,'VPLData(raw)'!A:A=A25),0)"),"0")</f>
        <v>0</v>
      </c>
      <c r="D25" s="3" t="str">
        <f ca="1">IFERROR(__xludf.DUMMYFUNCTION("IFERROR(IF(C25&gt;0, FILTER('VPLData(raw)'!E:E,'VPLData(raw)'!B:B=504,'VPLData(raw)'!A:A=A25), 0),0)"),"0")</f>
        <v>0</v>
      </c>
      <c r="E25" t="str">
        <f ca="1">IFERROR(__xludf.DUMMYFUNCTION("IFERROR(FILTER('VPLData(raw)'!F:F,'VPLData(raw)'!B:B=504,'VPLData(raw)'!A:A=A25),0)"),"0")</f>
        <v>0</v>
      </c>
      <c r="F25" t="str">
        <f ca="1">IFERROR(__xludf.DUMMYFUNCTION("IFERROR(FILTER('VPLData(raw)'!C:C,'VPLData(raw)'!B:B=454,'VPLData(raw)'!A:A=A25),0)"),"1491409459")</f>
        <v>1491409459</v>
      </c>
      <c r="G25" t="str">
        <f ca="1">IFERROR(__xludf.DUMMYFUNCTION("IFERROR(IF(F25&gt;0, FILTER('VPLData(raw)'!E:E,'VPLData(raw)'!B:B=454,'VPLData(raw)'!A:A=A25), 0),0)"),"10")</f>
        <v>10</v>
      </c>
      <c r="H25" t="str">
        <f ca="1">IFERROR(__xludf.DUMMYFUNCTION("IFERROR(FILTER('VPLData(raw)'!F:F,'VPLData(raw)'!B:B=454,'VPLData(raw)'!A:A=A25),0)"),"1011")</f>
        <v>1011</v>
      </c>
      <c r="I25" t="str">
        <f ca="1">IFERROR(__xludf.DUMMYFUNCTION("IFERROR(FILTER('VPLData(raw)'!C:C,'VPLData(raw)'!B:B=457,'VPLData(raw)'!A:A=A25),0)"),"0")</f>
        <v>0</v>
      </c>
      <c r="J25" t="str">
        <f ca="1">IFERROR(__xludf.DUMMYFUNCTION("IFERROR(IF(I25&gt;0, FILTER('VPLData(raw)'!E:E,'VPLData(raw)'!B:B=457,'VPLData(raw)'!A:A=A25), 0),0)"),"0")</f>
        <v>0</v>
      </c>
      <c r="K25" t="str">
        <f ca="1">IFERROR(__xludf.DUMMYFUNCTION("IFERROR(FILTER('VPLData(raw)'!F:F,'VPLData(raw)'!B:B=457,'VPLData(raw)'!A:A=A25),0)"),"0")</f>
        <v>0</v>
      </c>
      <c r="L25" t="str">
        <f ca="1">IFERROR(__xludf.DUMMYFUNCTION("IFERROR(FILTER('VPLData(raw)'!C:C,'VPLData(raw)'!B:B=534,'VPLData(raw)'!A:A=A25),0)"),"0")</f>
        <v>0</v>
      </c>
      <c r="M25" t="str">
        <f ca="1">IFERROR(__xludf.DUMMYFUNCTION("IFERROR(IF(L25&gt;0, FILTER('VPLData(raw)'!E:E,'VPLData(raw)'!B:B=534,'VPLData(raw)'!A:A=A25), 0),0)"),"0")</f>
        <v>0</v>
      </c>
      <c r="N25" t="str">
        <f ca="1">IFERROR(__xludf.DUMMYFUNCTION("IFERROR(FILTER('VPLData(raw)'!F:F,'VPLData(raw)'!B:B=534,'VPLData(raw)'!A:A=A25),0)"),"0")</f>
        <v>0</v>
      </c>
      <c r="O25" t="str">
        <f ca="1">IFERROR(__xludf.DUMMYFUNCTION("IFERROR(FILTER('VPLData(raw)'!C:C,'VPLData(raw)'!B:B=498,'VPLData(raw)'!A:A=A25),0)"),"1492528581")</f>
        <v>1492528581</v>
      </c>
      <c r="P25" t="str">
        <f ca="1">IFERROR(__xludf.DUMMYFUNCTION("IFERROR(IF(O25&gt;0, FILTER('VPLData(raw)'!E:E,'VPLData(raw)'!B:B=498,'VPLData(raw)'!A:A=A25), 0),0)"),"10")</f>
        <v>10</v>
      </c>
      <c r="Q25" t="str">
        <f ca="1">IFERROR(__xludf.DUMMYFUNCTION("IFERROR(FILTER('VPLData(raw)'!F:F,'VPLData(raw)'!B:B=498,'VPLData(raw)'!A:A=A25),0)"),"1394")</f>
        <v>1394</v>
      </c>
      <c r="R25" t="str">
        <f ca="1">IFERROR(__xludf.DUMMYFUNCTION("IFERROR(FILTER('VPLData(raw)'!C:C,'VPLData(raw)'!B:B=515,'VPLData(raw)'!A:A=A25),0)"),"1492528340")</f>
        <v>1492528340</v>
      </c>
      <c r="S25" t="str">
        <f ca="1">IFERROR(__xludf.DUMMYFUNCTION("IFERROR(IF(R25&gt;0, FILTER('VPLData(raw)'!E:E,'VPLData(raw)'!B:B=515,'VPLData(raw)'!A:A=A25), 0),0)"),"10")</f>
        <v>10</v>
      </c>
      <c r="T25" t="str">
        <f ca="1">IFERROR(__xludf.DUMMYFUNCTION("IFERROR(FILTER('VPLData(raw)'!F:F,'VPLData(raw)'!B:B=515,'VPLData(raw)'!A:A=A25),0)"),"3966")</f>
        <v>3966</v>
      </c>
      <c r="U25" t="str">
        <f ca="1">IFERROR(__xludf.DUMMYFUNCTION("IFERROR(FILTER('VPLData(raw)'!C:C,'VPLData(raw)'!B:B=528,'VPLData(raw)'!A:A=A25),0)"),"1494368599")</f>
        <v>1494368599</v>
      </c>
      <c r="V25" t="str">
        <f ca="1">IFERROR(__xludf.DUMMYFUNCTION("IFERROR(IF(U25&gt;0, FILTER('VPLData(raw)'!E:E,'VPLData(raw)'!B:B=528,'VPLData(raw)'!A:A=A25), 0),0)"),"10")</f>
        <v>10</v>
      </c>
      <c r="W25" t="str">
        <f ca="1">IFERROR(__xludf.DUMMYFUNCTION("IFERROR(FILTER('VPLData(raw)'!F:F,'VPLData(raw)'!B:B=528,'VPLData(raw)'!A:A=A25),0)"),"545")</f>
        <v>545</v>
      </c>
      <c r="X25" t="str">
        <f ca="1">IFERROR(__xludf.DUMMYFUNCTION("IFERROR(FILTER('VPLData(raw)'!C:C,'VPLData(raw)'!B:B=524,'VPLData(raw)'!A:A=A25),0)"),"1494375257")</f>
        <v>1494375257</v>
      </c>
      <c r="Y25" t="str">
        <f ca="1">IFERROR(__xludf.DUMMYFUNCTION("IFERROR(IF(X25&gt;0, FILTER('VPLData(raw)'!E:E,'VPLData(raw)'!B:B=524,'VPLData(raw)'!A:A=A25), 0),0)"),"10")</f>
        <v>10</v>
      </c>
      <c r="Z25" t="str">
        <f ca="1">IFERROR(__xludf.DUMMYFUNCTION("IFERROR(FILTER('VPLData(raw)'!F:F,'VPLData(raw)'!B:B=524,'VPLData(raw)'!A:A=A25),0)"),"529")</f>
        <v>529</v>
      </c>
      <c r="AA25" t="str">
        <f ca="1">IFERROR(__xludf.DUMMYFUNCTION("IFERROR(FILTER('VPLData(raw)'!C:C,'VPLData(raw)'!B:B=478,'VPLData(raw)'!A:A=A25),0)"),"1494886099")</f>
        <v>1494886099</v>
      </c>
      <c r="AB25" t="str">
        <f ca="1">IFERROR(__xludf.DUMMYFUNCTION("IFERROR(IF(AA25&gt;0, FILTER('VPLData(raw)'!E:E,'VPLData(raw)'!B:B=478,'VPLData(raw)'!A:A=A25), 0),0)"),"10")</f>
        <v>10</v>
      </c>
      <c r="AC25" t="str">
        <f ca="1">IFERROR(__xludf.DUMMYFUNCTION("IFERROR(FILTER('VPLData(raw)'!F:F,'VPLData(raw)'!B:B=478,'VPLData(raw)'!A:A=A25),0)"),"5611")</f>
        <v>5611</v>
      </c>
      <c r="AD25" t="str">
        <f ca="1">IFERROR(__xludf.DUMMYFUNCTION("IFERROR(FILTER('VPLData(raw)'!C:C,'VPLData(raw)'!B:B=542,'VPLData(raw)'!A:A=A25),0)"),"1499443878")</f>
        <v>1499443878</v>
      </c>
      <c r="AE25" t="str">
        <f ca="1">IFERROR(__xludf.DUMMYFUNCTION("IFERROR(IF(AD25&gt;0, FILTER('VPLData(raw)'!E:E,'VPLData(raw)'!B:B=542,'VPLData(raw)'!A:A=A25), 0),0)"),"10")</f>
        <v>10</v>
      </c>
      <c r="AF25" t="str">
        <f ca="1">IFERROR(__xludf.DUMMYFUNCTION("IFERROR(FILTER('VPLData(raw)'!F:F,'VPLData(raw)'!B:B=542,'VPLData(raw)'!A:A=A25),0)"),"291")</f>
        <v>291</v>
      </c>
      <c r="AG25" t="str">
        <f ca="1">IFERROR(__xludf.DUMMYFUNCTION("IFERROR(FILTER('VPLData(raw)'!C:C,'VPLData(raw)'!B:B=544,'VPLData(raw)'!A:A=A25),0)"),"0")</f>
        <v>0</v>
      </c>
      <c r="AH25" t="str">
        <f ca="1">IFERROR(__xludf.DUMMYFUNCTION("IFERROR(IF(AG25&gt;0, FILTER('VPLData(raw)'!E:E,'VPLData(raw)'!B:B=544,'VPLData(raw)'!A:A=A25), 0),0)"),"0")</f>
        <v>0</v>
      </c>
      <c r="AI25" t="str">
        <f ca="1">IFERROR(__xludf.DUMMYFUNCTION("IFERROR(FILTER('VPLData(raw)'!F:F,'VPLData(raw)'!B:B=544,'VPLData(raw)'!A:A=A25),0)"),"0")</f>
        <v>0</v>
      </c>
      <c r="AJ25" t="str">
        <f ca="1">IFERROR(__xludf.DUMMYFUNCTION("IFERROR(FILTER('VPLData(raw)'!C:C,'VPLData(raw)'!B:B=545,'VPLData(raw)'!A:A=A25),0)"),"0")</f>
        <v>0</v>
      </c>
      <c r="AK25" t="str">
        <f ca="1">IFERROR(__xludf.DUMMYFUNCTION("IFERROR(IF(AJ25&gt;0, FILTER('VPLData(raw)'!E:E,'VPLData(raw)'!B:B=545,'VPLData(raw)'!A:A=A25), 0),0)"),"0")</f>
        <v>0</v>
      </c>
      <c r="AL25" t="str">
        <f ca="1">IFERROR(__xludf.DUMMYFUNCTION("IFERROR(FILTER('VPLData(raw)'!F:F,'VPLData(raw)'!B:B=545,'VPLData(raw)'!A:A=A25),0)"),"0")</f>
        <v>0</v>
      </c>
    </row>
    <row r="26" spans="1:39" ht="15.75" customHeight="1" x14ac:dyDescent="0.15">
      <c r="A26" s="2">
        <v>10197</v>
      </c>
      <c r="B26" s="2">
        <v>10276661</v>
      </c>
      <c r="C26" t="str">
        <f ca="1">IFERROR(__xludf.DUMMYFUNCTION("IFERROR(FILTER('VPLData(raw)'!C:C,'VPLData(raw)'!B:B=504,'VPLData(raw)'!A:A=A26),0)"),"0")</f>
        <v>0</v>
      </c>
      <c r="D26" s="3" t="str">
        <f ca="1">IFERROR(__xludf.DUMMYFUNCTION("IFERROR(IF(C26&gt;0, FILTER('VPLData(raw)'!E:E,'VPLData(raw)'!B:B=504,'VPLData(raw)'!A:A=A26), 0),0)"),"0")</f>
        <v>0</v>
      </c>
      <c r="E26" t="str">
        <f ca="1">IFERROR(__xludf.DUMMYFUNCTION("IFERROR(FILTER('VPLData(raw)'!F:F,'VPLData(raw)'!B:B=504,'VPLData(raw)'!A:A=A26),0)"),"0")</f>
        <v>0</v>
      </c>
      <c r="F26" t="str">
        <f ca="1">IFERROR(__xludf.DUMMYFUNCTION("IFERROR(FILTER('VPLData(raw)'!C:C,'VPLData(raw)'!B:B=454,'VPLData(raw)'!A:A=A26),0)"),"1491912967")</f>
        <v>1491912967</v>
      </c>
      <c r="G26" t="str">
        <f ca="1">IFERROR(__xludf.DUMMYFUNCTION("IFERROR(IF(F26&gt;0, FILTER('VPLData(raw)'!E:E,'VPLData(raw)'!B:B=454,'VPLData(raw)'!A:A=A26), 0),0)"),"10")</f>
        <v>10</v>
      </c>
      <c r="H26" t="str">
        <f ca="1">IFERROR(__xludf.DUMMYFUNCTION("IFERROR(FILTER('VPLData(raw)'!F:F,'VPLData(raw)'!B:B=454,'VPLData(raw)'!A:A=A26),0)"),"1565")</f>
        <v>1565</v>
      </c>
      <c r="I26" t="str">
        <f ca="1">IFERROR(__xludf.DUMMYFUNCTION("IFERROR(FILTER('VPLData(raw)'!C:C,'VPLData(raw)'!B:B=457,'VPLData(raw)'!A:A=A26),0)"),"0")</f>
        <v>0</v>
      </c>
      <c r="J26" t="str">
        <f ca="1">IFERROR(__xludf.DUMMYFUNCTION("IFERROR(IF(I26&gt;0, FILTER('VPLData(raw)'!E:E,'VPLData(raw)'!B:B=457,'VPLData(raw)'!A:A=A26), 0),0)"),"0")</f>
        <v>0</v>
      </c>
      <c r="K26" t="str">
        <f ca="1">IFERROR(__xludf.DUMMYFUNCTION("IFERROR(FILTER('VPLData(raw)'!F:F,'VPLData(raw)'!B:B=457,'VPLData(raw)'!A:A=A26),0)"),"0")</f>
        <v>0</v>
      </c>
      <c r="L26" t="str">
        <f ca="1">IFERROR(__xludf.DUMMYFUNCTION("IFERROR(FILTER('VPLData(raw)'!C:C,'VPLData(raw)'!B:B=534,'VPLData(raw)'!A:A=A26),0)"),"1495579898")</f>
        <v>1495579898</v>
      </c>
      <c r="M26" t="str">
        <f ca="1">IFERROR(__xludf.DUMMYFUNCTION("IFERROR(IF(L26&gt;0, FILTER('VPLData(raw)'!E:E,'VPLData(raw)'!B:B=534,'VPLData(raw)'!A:A=A26), 0),0)"),"10")</f>
        <v>10</v>
      </c>
      <c r="N26" t="str">
        <f ca="1">IFERROR(__xludf.DUMMYFUNCTION("IFERROR(FILTER('VPLData(raw)'!F:F,'VPLData(raw)'!B:B=534,'VPLData(raw)'!A:A=A26),0)"),"8693")</f>
        <v>8693</v>
      </c>
      <c r="O26" t="str">
        <f ca="1">IFERROR(__xludf.DUMMYFUNCTION("IFERROR(FILTER('VPLData(raw)'!C:C,'VPLData(raw)'!B:B=498,'VPLData(raw)'!A:A=A26),0)"),"1492548595")</f>
        <v>1492548595</v>
      </c>
      <c r="P26" t="str">
        <f ca="1">IFERROR(__xludf.DUMMYFUNCTION("IFERROR(IF(O26&gt;0, FILTER('VPLData(raw)'!E:E,'VPLData(raw)'!B:B=498,'VPLData(raw)'!A:A=A26), 0),0)"),"10")</f>
        <v>10</v>
      </c>
      <c r="Q26" t="str">
        <f ca="1">IFERROR(__xludf.DUMMYFUNCTION("IFERROR(FILTER('VPLData(raw)'!F:F,'VPLData(raw)'!B:B=498,'VPLData(raw)'!A:A=A26),0)"),"5906")</f>
        <v>5906</v>
      </c>
      <c r="R26" t="str">
        <f ca="1">IFERROR(__xludf.DUMMYFUNCTION("IFERROR(FILTER('VPLData(raw)'!C:C,'VPLData(raw)'!B:B=515,'VPLData(raw)'!A:A=A26),0)"),"1492946751")</f>
        <v>1492946751</v>
      </c>
      <c r="S26" t="str">
        <f ca="1">IFERROR(__xludf.DUMMYFUNCTION("IFERROR(IF(R26&gt;0, FILTER('VPLData(raw)'!E:E,'VPLData(raw)'!B:B=515,'VPLData(raw)'!A:A=A26), 0),0)"),"10")</f>
        <v>10</v>
      </c>
      <c r="T26" t="str">
        <f ca="1">IFERROR(__xludf.DUMMYFUNCTION("IFERROR(FILTER('VPLData(raw)'!F:F,'VPLData(raw)'!B:B=515,'VPLData(raw)'!A:A=A26),0)"),"3040")</f>
        <v>3040</v>
      </c>
      <c r="U26" t="str">
        <f ca="1">IFERROR(__xludf.DUMMYFUNCTION("IFERROR(FILTER('VPLData(raw)'!C:C,'VPLData(raw)'!B:B=528,'VPLData(raw)'!A:A=A26),0)"),"1494865832")</f>
        <v>1494865832</v>
      </c>
      <c r="V26" t="str">
        <f ca="1">IFERROR(__xludf.DUMMYFUNCTION("IFERROR(IF(U26&gt;0, FILTER('VPLData(raw)'!E:E,'VPLData(raw)'!B:B=528,'VPLData(raw)'!A:A=A26), 0),0)"),"10")</f>
        <v>10</v>
      </c>
      <c r="W26" t="str">
        <f ca="1">IFERROR(__xludf.DUMMYFUNCTION("IFERROR(FILTER('VPLData(raw)'!F:F,'VPLData(raw)'!B:B=528,'VPLData(raw)'!A:A=A26),0)"),"3406")</f>
        <v>3406</v>
      </c>
      <c r="X26" t="str">
        <f ca="1">IFERROR(__xludf.DUMMYFUNCTION("IFERROR(FILTER('VPLData(raw)'!C:C,'VPLData(raw)'!B:B=524,'VPLData(raw)'!A:A=A26),0)"),"1494877955")</f>
        <v>1494877955</v>
      </c>
      <c r="Y26" t="str">
        <f ca="1">IFERROR(__xludf.DUMMYFUNCTION("IFERROR(IF(X26&gt;0, FILTER('VPLData(raw)'!E:E,'VPLData(raw)'!B:B=524,'VPLData(raw)'!A:A=A26), 0),0)"),"10")</f>
        <v>10</v>
      </c>
      <c r="Z26" t="str">
        <f ca="1">IFERROR(__xludf.DUMMYFUNCTION("IFERROR(FILTER('VPLData(raw)'!F:F,'VPLData(raw)'!B:B=524,'VPLData(raw)'!A:A=A26),0)"),"2748")</f>
        <v>2748</v>
      </c>
      <c r="AA26" t="str">
        <f ca="1">IFERROR(__xludf.DUMMYFUNCTION("IFERROR(FILTER('VPLData(raw)'!C:C,'VPLData(raw)'!B:B=478,'VPLData(raw)'!A:A=A26),0)"),"1495564317")</f>
        <v>1495564317</v>
      </c>
      <c r="AB26" t="str">
        <f ca="1">IFERROR(__xludf.DUMMYFUNCTION("IFERROR(IF(AA26&gt;0, FILTER('VPLData(raw)'!E:E,'VPLData(raw)'!B:B=478,'VPLData(raw)'!A:A=A26), 0),0)"),"10")</f>
        <v>10</v>
      </c>
      <c r="AC26" t="str">
        <f ca="1">IFERROR(__xludf.DUMMYFUNCTION("IFERROR(FILTER('VPLData(raw)'!F:F,'VPLData(raw)'!B:B=478,'VPLData(raw)'!A:A=A26),0)"),"1369")</f>
        <v>1369</v>
      </c>
      <c r="AD26" t="str">
        <f ca="1">IFERROR(__xludf.DUMMYFUNCTION("IFERROR(FILTER('VPLData(raw)'!C:C,'VPLData(raw)'!B:B=542,'VPLData(raw)'!A:A=A26),0)"),"1497990540")</f>
        <v>1497990540</v>
      </c>
      <c r="AE26" t="str">
        <f ca="1">IFERROR(__xludf.DUMMYFUNCTION("IFERROR(IF(AD26&gt;0, FILTER('VPLData(raw)'!E:E,'VPLData(raw)'!B:B=542,'VPLData(raw)'!A:A=A26), 0),0)"),"10")</f>
        <v>10</v>
      </c>
      <c r="AF26" t="str">
        <f ca="1">IFERROR(__xludf.DUMMYFUNCTION("IFERROR(FILTER('VPLData(raw)'!F:F,'VPLData(raw)'!B:B=542,'VPLData(raw)'!A:A=A26),0)"),"3020")</f>
        <v>3020</v>
      </c>
      <c r="AG26" t="str">
        <f ca="1">IFERROR(__xludf.DUMMYFUNCTION("IFERROR(FILTER('VPLData(raw)'!C:C,'VPLData(raw)'!B:B=544,'VPLData(raw)'!A:A=A26),0)"),"0")</f>
        <v>0</v>
      </c>
      <c r="AH26" t="str">
        <f ca="1">IFERROR(__xludf.DUMMYFUNCTION("IFERROR(IF(AG26&gt;0, FILTER('VPLData(raw)'!E:E,'VPLData(raw)'!B:B=544,'VPLData(raw)'!A:A=A26), 0),0)"),"0")</f>
        <v>0</v>
      </c>
      <c r="AI26" t="str">
        <f ca="1">IFERROR(__xludf.DUMMYFUNCTION("IFERROR(FILTER('VPLData(raw)'!F:F,'VPLData(raw)'!B:B=544,'VPLData(raw)'!A:A=A26),0)"),"0")</f>
        <v>0</v>
      </c>
      <c r="AJ26" t="str">
        <f ca="1">IFERROR(__xludf.DUMMYFUNCTION("IFERROR(FILTER('VPLData(raw)'!C:C,'VPLData(raw)'!B:B=545,'VPLData(raw)'!A:A=A26),0)"),"0")</f>
        <v>0</v>
      </c>
      <c r="AK26" t="str">
        <f ca="1">IFERROR(__xludf.DUMMYFUNCTION("IFERROR(IF(AJ26&gt;0, FILTER('VPLData(raw)'!E:E,'VPLData(raw)'!B:B=545,'VPLData(raw)'!A:A=A26), 0),0)"),"0")</f>
        <v>0</v>
      </c>
      <c r="AL26" t="str">
        <f ca="1">IFERROR(__xludf.DUMMYFUNCTION("IFERROR(FILTER('VPLData(raw)'!F:F,'VPLData(raw)'!B:B=545,'VPLData(raw)'!A:A=A26),0)"),"0")</f>
        <v>0</v>
      </c>
    </row>
    <row r="27" spans="1:39" ht="15.75" customHeight="1" x14ac:dyDescent="0.15">
      <c r="A27" s="2">
        <v>10184</v>
      </c>
      <c r="B27" s="2">
        <v>10276675</v>
      </c>
      <c r="C27" t="str">
        <f ca="1">IFERROR(__xludf.DUMMYFUNCTION("IFERROR(FILTER('VPLData(raw)'!C:C,'VPLData(raw)'!B:B=504,'VPLData(raw)'!A:A=A27),0)"),"1490808515")</f>
        <v>1490808515</v>
      </c>
      <c r="D27" s="3" t="str">
        <f ca="1">IFERROR(__xludf.DUMMYFUNCTION("IFERROR(IF(C27&gt;0, FILTER('VPLData(raw)'!E:E,'VPLData(raw)'!B:B=504,'VPLData(raw)'!A:A=A27), 0),0)"),"10")</f>
        <v>10</v>
      </c>
      <c r="E27" t="str">
        <f ca="1">IFERROR(__xludf.DUMMYFUNCTION("IFERROR(FILTER('VPLData(raw)'!F:F,'VPLData(raw)'!B:B=504,'VPLData(raw)'!A:A=A27),0)"),"734")</f>
        <v>734</v>
      </c>
      <c r="F27" t="str">
        <f ca="1">IFERROR(__xludf.DUMMYFUNCTION("IFERROR(FILTER('VPLData(raw)'!C:C,'VPLData(raw)'!B:B=454,'VPLData(raw)'!A:A=A27),0)"),"1491359298")</f>
        <v>1491359298</v>
      </c>
      <c r="G27" t="str">
        <f ca="1">IFERROR(__xludf.DUMMYFUNCTION("IFERROR(IF(F27&gt;0, FILTER('VPLData(raw)'!E:E,'VPLData(raw)'!B:B=454,'VPLData(raw)'!A:A=A27), 0),0)"),"10")</f>
        <v>10</v>
      </c>
      <c r="H27" t="str">
        <f ca="1">IFERROR(__xludf.DUMMYFUNCTION("IFERROR(FILTER('VPLData(raw)'!F:F,'VPLData(raw)'!B:B=454,'VPLData(raw)'!A:A=A27),0)"),"997")</f>
        <v>997</v>
      </c>
      <c r="I27" t="str">
        <f ca="1">IFERROR(__xludf.DUMMYFUNCTION("IFERROR(FILTER('VPLData(raw)'!C:C,'VPLData(raw)'!B:B=457,'VPLData(raw)'!A:A=A27),0)"),"1491609232")</f>
        <v>1491609232</v>
      </c>
      <c r="J27" t="str">
        <f ca="1">IFERROR(__xludf.DUMMYFUNCTION("IFERROR(IF(I27&gt;0, FILTER('VPLData(raw)'!E:E,'VPLData(raw)'!B:B=457,'VPLData(raw)'!A:A=A27), 0),0)"),"10")</f>
        <v>10</v>
      </c>
      <c r="K27" t="str">
        <f ca="1">IFERROR(__xludf.DUMMYFUNCTION("IFERROR(FILTER('VPLData(raw)'!F:F,'VPLData(raw)'!B:B=457,'VPLData(raw)'!A:A=A27),0)"),"809")</f>
        <v>809</v>
      </c>
      <c r="L27" t="str">
        <f ca="1">IFERROR(__xludf.DUMMYFUNCTION("IFERROR(FILTER('VPLData(raw)'!C:C,'VPLData(raw)'!B:B=534,'VPLData(raw)'!A:A=A27),0)"),"1495579420")</f>
        <v>1495579420</v>
      </c>
      <c r="M27" t="str">
        <f ca="1">IFERROR(__xludf.DUMMYFUNCTION("IFERROR(IF(L27&gt;0, FILTER('VPLData(raw)'!E:E,'VPLData(raw)'!B:B=534,'VPLData(raw)'!A:A=A27), 0),0)"),"10")</f>
        <v>10</v>
      </c>
      <c r="N27" t="str">
        <f ca="1">IFERROR(__xludf.DUMMYFUNCTION("IFERROR(FILTER('VPLData(raw)'!F:F,'VPLData(raw)'!B:B=534,'VPLData(raw)'!A:A=A27),0)"),"9838")</f>
        <v>9838</v>
      </c>
      <c r="O27" t="str">
        <f ca="1">IFERROR(__xludf.DUMMYFUNCTION("IFERROR(FILTER('VPLData(raw)'!C:C,'VPLData(raw)'!B:B=498,'VPLData(raw)'!A:A=A27),0)"),"1492445317")</f>
        <v>1492445317</v>
      </c>
      <c r="P27" t="str">
        <f ca="1">IFERROR(__xludf.DUMMYFUNCTION("IFERROR(IF(O27&gt;0, FILTER('VPLData(raw)'!E:E,'VPLData(raw)'!B:B=498,'VPLData(raw)'!A:A=A27), 0),0)"),"10")</f>
        <v>10</v>
      </c>
      <c r="Q27" t="str">
        <f ca="1">IFERROR(__xludf.DUMMYFUNCTION("IFERROR(FILTER('VPLData(raw)'!F:F,'VPLData(raw)'!B:B=498,'VPLData(raw)'!A:A=A27),0)"),"317")</f>
        <v>317</v>
      </c>
      <c r="R27" t="str">
        <f ca="1">IFERROR(__xludf.DUMMYFUNCTION("IFERROR(FILTER('VPLData(raw)'!C:C,'VPLData(raw)'!B:B=515,'VPLData(raw)'!A:A=A27),0)"),"1492446764")</f>
        <v>1492446764</v>
      </c>
      <c r="S27" t="str">
        <f ca="1">IFERROR(__xludf.DUMMYFUNCTION("IFERROR(IF(R27&gt;0, FILTER('VPLData(raw)'!E:E,'VPLData(raw)'!B:B=515,'VPLData(raw)'!A:A=A27), 0),0)"),"10")</f>
        <v>10</v>
      </c>
      <c r="T27" t="str">
        <f ca="1">IFERROR(__xludf.DUMMYFUNCTION("IFERROR(FILTER('VPLData(raw)'!F:F,'VPLData(raw)'!B:B=515,'VPLData(raw)'!A:A=A27),0)"),"664")</f>
        <v>664</v>
      </c>
      <c r="U27" t="str">
        <f ca="1">IFERROR(__xludf.DUMMYFUNCTION("IFERROR(FILTER('VPLData(raw)'!C:C,'VPLData(raw)'!B:B=528,'VPLData(raw)'!A:A=A27),0)"),"1494376546")</f>
        <v>1494376546</v>
      </c>
      <c r="V27" t="str">
        <f ca="1">IFERROR(__xludf.DUMMYFUNCTION("IFERROR(IF(U27&gt;0, FILTER('VPLData(raw)'!E:E,'VPLData(raw)'!B:B=528,'VPLData(raw)'!A:A=A27), 0),0)"),"10")</f>
        <v>10</v>
      </c>
      <c r="W27" t="str">
        <f ca="1">IFERROR(__xludf.DUMMYFUNCTION("IFERROR(FILTER('VPLData(raw)'!F:F,'VPLData(raw)'!B:B=528,'VPLData(raw)'!A:A=A27),0)"),"154")</f>
        <v>154</v>
      </c>
      <c r="X27" t="str">
        <f ca="1">IFERROR(__xludf.DUMMYFUNCTION("IFERROR(FILTER('VPLData(raw)'!C:C,'VPLData(raw)'!B:B=524,'VPLData(raw)'!A:A=A27),0)"),"1494376886")</f>
        <v>1494376886</v>
      </c>
      <c r="Y27" t="str">
        <f ca="1">IFERROR(__xludf.DUMMYFUNCTION("IFERROR(IF(X27&gt;0, FILTER('VPLData(raw)'!E:E,'VPLData(raw)'!B:B=524,'VPLData(raw)'!A:A=A27), 0),0)"),"10")</f>
        <v>10</v>
      </c>
      <c r="Z27" t="str">
        <f ca="1">IFERROR(__xludf.DUMMYFUNCTION("IFERROR(FILTER('VPLData(raw)'!F:F,'VPLData(raw)'!B:B=524,'VPLData(raw)'!A:A=A27),0)"),"1681")</f>
        <v>1681</v>
      </c>
      <c r="AA27" t="str">
        <f ca="1">IFERROR(__xludf.DUMMYFUNCTION("IFERROR(FILTER('VPLData(raw)'!C:C,'VPLData(raw)'!B:B=478,'VPLData(raw)'!A:A=A27),0)"),"1494380512")</f>
        <v>1494380512</v>
      </c>
      <c r="AB27" t="str">
        <f ca="1">IFERROR(__xludf.DUMMYFUNCTION("IFERROR(IF(AA27&gt;0, FILTER('VPLData(raw)'!E:E,'VPLData(raw)'!B:B=478,'VPLData(raw)'!A:A=A27), 0),0)"),"10")</f>
        <v>10</v>
      </c>
      <c r="AC27" t="str">
        <f ca="1">IFERROR(__xludf.DUMMYFUNCTION("IFERROR(FILTER('VPLData(raw)'!F:F,'VPLData(raw)'!B:B=478,'VPLData(raw)'!A:A=A27),0)"),"3518")</f>
        <v>3518</v>
      </c>
      <c r="AD27" t="str">
        <f ca="1">IFERROR(__xludf.DUMMYFUNCTION("IFERROR(FILTER('VPLData(raw)'!C:C,'VPLData(raw)'!B:B=542,'VPLData(raw)'!A:A=A27),0)"),"1497655770")</f>
        <v>1497655770</v>
      </c>
      <c r="AE27" t="str">
        <f ca="1">IFERROR(__xludf.DUMMYFUNCTION("IFERROR(IF(AD27&gt;0, FILTER('VPLData(raw)'!E:E,'VPLData(raw)'!B:B=542,'VPLData(raw)'!A:A=A27), 0),0)"),"10")</f>
        <v>10</v>
      </c>
      <c r="AF27" t="str">
        <f ca="1">IFERROR(__xludf.DUMMYFUNCTION("IFERROR(FILTER('VPLData(raw)'!F:F,'VPLData(raw)'!B:B=542,'VPLData(raw)'!A:A=A27),0)"),"1602")</f>
        <v>1602</v>
      </c>
      <c r="AG27" t="str">
        <f ca="1">IFERROR(__xludf.DUMMYFUNCTION("IFERROR(FILTER('VPLData(raw)'!C:C,'VPLData(raw)'!B:B=544,'VPLData(raw)'!A:A=A27),0)"),"1497672202")</f>
        <v>1497672202</v>
      </c>
      <c r="AH27" t="str">
        <f ca="1">IFERROR(__xludf.DUMMYFUNCTION("IFERROR(IF(AG27&gt;0, FILTER('VPLData(raw)'!E:E,'VPLData(raw)'!B:B=544,'VPLData(raw)'!A:A=A27), 0),0)"),"10")</f>
        <v>10</v>
      </c>
      <c r="AI27" t="str">
        <f ca="1">IFERROR(__xludf.DUMMYFUNCTION("IFERROR(FILTER('VPLData(raw)'!F:F,'VPLData(raw)'!B:B=544,'VPLData(raw)'!A:A=A27),0)"),"3400")</f>
        <v>3400</v>
      </c>
      <c r="AJ27" t="str">
        <f ca="1">IFERROR(__xludf.DUMMYFUNCTION("IFERROR(FILTER('VPLData(raw)'!C:C,'VPLData(raw)'!B:B=545,'VPLData(raw)'!A:A=A27),0)"),"1497676420")</f>
        <v>1497676420</v>
      </c>
      <c r="AK27" t="str">
        <f ca="1">IFERROR(__xludf.DUMMYFUNCTION("IFERROR(IF(AJ27&gt;0, FILTER('VPLData(raw)'!E:E,'VPLData(raw)'!B:B=545,'VPLData(raw)'!A:A=A27), 0),0)"),"10")</f>
        <v>10</v>
      </c>
      <c r="AL27" t="str">
        <f ca="1">IFERROR(__xludf.DUMMYFUNCTION("IFERROR(FILTER('VPLData(raw)'!F:F,'VPLData(raw)'!B:B=545,'VPLData(raw)'!A:A=A27),0)"),"10830")</f>
        <v>10830</v>
      </c>
    </row>
    <row r="28" spans="1:39" ht="15.75" customHeight="1" x14ac:dyDescent="0.15">
      <c r="A28" s="2">
        <v>10192</v>
      </c>
      <c r="B28" s="2">
        <v>10276682</v>
      </c>
      <c r="C28" t="str">
        <f ca="1">IFERROR(__xludf.DUMMYFUNCTION("IFERROR(FILTER('VPLData(raw)'!C:C,'VPLData(raw)'!B:B=504,'VPLData(raw)'!A:A=A28),0)"),"1490751847")</f>
        <v>1490751847</v>
      </c>
      <c r="D28" s="3" t="str">
        <f ca="1">IFERROR(__xludf.DUMMYFUNCTION("IFERROR(IF(C28&gt;0, FILTER('VPLData(raw)'!E:E,'VPLData(raw)'!B:B=504,'VPLData(raw)'!A:A=A28), 0),0)"),"10")</f>
        <v>10</v>
      </c>
      <c r="E28" t="str">
        <f ca="1">IFERROR(__xludf.DUMMYFUNCTION("IFERROR(FILTER('VPLData(raw)'!F:F,'VPLData(raw)'!B:B=504,'VPLData(raw)'!A:A=A28),0)"),"2235")</f>
        <v>2235</v>
      </c>
      <c r="F28" t="str">
        <f ca="1">IFERROR(__xludf.DUMMYFUNCTION("IFERROR(FILTER('VPLData(raw)'!C:C,'VPLData(raw)'!B:B=454,'VPLData(raw)'!A:A=A28),0)"),"1491525030")</f>
        <v>1491525030</v>
      </c>
      <c r="G28" t="str">
        <f ca="1">IFERROR(__xludf.DUMMYFUNCTION("IFERROR(IF(F28&gt;0, FILTER('VPLData(raw)'!E:E,'VPLData(raw)'!B:B=454,'VPLData(raw)'!A:A=A28), 0),0)"),"10")</f>
        <v>10</v>
      </c>
      <c r="H28" t="str">
        <f ca="1">IFERROR(__xludf.DUMMYFUNCTION("IFERROR(FILTER('VPLData(raw)'!F:F,'VPLData(raw)'!B:B=454,'VPLData(raw)'!A:A=A28),0)"),"1268")</f>
        <v>1268</v>
      </c>
      <c r="I28" t="str">
        <f ca="1">IFERROR(__xludf.DUMMYFUNCTION("IFERROR(FILTER('VPLData(raw)'!C:C,'VPLData(raw)'!B:B=457,'VPLData(raw)'!A:A=A28),0)"),"1492456908")</f>
        <v>1492456908</v>
      </c>
      <c r="J28" t="str">
        <f ca="1">IFERROR(__xludf.DUMMYFUNCTION("IFERROR(IF(I28&gt;0, FILTER('VPLData(raw)'!E:E,'VPLData(raw)'!B:B=457,'VPLData(raw)'!A:A=A28), 0),0)"),"")</f>
        <v/>
      </c>
      <c r="K28" t="str">
        <f ca="1">IFERROR(__xludf.DUMMYFUNCTION("IFERROR(FILTER('VPLData(raw)'!F:F,'VPLData(raw)'!B:B=457,'VPLData(raw)'!A:A=A28),0)"),"8")</f>
        <v>8</v>
      </c>
      <c r="L28" t="str">
        <f ca="1">IFERROR(__xludf.DUMMYFUNCTION("IFERROR(FILTER('VPLData(raw)'!C:C,'VPLData(raw)'!B:B=534,'VPLData(raw)'!A:A=A28),0)"),"0")</f>
        <v>0</v>
      </c>
      <c r="M28" t="str">
        <f ca="1">IFERROR(__xludf.DUMMYFUNCTION("IFERROR(IF(L28&gt;0, FILTER('VPLData(raw)'!E:E,'VPLData(raw)'!B:B=534,'VPLData(raw)'!A:A=A28), 0),0)"),"0")</f>
        <v>0</v>
      </c>
      <c r="N28" t="str">
        <f ca="1">IFERROR(__xludf.DUMMYFUNCTION("IFERROR(FILTER('VPLData(raw)'!F:F,'VPLData(raw)'!B:B=534,'VPLData(raw)'!A:A=A28),0)"),"0")</f>
        <v>0</v>
      </c>
      <c r="O28" t="str">
        <f ca="1">IFERROR(__xludf.DUMMYFUNCTION("IFERROR(FILTER('VPLData(raw)'!C:C,'VPLData(raw)'!B:B=498,'VPLData(raw)'!A:A=A28),0)"),"1493072087")</f>
        <v>1493072087</v>
      </c>
      <c r="P28" t="str">
        <f ca="1">IFERROR(__xludf.DUMMYFUNCTION("IFERROR(IF(O28&gt;0, FILTER('VPLData(raw)'!E:E,'VPLData(raw)'!B:B=498,'VPLData(raw)'!A:A=A28), 0),0)"),"10")</f>
        <v>10</v>
      </c>
      <c r="Q28" t="str">
        <f ca="1">IFERROR(__xludf.DUMMYFUNCTION("IFERROR(FILTER('VPLData(raw)'!F:F,'VPLData(raw)'!B:B=498,'VPLData(raw)'!A:A=A28),0)"),"2465")</f>
        <v>2465</v>
      </c>
      <c r="R28" t="str">
        <f ca="1">IFERROR(__xludf.DUMMYFUNCTION("IFERROR(FILTER('VPLData(raw)'!C:C,'VPLData(raw)'!B:B=515,'VPLData(raw)'!A:A=A28),0)"),"1493074970")</f>
        <v>1493074970</v>
      </c>
      <c r="S28" t="str">
        <f ca="1">IFERROR(__xludf.DUMMYFUNCTION("IFERROR(IF(R28&gt;0, FILTER('VPLData(raw)'!E:E,'VPLData(raw)'!B:B=515,'VPLData(raw)'!A:A=A28), 0),0)"),"10")</f>
        <v>10</v>
      </c>
      <c r="T28" t="str">
        <f ca="1">IFERROR(__xludf.DUMMYFUNCTION("IFERROR(FILTER('VPLData(raw)'!F:F,'VPLData(raw)'!B:B=515,'VPLData(raw)'!A:A=A28),0)"),"780")</f>
        <v>780</v>
      </c>
      <c r="U28" t="str">
        <f ca="1">IFERROR(__xludf.DUMMYFUNCTION("IFERROR(FILTER('VPLData(raw)'!C:C,'VPLData(raw)'!B:B=528,'VPLData(raw)'!A:A=A28),0)"),"1495660639")</f>
        <v>1495660639</v>
      </c>
      <c r="V28" t="str">
        <f ca="1">IFERROR(__xludf.DUMMYFUNCTION("IFERROR(IF(U28&gt;0, FILTER('VPLData(raw)'!E:E,'VPLData(raw)'!B:B=528,'VPLData(raw)'!A:A=A28), 0),0)"),"10")</f>
        <v>10</v>
      </c>
      <c r="W28" t="str">
        <f ca="1">IFERROR(__xludf.DUMMYFUNCTION("IFERROR(FILTER('VPLData(raw)'!F:F,'VPLData(raw)'!B:B=528,'VPLData(raw)'!A:A=A28),0)"),"690")</f>
        <v>690</v>
      </c>
      <c r="X28" t="str">
        <f ca="1">IFERROR(__xludf.DUMMYFUNCTION("IFERROR(FILTER('VPLData(raw)'!C:C,'VPLData(raw)'!B:B=524,'VPLData(raw)'!A:A=A28),0)"),"1497025297")</f>
        <v>1497025297</v>
      </c>
      <c r="Y28" t="str">
        <f ca="1">IFERROR(__xludf.DUMMYFUNCTION("IFERROR(IF(X28&gt;0, FILTER('VPLData(raw)'!E:E,'VPLData(raw)'!B:B=524,'VPLData(raw)'!A:A=A28), 0),0)"),"10")</f>
        <v>10</v>
      </c>
      <c r="Z28" t="str">
        <f ca="1">IFERROR(__xludf.DUMMYFUNCTION("IFERROR(FILTER('VPLData(raw)'!F:F,'VPLData(raw)'!B:B=524,'VPLData(raw)'!A:A=A28),0)"),"10553")</f>
        <v>10553</v>
      </c>
      <c r="AA28" t="str">
        <f ca="1">IFERROR(__xludf.DUMMYFUNCTION("IFERROR(FILTER('VPLData(raw)'!C:C,'VPLData(raw)'!B:B=478,'VPLData(raw)'!A:A=A28),0)"),"1497149763")</f>
        <v>1497149763</v>
      </c>
      <c r="AB28" t="str">
        <f ca="1">IFERROR(__xludf.DUMMYFUNCTION("IFERROR(IF(AA28&gt;0, FILTER('VPLData(raw)'!E:E,'VPLData(raw)'!B:B=478,'VPLData(raw)'!A:A=A28), 0),0)"),"10")</f>
        <v>10</v>
      </c>
      <c r="AC28" t="str">
        <f ca="1">IFERROR(__xludf.DUMMYFUNCTION("IFERROR(FILTER('VPLData(raw)'!F:F,'VPLData(raw)'!B:B=478,'VPLData(raw)'!A:A=A28),0)"),"5191")</f>
        <v>5191</v>
      </c>
      <c r="AD28" t="str">
        <f ca="1">IFERROR(__xludf.DUMMYFUNCTION("IFERROR(FILTER('VPLData(raw)'!C:C,'VPLData(raw)'!B:B=542,'VPLData(raw)'!A:A=A28),0)"),"1499187742")</f>
        <v>1499187742</v>
      </c>
      <c r="AE28" t="str">
        <f ca="1">IFERROR(__xludf.DUMMYFUNCTION("IFERROR(IF(AD28&gt;0, FILTER('VPLData(raw)'!E:E,'VPLData(raw)'!B:B=542,'VPLData(raw)'!A:A=A28), 0),0)"),"10")</f>
        <v>10</v>
      </c>
      <c r="AF28" t="str">
        <f ca="1">IFERROR(__xludf.DUMMYFUNCTION("IFERROR(FILTER('VPLData(raw)'!F:F,'VPLData(raw)'!B:B=542,'VPLData(raw)'!A:A=A28),0)"),"7302")</f>
        <v>7302</v>
      </c>
      <c r="AG28" t="str">
        <f ca="1">IFERROR(__xludf.DUMMYFUNCTION("IFERROR(FILTER('VPLData(raw)'!C:C,'VPLData(raw)'!B:B=544,'VPLData(raw)'!A:A=A28),0)"),"0")</f>
        <v>0</v>
      </c>
      <c r="AH28" t="str">
        <f ca="1">IFERROR(__xludf.DUMMYFUNCTION("IFERROR(IF(AG28&gt;0, FILTER('VPLData(raw)'!E:E,'VPLData(raw)'!B:B=544,'VPLData(raw)'!A:A=A28), 0),0)"),"0")</f>
        <v>0</v>
      </c>
      <c r="AI28" t="str">
        <f ca="1">IFERROR(__xludf.DUMMYFUNCTION("IFERROR(FILTER('VPLData(raw)'!F:F,'VPLData(raw)'!B:B=544,'VPLData(raw)'!A:A=A28),0)"),"0")</f>
        <v>0</v>
      </c>
      <c r="AJ28" t="str">
        <f ca="1">IFERROR(__xludf.DUMMYFUNCTION("IFERROR(FILTER('VPLData(raw)'!C:C,'VPLData(raw)'!B:B=545,'VPLData(raw)'!A:A=A28),0)"),"0")</f>
        <v>0</v>
      </c>
      <c r="AK28" t="str">
        <f ca="1">IFERROR(__xludf.DUMMYFUNCTION("IFERROR(IF(AJ28&gt;0, FILTER('VPLData(raw)'!E:E,'VPLData(raw)'!B:B=545,'VPLData(raw)'!A:A=A28), 0),0)"),"0")</f>
        <v>0</v>
      </c>
      <c r="AL28" t="str">
        <f ca="1">IFERROR(__xludf.DUMMYFUNCTION("IFERROR(FILTER('VPLData(raw)'!F:F,'VPLData(raw)'!B:B=545,'VPLData(raw)'!A:A=A28),0)"),"0")</f>
        <v>0</v>
      </c>
    </row>
    <row r="29" spans="1:39" ht="15.75" customHeight="1" x14ac:dyDescent="0.15">
      <c r="A29" s="2">
        <v>10216</v>
      </c>
      <c r="B29" s="2">
        <v>10276720</v>
      </c>
      <c r="C29" t="str">
        <f ca="1">IFERROR(__xludf.DUMMYFUNCTION("IFERROR(FILTER('VPLData(raw)'!C:C,'VPLData(raw)'!B:B=504,'VPLData(raw)'!A:A=A29),0)"),"0")</f>
        <v>0</v>
      </c>
      <c r="D29" s="3" t="str">
        <f ca="1">IFERROR(__xludf.DUMMYFUNCTION("IFERROR(IF(C29&gt;0, FILTER('VPLData(raw)'!E:E,'VPLData(raw)'!B:B=504,'VPLData(raw)'!A:A=A29), 0),0)"),"0")</f>
        <v>0</v>
      </c>
      <c r="E29" t="str">
        <f ca="1">IFERROR(__xludf.DUMMYFUNCTION("IFERROR(FILTER('VPLData(raw)'!F:F,'VPLData(raw)'!B:B=504,'VPLData(raw)'!A:A=A29),0)"),"0")</f>
        <v>0</v>
      </c>
      <c r="F29" t="str">
        <f ca="1">IFERROR(__xludf.DUMMYFUNCTION("IFERROR(FILTER('VPLData(raw)'!C:C,'VPLData(raw)'!B:B=454,'VPLData(raw)'!A:A=A29),0)"),"1492532596")</f>
        <v>1492532596</v>
      </c>
      <c r="G29" t="str">
        <f ca="1">IFERROR(__xludf.DUMMYFUNCTION("IFERROR(IF(F29&gt;0, FILTER('VPLData(raw)'!E:E,'VPLData(raw)'!B:B=454,'VPLData(raw)'!A:A=A29), 0),0)"),"10")</f>
        <v>10</v>
      </c>
      <c r="H29" t="str">
        <f ca="1">IFERROR(__xludf.DUMMYFUNCTION("IFERROR(FILTER('VPLData(raw)'!F:F,'VPLData(raw)'!B:B=454,'VPLData(raw)'!A:A=A29),0)"),"181")</f>
        <v>181</v>
      </c>
      <c r="I29" t="str">
        <f ca="1">IFERROR(__xludf.DUMMYFUNCTION("IFERROR(FILTER('VPLData(raw)'!C:C,'VPLData(raw)'!B:B=457,'VPLData(raw)'!A:A=A29),0)"),"1492532874")</f>
        <v>1492532874</v>
      </c>
      <c r="J29" t="str">
        <f ca="1">IFERROR(__xludf.DUMMYFUNCTION("IFERROR(IF(I29&gt;0, FILTER('VPLData(raw)'!E:E,'VPLData(raw)'!B:B=457,'VPLData(raw)'!A:A=A29), 0),0)"),"10")</f>
        <v>10</v>
      </c>
      <c r="K29" t="str">
        <f ca="1">IFERROR(__xludf.DUMMYFUNCTION("IFERROR(FILTER('VPLData(raw)'!F:F,'VPLData(raw)'!B:B=457,'VPLData(raw)'!A:A=A29),0)"),"454")</f>
        <v>454</v>
      </c>
      <c r="L29" t="str">
        <f ca="1">IFERROR(__xludf.DUMMYFUNCTION("IFERROR(FILTER('VPLData(raw)'!C:C,'VPLData(raw)'!B:B=534,'VPLData(raw)'!A:A=A29),0)"),"0")</f>
        <v>0</v>
      </c>
      <c r="M29" t="str">
        <f ca="1">IFERROR(__xludf.DUMMYFUNCTION("IFERROR(IF(L29&gt;0, FILTER('VPLData(raw)'!E:E,'VPLData(raw)'!B:B=534,'VPLData(raw)'!A:A=A29), 0),0)"),"0")</f>
        <v>0</v>
      </c>
      <c r="N29" t="str">
        <f ca="1">IFERROR(__xludf.DUMMYFUNCTION("IFERROR(FILTER('VPLData(raw)'!F:F,'VPLData(raw)'!B:B=534,'VPLData(raw)'!A:A=A29),0)"),"0")</f>
        <v>0</v>
      </c>
      <c r="O29" t="str">
        <f ca="1">IFERROR(__xludf.DUMMYFUNCTION("IFERROR(FILTER('VPLData(raw)'!C:C,'VPLData(raw)'!B:B=498,'VPLData(raw)'!A:A=A29),0)"),"1492533456")</f>
        <v>1492533456</v>
      </c>
      <c r="P29" t="str">
        <f ca="1">IFERROR(__xludf.DUMMYFUNCTION("IFERROR(IF(O29&gt;0, FILTER('VPLData(raw)'!E:E,'VPLData(raw)'!B:B=498,'VPLData(raw)'!A:A=A29), 0),0)"),"10")</f>
        <v>10</v>
      </c>
      <c r="Q29" t="str">
        <f ca="1">IFERROR(__xludf.DUMMYFUNCTION("IFERROR(FILTER('VPLData(raw)'!F:F,'VPLData(raw)'!B:B=498,'VPLData(raw)'!A:A=A29),0)"),"222")</f>
        <v>222</v>
      </c>
      <c r="R29" t="str">
        <f ca="1">IFERROR(__xludf.DUMMYFUNCTION("IFERROR(FILTER('VPLData(raw)'!C:C,'VPLData(raw)'!B:B=515,'VPLData(raw)'!A:A=A29),0)"),"1492533713")</f>
        <v>1492533713</v>
      </c>
      <c r="S29" t="str">
        <f ca="1">IFERROR(__xludf.DUMMYFUNCTION("IFERROR(IF(R29&gt;0, FILTER('VPLData(raw)'!E:E,'VPLData(raw)'!B:B=515,'VPLData(raw)'!A:A=A29), 0),0)"),"10")</f>
        <v>10</v>
      </c>
      <c r="T29" t="str">
        <f ca="1">IFERROR(__xludf.DUMMYFUNCTION("IFERROR(FILTER('VPLData(raw)'!F:F,'VPLData(raw)'!B:B=515,'VPLData(raw)'!A:A=A29),0)"),"445")</f>
        <v>445</v>
      </c>
      <c r="U29" t="str">
        <f ca="1">IFERROR(__xludf.DUMMYFUNCTION("IFERROR(FILTER('VPLData(raw)'!C:C,'VPLData(raw)'!B:B=528,'VPLData(raw)'!A:A=A29),0)"),"1494866836")</f>
        <v>1494866836</v>
      </c>
      <c r="V29" t="str">
        <f ca="1">IFERROR(__xludf.DUMMYFUNCTION("IFERROR(IF(U29&gt;0, FILTER('VPLData(raw)'!E:E,'VPLData(raw)'!B:B=528,'VPLData(raw)'!A:A=A29), 0),0)"),"10")</f>
        <v>10</v>
      </c>
      <c r="W29" t="str">
        <f ca="1">IFERROR(__xludf.DUMMYFUNCTION("IFERROR(FILTER('VPLData(raw)'!F:F,'VPLData(raw)'!B:B=528,'VPLData(raw)'!A:A=A29),0)"),"309")</f>
        <v>309</v>
      </c>
      <c r="X29" t="str">
        <f ca="1">IFERROR(__xludf.DUMMYFUNCTION("IFERROR(FILTER('VPLData(raw)'!C:C,'VPLData(raw)'!B:B=524,'VPLData(raw)'!A:A=A29),0)"),"1494896970")</f>
        <v>1494896970</v>
      </c>
      <c r="Y29" t="str">
        <f ca="1">IFERROR(__xludf.DUMMYFUNCTION("IFERROR(IF(X29&gt;0, FILTER('VPLData(raw)'!E:E,'VPLData(raw)'!B:B=524,'VPLData(raw)'!A:A=A29), 0),0)"),"10")</f>
        <v>10</v>
      </c>
      <c r="Z29" t="str">
        <f ca="1">IFERROR(__xludf.DUMMYFUNCTION("IFERROR(FILTER('VPLData(raw)'!F:F,'VPLData(raw)'!B:B=524,'VPLData(raw)'!A:A=A29),0)"),"371")</f>
        <v>371</v>
      </c>
      <c r="AA29" t="str">
        <f ca="1">IFERROR(__xludf.DUMMYFUNCTION("IFERROR(FILTER('VPLData(raw)'!C:C,'VPLData(raw)'!B:B=478,'VPLData(raw)'!A:A=A29),0)"),"1495126789")</f>
        <v>1495126789</v>
      </c>
      <c r="AB29" t="str">
        <f ca="1">IFERROR(__xludf.DUMMYFUNCTION("IFERROR(IF(AA29&gt;0, FILTER('VPLData(raw)'!E:E,'VPLData(raw)'!B:B=478,'VPLData(raw)'!A:A=A29), 0),0)"),"10")</f>
        <v>10</v>
      </c>
      <c r="AC29" t="str">
        <f ca="1">IFERROR(__xludf.DUMMYFUNCTION("IFERROR(FILTER('VPLData(raw)'!F:F,'VPLData(raw)'!B:B=478,'VPLData(raw)'!A:A=A29),0)"),"0")</f>
        <v>0</v>
      </c>
      <c r="AD29" t="str">
        <f ca="1">IFERROR(__xludf.DUMMYFUNCTION("IFERROR(FILTER('VPLData(raw)'!C:C,'VPLData(raw)'!B:B=542,'VPLData(raw)'!A:A=A29),0)"),"0")</f>
        <v>0</v>
      </c>
      <c r="AE29" t="str">
        <f ca="1">IFERROR(__xludf.DUMMYFUNCTION("IFERROR(IF(AD29&gt;0, FILTER('VPLData(raw)'!E:E,'VPLData(raw)'!B:B=542,'VPLData(raw)'!A:A=A29), 0),0)"),"0")</f>
        <v>0</v>
      </c>
      <c r="AF29" t="str">
        <f ca="1">IFERROR(__xludf.DUMMYFUNCTION("IFERROR(FILTER('VPLData(raw)'!F:F,'VPLData(raw)'!B:B=542,'VPLData(raw)'!A:A=A29),0)"),"0")</f>
        <v>0</v>
      </c>
      <c r="AG29" t="str">
        <f ca="1">IFERROR(__xludf.DUMMYFUNCTION("IFERROR(FILTER('VPLData(raw)'!C:C,'VPLData(raw)'!B:B=544,'VPLData(raw)'!A:A=A29),0)"),"0")</f>
        <v>0</v>
      </c>
      <c r="AH29" t="str">
        <f ca="1">IFERROR(__xludf.DUMMYFUNCTION("IFERROR(IF(AG29&gt;0, FILTER('VPLData(raw)'!E:E,'VPLData(raw)'!B:B=544,'VPLData(raw)'!A:A=A29), 0),0)"),"0")</f>
        <v>0</v>
      </c>
      <c r="AI29" t="str">
        <f ca="1">IFERROR(__xludf.DUMMYFUNCTION("IFERROR(FILTER('VPLData(raw)'!F:F,'VPLData(raw)'!B:B=544,'VPLData(raw)'!A:A=A29),0)"),"0")</f>
        <v>0</v>
      </c>
      <c r="AJ29" t="str">
        <f ca="1">IFERROR(__xludf.DUMMYFUNCTION("IFERROR(FILTER('VPLData(raw)'!C:C,'VPLData(raw)'!B:B=545,'VPLData(raw)'!A:A=A29),0)"),"0")</f>
        <v>0</v>
      </c>
      <c r="AK29" t="str">
        <f ca="1">IFERROR(__xludf.DUMMYFUNCTION("IFERROR(IF(AJ29&gt;0, FILTER('VPLData(raw)'!E:E,'VPLData(raw)'!B:B=545,'VPLData(raw)'!A:A=A29), 0),0)"),"0")</f>
        <v>0</v>
      </c>
      <c r="AL29" t="str">
        <f ca="1">IFERROR(__xludf.DUMMYFUNCTION("IFERROR(FILTER('VPLData(raw)'!F:F,'VPLData(raw)'!B:B=545,'VPLData(raw)'!A:A=A29),0)"),"0")</f>
        <v>0</v>
      </c>
    </row>
    <row r="30" spans="1:39" ht="15.75" customHeight="1" x14ac:dyDescent="0.15">
      <c r="A30" s="2">
        <v>10199</v>
      </c>
      <c r="B30" s="2">
        <v>10276737</v>
      </c>
      <c r="C30" t="str">
        <f ca="1">IFERROR(__xludf.DUMMYFUNCTION("IFERROR(FILTER('VPLData(raw)'!C:C,'VPLData(raw)'!B:B=504,'VPLData(raw)'!A:A=A30),0)"),"0")</f>
        <v>0</v>
      </c>
      <c r="D30" s="3" t="str">
        <f ca="1">IFERROR(__xludf.DUMMYFUNCTION("IFERROR(IF(C30&gt;0, FILTER('VPLData(raw)'!E:E,'VPLData(raw)'!B:B=504,'VPLData(raw)'!A:A=A30), 0),0)"),"0")</f>
        <v>0</v>
      </c>
      <c r="E30" t="str">
        <f ca="1">IFERROR(__xludf.DUMMYFUNCTION("IFERROR(FILTER('VPLData(raw)'!F:F,'VPLData(raw)'!B:B=504,'VPLData(raw)'!A:A=A30),0)"),"0")</f>
        <v>0</v>
      </c>
      <c r="F30" t="str">
        <f ca="1">IFERROR(__xludf.DUMMYFUNCTION("IFERROR(FILTER('VPLData(raw)'!C:C,'VPLData(raw)'!B:B=454,'VPLData(raw)'!A:A=A30),0)"),"1491494022")</f>
        <v>1491494022</v>
      </c>
      <c r="G30" t="str">
        <f ca="1">IFERROR(__xludf.DUMMYFUNCTION("IFERROR(IF(F30&gt;0, FILTER('VPLData(raw)'!E:E,'VPLData(raw)'!B:B=454,'VPLData(raw)'!A:A=A30), 0),0)"),"10")</f>
        <v>10</v>
      </c>
      <c r="H30" t="str">
        <f ca="1">IFERROR(__xludf.DUMMYFUNCTION("IFERROR(FILTER('VPLData(raw)'!F:F,'VPLData(raw)'!B:B=454,'VPLData(raw)'!A:A=A30),0)"),"303")</f>
        <v>303</v>
      </c>
      <c r="I30" t="str">
        <f ca="1">IFERROR(__xludf.DUMMYFUNCTION("IFERROR(FILTER('VPLData(raw)'!C:C,'VPLData(raw)'!B:B=457,'VPLData(raw)'!A:A=A30),0)"),"1492457134")</f>
        <v>1492457134</v>
      </c>
      <c r="J30" t="str">
        <f ca="1">IFERROR(__xludf.DUMMYFUNCTION("IFERROR(IF(I30&gt;0, FILTER('VPLData(raw)'!E:E,'VPLData(raw)'!B:B=457,'VPLData(raw)'!A:A=A30), 0),0)"),"10")</f>
        <v>10</v>
      </c>
      <c r="K30" t="str">
        <f ca="1">IFERROR(__xludf.DUMMYFUNCTION("IFERROR(FILTER('VPLData(raw)'!F:F,'VPLData(raw)'!B:B=457,'VPLData(raw)'!A:A=A30),0)"),"12373")</f>
        <v>12373</v>
      </c>
      <c r="L30" t="str">
        <f ca="1">IFERROR(__xludf.DUMMYFUNCTION("IFERROR(FILTER('VPLData(raw)'!C:C,'VPLData(raw)'!B:B=534,'VPLData(raw)'!A:A=A30),0)"),"0")</f>
        <v>0</v>
      </c>
      <c r="M30" t="str">
        <f ca="1">IFERROR(__xludf.DUMMYFUNCTION("IFERROR(IF(L30&gt;0, FILTER('VPLData(raw)'!E:E,'VPLData(raw)'!B:B=534,'VPLData(raw)'!A:A=A30), 0),0)"),"0")</f>
        <v>0</v>
      </c>
      <c r="N30" t="str">
        <f ca="1">IFERROR(__xludf.DUMMYFUNCTION("IFERROR(FILTER('VPLData(raw)'!F:F,'VPLData(raw)'!B:B=534,'VPLData(raw)'!A:A=A30),0)"),"0")</f>
        <v>0</v>
      </c>
      <c r="O30" t="str">
        <f ca="1">IFERROR(__xludf.DUMMYFUNCTION("IFERROR(FILTER('VPLData(raw)'!C:C,'VPLData(raw)'!B:B=498,'VPLData(raw)'!A:A=A30),0)"),"1492708689")</f>
        <v>1492708689</v>
      </c>
      <c r="P30" t="str">
        <f ca="1">IFERROR(__xludf.DUMMYFUNCTION("IFERROR(IF(O30&gt;0, FILTER('VPLData(raw)'!E:E,'VPLData(raw)'!B:B=498,'VPLData(raw)'!A:A=A30), 0),0)"),"10")</f>
        <v>10</v>
      </c>
      <c r="Q30" t="str">
        <f ca="1">IFERROR(__xludf.DUMMYFUNCTION("IFERROR(FILTER('VPLData(raw)'!F:F,'VPLData(raw)'!B:B=498,'VPLData(raw)'!A:A=A30),0)"),"783")</f>
        <v>783</v>
      </c>
      <c r="R30" t="str">
        <f ca="1">IFERROR(__xludf.DUMMYFUNCTION("IFERROR(FILTER('VPLData(raw)'!C:C,'VPLData(raw)'!B:B=515,'VPLData(raw)'!A:A=A30),0)"),"1492710173")</f>
        <v>1492710173</v>
      </c>
      <c r="S30" t="str">
        <f ca="1">IFERROR(__xludf.DUMMYFUNCTION("IFERROR(IF(R30&gt;0, FILTER('VPLData(raw)'!E:E,'VPLData(raw)'!B:B=515,'VPLData(raw)'!A:A=A30), 0),0)"),"10")</f>
        <v>10</v>
      </c>
      <c r="T30" t="str">
        <f ca="1">IFERROR(__xludf.DUMMYFUNCTION("IFERROR(FILTER('VPLData(raw)'!F:F,'VPLData(raw)'!B:B=515,'VPLData(raw)'!A:A=A30),0)"),"691")</f>
        <v>691</v>
      </c>
      <c r="U30" t="str">
        <f ca="1">IFERROR(__xludf.DUMMYFUNCTION("IFERROR(FILTER('VPLData(raw)'!C:C,'VPLData(raw)'!B:B=528,'VPLData(raw)'!A:A=A30),0)"),"0")</f>
        <v>0</v>
      </c>
      <c r="V30" t="str">
        <f ca="1">IFERROR(__xludf.DUMMYFUNCTION("IFERROR(IF(U30&gt;0, FILTER('VPLData(raw)'!E:E,'VPLData(raw)'!B:B=528,'VPLData(raw)'!A:A=A30), 0),0)"),"0")</f>
        <v>0</v>
      </c>
      <c r="W30" t="str">
        <f ca="1">IFERROR(__xludf.DUMMYFUNCTION("IFERROR(FILTER('VPLData(raw)'!F:F,'VPLData(raw)'!B:B=528,'VPLData(raw)'!A:A=A30),0)"),"0")</f>
        <v>0</v>
      </c>
      <c r="X30" t="str">
        <f ca="1">IFERROR(__xludf.DUMMYFUNCTION("IFERROR(FILTER('VPLData(raw)'!C:C,'VPLData(raw)'!B:B=524,'VPLData(raw)'!A:A=A30),0)"),"0")</f>
        <v>0</v>
      </c>
      <c r="Y30" t="str">
        <f ca="1">IFERROR(__xludf.DUMMYFUNCTION("IFERROR(IF(X30&gt;0, FILTER('VPLData(raw)'!E:E,'VPLData(raw)'!B:B=524,'VPLData(raw)'!A:A=A30), 0),0)"),"0")</f>
        <v>0</v>
      </c>
      <c r="Z30" t="str">
        <f ca="1">IFERROR(__xludf.DUMMYFUNCTION("IFERROR(FILTER('VPLData(raw)'!F:F,'VPLData(raw)'!B:B=524,'VPLData(raw)'!A:A=A30),0)"),"0")</f>
        <v>0</v>
      </c>
      <c r="AA30" t="str">
        <f ca="1">IFERROR(__xludf.DUMMYFUNCTION("IFERROR(FILTER('VPLData(raw)'!C:C,'VPLData(raw)'!B:B=478,'VPLData(raw)'!A:A=A30),0)"),"0")</f>
        <v>0</v>
      </c>
      <c r="AB30" t="str">
        <f ca="1">IFERROR(__xludf.DUMMYFUNCTION("IFERROR(IF(AA30&gt;0, FILTER('VPLData(raw)'!E:E,'VPLData(raw)'!B:B=478,'VPLData(raw)'!A:A=A30), 0),0)"),"0")</f>
        <v>0</v>
      </c>
      <c r="AC30" t="str">
        <f ca="1">IFERROR(__xludf.DUMMYFUNCTION("IFERROR(FILTER('VPLData(raw)'!F:F,'VPLData(raw)'!B:B=478,'VPLData(raw)'!A:A=A30),0)"),"0")</f>
        <v>0</v>
      </c>
      <c r="AD30" t="str">
        <f ca="1">IFERROR(__xludf.DUMMYFUNCTION("IFERROR(FILTER('VPLData(raw)'!C:C,'VPLData(raw)'!B:B=542,'VPLData(raw)'!A:A=A30),0)"),"1499386320")</f>
        <v>1499386320</v>
      </c>
      <c r="AE30" t="str">
        <f ca="1">IFERROR(__xludf.DUMMYFUNCTION("IFERROR(IF(AD30&gt;0, FILTER('VPLData(raw)'!E:E,'VPLData(raw)'!B:B=542,'VPLData(raw)'!A:A=A30), 0),0)"),"10")</f>
        <v>10</v>
      </c>
      <c r="AF30" t="str">
        <f ca="1">IFERROR(__xludf.DUMMYFUNCTION("IFERROR(FILTER('VPLData(raw)'!F:F,'VPLData(raw)'!B:B=542,'VPLData(raw)'!A:A=A30),0)"),"440")</f>
        <v>440</v>
      </c>
      <c r="AG30" t="str">
        <f ca="1">IFERROR(__xludf.DUMMYFUNCTION("IFERROR(FILTER('VPLData(raw)'!C:C,'VPLData(raw)'!B:B=544,'VPLData(raw)'!A:A=A30),0)"),"0")</f>
        <v>0</v>
      </c>
      <c r="AH30" t="str">
        <f ca="1">IFERROR(__xludf.DUMMYFUNCTION("IFERROR(IF(AG30&gt;0, FILTER('VPLData(raw)'!E:E,'VPLData(raw)'!B:B=544,'VPLData(raw)'!A:A=A30), 0),0)"),"0")</f>
        <v>0</v>
      </c>
      <c r="AI30" t="str">
        <f ca="1">IFERROR(__xludf.DUMMYFUNCTION("IFERROR(FILTER('VPLData(raw)'!F:F,'VPLData(raw)'!B:B=544,'VPLData(raw)'!A:A=A30),0)"),"0")</f>
        <v>0</v>
      </c>
      <c r="AJ30" t="str">
        <f ca="1">IFERROR(__xludf.DUMMYFUNCTION("IFERROR(FILTER('VPLData(raw)'!C:C,'VPLData(raw)'!B:B=545,'VPLData(raw)'!A:A=A30),0)"),"1499477704")</f>
        <v>1499477704</v>
      </c>
      <c r="AK30" t="str">
        <f ca="1">IFERROR(__xludf.DUMMYFUNCTION("IFERROR(IF(AJ30&gt;0, FILTER('VPLData(raw)'!E:E,'VPLData(raw)'!B:B=545,'VPLData(raw)'!A:A=A30), 0),0)"),"10")</f>
        <v>10</v>
      </c>
      <c r="AL30" t="str">
        <f ca="1">IFERROR(__xludf.DUMMYFUNCTION("IFERROR(FILTER('VPLData(raw)'!F:F,'VPLData(raw)'!B:B=545,'VPLData(raw)'!A:A=A30),0)"),"1330")</f>
        <v>1330</v>
      </c>
    </row>
    <row r="31" spans="1:39" ht="15.75" customHeight="1" x14ac:dyDescent="0.15">
      <c r="A31" s="2">
        <v>10193</v>
      </c>
      <c r="B31" s="2">
        <v>10276762</v>
      </c>
      <c r="C31" t="str">
        <f ca="1">IFERROR(__xludf.DUMMYFUNCTION("IFERROR(FILTER('VPLData(raw)'!C:C,'VPLData(raw)'!B:B=504,'VPLData(raw)'!A:A=A31),0)"),"1490915569")</f>
        <v>1490915569</v>
      </c>
      <c r="D31" s="3" t="str">
        <f ca="1">IFERROR(__xludf.DUMMYFUNCTION("IFERROR(IF(C31&gt;0, FILTER('VPLData(raw)'!E:E,'VPLData(raw)'!B:B=504,'VPLData(raw)'!A:A=A31), 0),0)"),"10")</f>
        <v>10</v>
      </c>
      <c r="E31" t="str">
        <f ca="1">IFERROR(__xludf.DUMMYFUNCTION("IFERROR(FILTER('VPLData(raw)'!F:F,'VPLData(raw)'!B:B=504,'VPLData(raw)'!A:A=A31),0)"),"668")</f>
        <v>668</v>
      </c>
      <c r="F31" t="str">
        <f ca="1">IFERROR(__xludf.DUMMYFUNCTION("IFERROR(FILTER('VPLData(raw)'!C:C,'VPLData(raw)'!B:B=454,'VPLData(raw)'!A:A=A31),0)"),"1491407909")</f>
        <v>1491407909</v>
      </c>
      <c r="G31" t="str">
        <f ca="1">IFERROR(__xludf.DUMMYFUNCTION("IFERROR(IF(F31&gt;0, FILTER('VPLData(raw)'!E:E,'VPLData(raw)'!B:B=454,'VPLData(raw)'!A:A=A31), 0),0)"),"10")</f>
        <v>10</v>
      </c>
      <c r="H31" t="str">
        <f ca="1">IFERROR(__xludf.DUMMYFUNCTION("IFERROR(FILTER('VPLData(raw)'!F:F,'VPLData(raw)'!B:B=454,'VPLData(raw)'!A:A=A31),0)"),"720")</f>
        <v>720</v>
      </c>
      <c r="I31" t="str">
        <f ca="1">IFERROR(__xludf.DUMMYFUNCTION("IFERROR(FILTER('VPLData(raw)'!C:C,'VPLData(raw)'!B:B=457,'VPLData(raw)'!A:A=A31),0)"),"1491678056")</f>
        <v>1491678056</v>
      </c>
      <c r="J31" t="str">
        <f ca="1">IFERROR(__xludf.DUMMYFUNCTION("IFERROR(IF(I31&gt;0, FILTER('VPLData(raw)'!E:E,'VPLData(raw)'!B:B=457,'VPLData(raw)'!A:A=A31), 0),0)"),"10")</f>
        <v>10</v>
      </c>
      <c r="K31" t="str">
        <f ca="1">IFERROR(__xludf.DUMMYFUNCTION("IFERROR(FILTER('VPLData(raw)'!F:F,'VPLData(raw)'!B:B=457,'VPLData(raw)'!A:A=A31),0)"),"602")</f>
        <v>602</v>
      </c>
      <c r="L31" t="str">
        <f ca="1">IFERROR(__xludf.DUMMYFUNCTION("IFERROR(FILTER('VPLData(raw)'!C:C,'VPLData(raw)'!B:B=534,'VPLData(raw)'!A:A=A31),0)"),"0")</f>
        <v>0</v>
      </c>
      <c r="M31" t="str">
        <f ca="1">IFERROR(__xludf.DUMMYFUNCTION("IFERROR(IF(L31&gt;0, FILTER('VPLData(raw)'!E:E,'VPLData(raw)'!B:B=534,'VPLData(raw)'!A:A=A31), 0),0)"),"0")</f>
        <v>0</v>
      </c>
      <c r="N31" t="str">
        <f ca="1">IFERROR(__xludf.DUMMYFUNCTION("IFERROR(FILTER('VPLData(raw)'!F:F,'VPLData(raw)'!B:B=534,'VPLData(raw)'!A:A=A31),0)"),"0")</f>
        <v>0</v>
      </c>
      <c r="O31" t="str">
        <f ca="1">IFERROR(__xludf.DUMMYFUNCTION("IFERROR(FILTER('VPLData(raw)'!C:C,'VPLData(raw)'!B:B=498,'VPLData(raw)'!A:A=A31),0)"),"1492479717")</f>
        <v>1492479717</v>
      </c>
      <c r="P31" t="str">
        <f ca="1">IFERROR(__xludf.DUMMYFUNCTION("IFERROR(IF(O31&gt;0, FILTER('VPLData(raw)'!E:E,'VPLData(raw)'!B:B=498,'VPLData(raw)'!A:A=A31), 0),0)"),"10")</f>
        <v>10</v>
      </c>
      <c r="Q31" t="str">
        <f ca="1">IFERROR(__xludf.DUMMYFUNCTION("IFERROR(FILTER('VPLData(raw)'!F:F,'VPLData(raw)'!B:B=498,'VPLData(raw)'!A:A=A31),0)"),"340")</f>
        <v>340</v>
      </c>
      <c r="R31" t="str">
        <f ca="1">IFERROR(__xludf.DUMMYFUNCTION("IFERROR(FILTER('VPLData(raw)'!C:C,'VPLData(raw)'!B:B=515,'VPLData(raw)'!A:A=A31),0)"),"1492617180")</f>
        <v>1492617180</v>
      </c>
      <c r="S31" t="str">
        <f ca="1">IFERROR(__xludf.DUMMYFUNCTION("IFERROR(IF(R31&gt;0, FILTER('VPLData(raw)'!E:E,'VPLData(raw)'!B:B=515,'VPLData(raw)'!A:A=A31), 0),0)"),"10")</f>
        <v>10</v>
      </c>
      <c r="T31" t="str">
        <f ca="1">IFERROR(__xludf.DUMMYFUNCTION("IFERROR(FILTER('VPLData(raw)'!F:F,'VPLData(raw)'!B:B=515,'VPLData(raw)'!A:A=A31),0)"),"2338")</f>
        <v>2338</v>
      </c>
      <c r="U31" t="str">
        <f ca="1">IFERROR(__xludf.DUMMYFUNCTION("IFERROR(FILTER('VPLData(raw)'!C:C,'VPLData(raw)'!B:B=528,'VPLData(raw)'!A:A=A31),0)"),"1494723576")</f>
        <v>1494723576</v>
      </c>
      <c r="V31" t="str">
        <f ca="1">IFERROR(__xludf.DUMMYFUNCTION("IFERROR(IF(U31&gt;0, FILTER('VPLData(raw)'!E:E,'VPLData(raw)'!B:B=528,'VPLData(raw)'!A:A=A31), 0),0)"),"10")</f>
        <v>10</v>
      </c>
      <c r="W31" t="str">
        <f ca="1">IFERROR(__xludf.DUMMYFUNCTION("IFERROR(FILTER('VPLData(raw)'!F:F,'VPLData(raw)'!B:B=528,'VPLData(raw)'!A:A=A31),0)"),"680")</f>
        <v>680</v>
      </c>
      <c r="X31" t="str">
        <f ca="1">IFERROR(__xludf.DUMMYFUNCTION("IFERROR(FILTER('VPLData(raw)'!C:C,'VPLData(raw)'!B:B=524,'VPLData(raw)'!A:A=A31),0)"),"1494724729")</f>
        <v>1494724729</v>
      </c>
      <c r="Y31" t="str">
        <f ca="1">IFERROR(__xludf.DUMMYFUNCTION("IFERROR(IF(X31&gt;0, FILTER('VPLData(raw)'!E:E,'VPLData(raw)'!B:B=524,'VPLData(raw)'!A:A=A31), 0),0)"),"10")</f>
        <v>10</v>
      </c>
      <c r="Z31" t="str">
        <f ca="1">IFERROR(__xludf.DUMMYFUNCTION("IFERROR(FILTER('VPLData(raw)'!F:F,'VPLData(raw)'!B:B=524,'VPLData(raw)'!A:A=A31),0)"),"767")</f>
        <v>767</v>
      </c>
      <c r="AA31" t="str">
        <f ca="1">IFERROR(__xludf.DUMMYFUNCTION("IFERROR(FILTER('VPLData(raw)'!C:C,'VPLData(raw)'!B:B=478,'VPLData(raw)'!A:A=A31),0)"),"1494725881")</f>
        <v>1494725881</v>
      </c>
      <c r="AB31" t="str">
        <f ca="1">IFERROR(__xludf.DUMMYFUNCTION("IFERROR(IF(AA31&gt;0, FILTER('VPLData(raw)'!E:E,'VPLData(raw)'!B:B=478,'VPLData(raw)'!A:A=A31), 0),0)"),"10")</f>
        <v>10</v>
      </c>
      <c r="AC31" t="str">
        <f ca="1">IFERROR(__xludf.DUMMYFUNCTION("IFERROR(FILTER('VPLData(raw)'!F:F,'VPLData(raw)'!B:B=478,'VPLData(raw)'!A:A=A31),0)"),"3544")</f>
        <v>3544</v>
      </c>
      <c r="AD31" t="str">
        <f ca="1">IFERROR(__xludf.DUMMYFUNCTION("IFERROR(FILTER('VPLData(raw)'!C:C,'VPLData(raw)'!B:B=542,'VPLData(raw)'!A:A=A31),0)"),"1499397098")</f>
        <v>1499397098</v>
      </c>
      <c r="AE31" t="str">
        <f ca="1">IFERROR(__xludf.DUMMYFUNCTION("IFERROR(IF(AD31&gt;0, FILTER('VPLData(raw)'!E:E,'VPLData(raw)'!B:B=542,'VPLData(raw)'!A:A=A31), 0),0)"),"10")</f>
        <v>10</v>
      </c>
      <c r="AF31" t="str">
        <f ca="1">IFERROR(__xludf.DUMMYFUNCTION("IFERROR(FILTER('VPLData(raw)'!F:F,'VPLData(raw)'!B:B=542,'VPLData(raw)'!A:A=A31),0)"),"1182")</f>
        <v>1182</v>
      </c>
      <c r="AG31" t="str">
        <f ca="1">IFERROR(__xludf.DUMMYFUNCTION("IFERROR(FILTER('VPLData(raw)'!C:C,'VPLData(raw)'!B:B=544,'VPLData(raw)'!A:A=A31),0)"),"1499404115")</f>
        <v>1499404115</v>
      </c>
      <c r="AH31" t="str">
        <f ca="1">IFERROR(__xludf.DUMMYFUNCTION("IFERROR(IF(AG31&gt;0, FILTER('VPLData(raw)'!E:E,'VPLData(raw)'!B:B=544,'VPLData(raw)'!A:A=A31), 0),0)"),"10")</f>
        <v>10</v>
      </c>
      <c r="AI31" t="str">
        <f ca="1">IFERROR(__xludf.DUMMYFUNCTION("IFERROR(FILTER('VPLData(raw)'!F:F,'VPLData(raw)'!B:B=544,'VPLData(raw)'!A:A=A31),0)"),"4282")</f>
        <v>4282</v>
      </c>
      <c r="AJ31" t="str">
        <f ca="1">IFERROR(__xludf.DUMMYFUNCTION("IFERROR(FILTER('VPLData(raw)'!C:C,'VPLData(raw)'!B:B=545,'VPLData(raw)'!A:A=A31),0)"),"1499392111")</f>
        <v>1499392111</v>
      </c>
      <c r="AK31" t="str">
        <f ca="1">IFERROR(__xludf.DUMMYFUNCTION("IFERROR(IF(AJ31&gt;0, FILTER('VPLData(raw)'!E:E,'VPLData(raw)'!B:B=545,'VPLData(raw)'!A:A=A31), 0),0)"),"")</f>
        <v/>
      </c>
      <c r="AL31" t="str">
        <f ca="1">IFERROR(__xludf.DUMMYFUNCTION("IFERROR(FILTER('VPLData(raw)'!F:F,'VPLData(raw)'!B:B=545,'VPLData(raw)'!A:A=A31),0)"),"10110")</f>
        <v>10110</v>
      </c>
    </row>
    <row r="32" spans="1:39" ht="15.75" customHeight="1" x14ac:dyDescent="0.15">
      <c r="A32" s="2">
        <v>10219</v>
      </c>
      <c r="B32" s="2">
        <v>10276831</v>
      </c>
      <c r="C32" t="str">
        <f ca="1">IFERROR(__xludf.DUMMYFUNCTION("IFERROR(FILTER('VPLData(raw)'!C:C,'VPLData(raw)'!B:B=504,'VPLData(raw)'!A:A=A32),0)"),"1490912558")</f>
        <v>1490912558</v>
      </c>
      <c r="D32" s="3" t="str">
        <f ca="1">IFERROR(__xludf.DUMMYFUNCTION("IFERROR(IF(C32&gt;0, FILTER('VPLData(raw)'!E:E,'VPLData(raw)'!B:B=504,'VPLData(raw)'!A:A=A32), 0),0)"),"")</f>
        <v/>
      </c>
      <c r="E32" t="str">
        <f ca="1">IFERROR(__xludf.DUMMYFUNCTION("IFERROR(FILTER('VPLData(raw)'!F:F,'VPLData(raw)'!B:B=504,'VPLData(raw)'!A:A=A32),0)"),"495")</f>
        <v>495</v>
      </c>
      <c r="F32" t="str">
        <f ca="1">IFERROR(__xludf.DUMMYFUNCTION("IFERROR(FILTER('VPLData(raw)'!C:C,'VPLData(raw)'!B:B=454,'VPLData(raw)'!A:A=A32),0)"),"0")</f>
        <v>0</v>
      </c>
      <c r="G32" t="str">
        <f ca="1">IFERROR(__xludf.DUMMYFUNCTION("IFERROR(IF(F32&gt;0, FILTER('VPLData(raw)'!E:E,'VPLData(raw)'!B:B=454,'VPLData(raw)'!A:A=A32), 0),0)"),"0")</f>
        <v>0</v>
      </c>
      <c r="H32" t="str">
        <f ca="1">IFERROR(__xludf.DUMMYFUNCTION("IFERROR(FILTER('VPLData(raw)'!F:F,'VPLData(raw)'!B:B=454,'VPLData(raw)'!A:A=A32),0)"),"0")</f>
        <v>0</v>
      </c>
      <c r="I32" t="str">
        <f ca="1">IFERROR(__xludf.DUMMYFUNCTION("IFERROR(FILTER('VPLData(raw)'!C:C,'VPLData(raw)'!B:B=457,'VPLData(raw)'!A:A=A32),0)"),"1492460913")</f>
        <v>1492460913</v>
      </c>
      <c r="J32" t="str">
        <f ca="1">IFERROR(__xludf.DUMMYFUNCTION("IFERROR(IF(I32&gt;0, FILTER('VPLData(raw)'!E:E,'VPLData(raw)'!B:B=457,'VPLData(raw)'!A:A=A32), 0),0)"),"")</f>
        <v/>
      </c>
      <c r="K32" t="str">
        <f ca="1">IFERROR(__xludf.DUMMYFUNCTION("IFERROR(FILTER('VPLData(raw)'!F:F,'VPLData(raw)'!B:B=457,'VPLData(raw)'!A:A=A32),0)"),"1865")</f>
        <v>1865</v>
      </c>
      <c r="L32" t="str">
        <f ca="1">IFERROR(__xludf.DUMMYFUNCTION("IFERROR(FILTER('VPLData(raw)'!C:C,'VPLData(raw)'!B:B=534,'VPLData(raw)'!A:A=A32),0)"),"1495644508")</f>
        <v>1495644508</v>
      </c>
      <c r="M32" t="str">
        <f ca="1">IFERROR(__xludf.DUMMYFUNCTION("IFERROR(IF(L32&gt;0, FILTER('VPLData(raw)'!E:E,'VPLData(raw)'!B:B=534,'VPLData(raw)'!A:A=A32), 0),0)"),"")</f>
        <v/>
      </c>
      <c r="N32" t="str">
        <f ca="1">IFERROR(__xludf.DUMMYFUNCTION("IFERROR(FILTER('VPLData(raw)'!F:F,'VPLData(raw)'!B:B=534,'VPLData(raw)'!A:A=A32),0)"),"1964")</f>
        <v>1964</v>
      </c>
      <c r="O32" t="str">
        <f ca="1">IFERROR(__xludf.DUMMYFUNCTION("IFERROR(FILTER('VPLData(raw)'!C:C,'VPLData(raw)'!B:B=498,'VPLData(raw)'!A:A=A32),0)"),"1494887818")</f>
        <v>1494887818</v>
      </c>
      <c r="P32" t="str">
        <f ca="1">IFERROR(__xludf.DUMMYFUNCTION("IFERROR(IF(O32&gt;0, FILTER('VPLData(raw)'!E:E,'VPLData(raw)'!B:B=498,'VPLData(raw)'!A:A=A32), 0),0)"),"10")</f>
        <v>10</v>
      </c>
      <c r="Q32" t="str">
        <f ca="1">IFERROR(__xludf.DUMMYFUNCTION("IFERROR(FILTER('VPLData(raw)'!F:F,'VPLData(raw)'!B:B=498,'VPLData(raw)'!A:A=A32),0)"),"1387")</f>
        <v>1387</v>
      </c>
      <c r="R32" t="str">
        <f ca="1">IFERROR(__xludf.DUMMYFUNCTION("IFERROR(FILTER('VPLData(raw)'!C:C,'VPLData(raw)'!B:B=515,'VPLData(raw)'!A:A=A32),0)"),"1499187134")</f>
        <v>1499187134</v>
      </c>
      <c r="S32" t="str">
        <f ca="1">IFERROR(__xludf.DUMMYFUNCTION("IFERROR(IF(R32&gt;0, FILTER('VPLData(raw)'!E:E,'VPLData(raw)'!B:B=515,'VPLData(raw)'!A:A=A32), 0),0)"),"10")</f>
        <v>10</v>
      </c>
      <c r="T32" t="str">
        <f ca="1">IFERROR(__xludf.DUMMYFUNCTION("IFERROR(FILTER('VPLData(raw)'!F:F,'VPLData(raw)'!B:B=515,'VPLData(raw)'!A:A=A32),0)"),"1349")</f>
        <v>1349</v>
      </c>
      <c r="U32" t="str">
        <f ca="1">IFERROR(__xludf.DUMMYFUNCTION("IFERROR(FILTER('VPLData(raw)'!C:C,'VPLData(raw)'!B:B=528,'VPLData(raw)'!A:A=A32),0)"),"1497192943")</f>
        <v>1497192943</v>
      </c>
      <c r="V32" t="str">
        <f ca="1">IFERROR(__xludf.DUMMYFUNCTION("IFERROR(IF(U32&gt;0, FILTER('VPLData(raw)'!E:E,'VPLData(raw)'!B:B=528,'VPLData(raw)'!A:A=A32), 0),0)"),"10")</f>
        <v>10</v>
      </c>
      <c r="W32" t="str">
        <f ca="1">IFERROR(__xludf.DUMMYFUNCTION("IFERROR(FILTER('VPLData(raw)'!F:F,'VPLData(raw)'!B:B=528,'VPLData(raw)'!A:A=A32),0)"),"580")</f>
        <v>580</v>
      </c>
      <c r="X32" t="str">
        <f ca="1">IFERROR(__xludf.DUMMYFUNCTION("IFERROR(FILTER('VPLData(raw)'!C:C,'VPLData(raw)'!B:B=524,'VPLData(raw)'!A:A=A32),0)"),"1497193659")</f>
        <v>1497193659</v>
      </c>
      <c r="Y32" t="str">
        <f ca="1">IFERROR(__xludf.DUMMYFUNCTION("IFERROR(IF(X32&gt;0, FILTER('VPLData(raw)'!E:E,'VPLData(raw)'!B:B=524,'VPLData(raw)'!A:A=A32), 0),0)"),"10")</f>
        <v>10</v>
      </c>
      <c r="Z32" t="str">
        <f ca="1">IFERROR(__xludf.DUMMYFUNCTION("IFERROR(FILTER('VPLData(raw)'!F:F,'VPLData(raw)'!B:B=524,'VPLData(raw)'!A:A=A32),0)"),"217")</f>
        <v>217</v>
      </c>
      <c r="AA32" t="str">
        <f ca="1">IFERROR(__xludf.DUMMYFUNCTION("IFERROR(FILTER('VPLData(raw)'!C:C,'VPLData(raw)'!B:B=478,'VPLData(raw)'!A:A=A32),0)"),"1497194008")</f>
        <v>1497194008</v>
      </c>
      <c r="AB32" t="str">
        <f ca="1">IFERROR(__xludf.DUMMYFUNCTION("IFERROR(IF(AA32&gt;0, FILTER('VPLData(raw)'!E:E,'VPLData(raw)'!B:B=478,'VPLData(raw)'!A:A=A32), 0),0)"),"10")</f>
        <v>10</v>
      </c>
      <c r="AC32" t="str">
        <f ca="1">IFERROR(__xludf.DUMMYFUNCTION("IFERROR(FILTER('VPLData(raw)'!F:F,'VPLData(raw)'!B:B=478,'VPLData(raw)'!A:A=A32),0)"),"458")</f>
        <v>458</v>
      </c>
      <c r="AD32" t="str">
        <f ca="1">IFERROR(__xludf.DUMMYFUNCTION("IFERROR(FILTER('VPLData(raw)'!C:C,'VPLData(raw)'!B:B=542,'VPLData(raw)'!A:A=A32),0)"),"1499182995")</f>
        <v>1499182995</v>
      </c>
      <c r="AE32" t="str">
        <f ca="1">IFERROR(__xludf.DUMMYFUNCTION("IFERROR(IF(AD32&gt;0, FILTER('VPLData(raw)'!E:E,'VPLData(raw)'!B:B=542,'VPLData(raw)'!A:A=A32), 0),0)"),"10")</f>
        <v>10</v>
      </c>
      <c r="AF32" t="str">
        <f ca="1">IFERROR(__xludf.DUMMYFUNCTION("IFERROR(FILTER('VPLData(raw)'!F:F,'VPLData(raw)'!B:B=542,'VPLData(raw)'!A:A=A32),0)"),"1049")</f>
        <v>1049</v>
      </c>
      <c r="AG32" t="str">
        <f ca="1">IFERROR(__xludf.DUMMYFUNCTION("IFERROR(FILTER('VPLData(raw)'!C:C,'VPLData(raw)'!B:B=544,'VPLData(raw)'!A:A=A32),0)"),"0")</f>
        <v>0</v>
      </c>
      <c r="AH32" t="str">
        <f ca="1">IFERROR(__xludf.DUMMYFUNCTION("IFERROR(IF(AG32&gt;0, FILTER('VPLData(raw)'!E:E,'VPLData(raw)'!B:B=544,'VPLData(raw)'!A:A=A32), 0),0)"),"0")</f>
        <v>0</v>
      </c>
      <c r="AI32" t="str">
        <f ca="1">IFERROR(__xludf.DUMMYFUNCTION("IFERROR(FILTER('VPLData(raw)'!F:F,'VPLData(raw)'!B:B=544,'VPLData(raw)'!A:A=A32),0)"),"0")</f>
        <v>0</v>
      </c>
      <c r="AJ32" t="str">
        <f ca="1">IFERROR(__xludf.DUMMYFUNCTION("IFERROR(FILTER('VPLData(raw)'!C:C,'VPLData(raw)'!B:B=545,'VPLData(raw)'!A:A=A32),0)"),"0")</f>
        <v>0</v>
      </c>
      <c r="AK32" t="str">
        <f ca="1">IFERROR(__xludf.DUMMYFUNCTION("IFERROR(IF(AJ32&gt;0, FILTER('VPLData(raw)'!E:E,'VPLData(raw)'!B:B=545,'VPLData(raw)'!A:A=A32), 0),0)"),"0")</f>
        <v>0</v>
      </c>
      <c r="AL32" t="str">
        <f ca="1">IFERROR(__xludf.DUMMYFUNCTION("IFERROR(FILTER('VPLData(raw)'!F:F,'VPLData(raw)'!B:B=545,'VPLData(raw)'!A:A=A32),0)"),"0")</f>
        <v>0</v>
      </c>
    </row>
    <row r="33" spans="1:38" ht="15.75" customHeight="1" x14ac:dyDescent="0.15">
      <c r="A33" s="2">
        <v>10174</v>
      </c>
      <c r="B33" s="2">
        <v>10276852</v>
      </c>
      <c r="C33" t="str">
        <f ca="1">IFERROR(__xludf.DUMMYFUNCTION("IFERROR(FILTER('VPLData(raw)'!C:C,'VPLData(raw)'!B:B=504,'VPLData(raw)'!A:A=A33),0)"),"0")</f>
        <v>0</v>
      </c>
      <c r="D33" s="3" t="str">
        <f ca="1">IFERROR(__xludf.DUMMYFUNCTION("IFERROR(IF(C33&gt;0, FILTER('VPLData(raw)'!E:E,'VPLData(raw)'!B:B=504,'VPLData(raw)'!A:A=A33), 0),0)"),"0")</f>
        <v>0</v>
      </c>
      <c r="E33" t="str">
        <f ca="1">IFERROR(__xludf.DUMMYFUNCTION("IFERROR(FILTER('VPLData(raw)'!F:F,'VPLData(raw)'!B:B=504,'VPLData(raw)'!A:A=A33),0)"),"0")</f>
        <v>0</v>
      </c>
      <c r="F33" t="str">
        <f ca="1">IFERROR(__xludf.DUMMYFUNCTION("IFERROR(FILTER('VPLData(raw)'!C:C,'VPLData(raw)'!B:B=454,'VPLData(raw)'!A:A=A33),0)"),"0")</f>
        <v>0</v>
      </c>
      <c r="G33" t="str">
        <f ca="1">IFERROR(__xludf.DUMMYFUNCTION("IFERROR(IF(F33&gt;0, FILTER('VPLData(raw)'!E:E,'VPLData(raw)'!B:B=454,'VPLData(raw)'!A:A=A33), 0),0)"),"0")</f>
        <v>0</v>
      </c>
      <c r="H33" t="str">
        <f ca="1">IFERROR(__xludf.DUMMYFUNCTION("IFERROR(FILTER('VPLData(raw)'!F:F,'VPLData(raw)'!B:B=454,'VPLData(raw)'!A:A=A33),0)"),"0")</f>
        <v>0</v>
      </c>
      <c r="I33" t="str">
        <f ca="1">IFERROR(__xludf.DUMMYFUNCTION("IFERROR(FILTER('VPLData(raw)'!C:C,'VPLData(raw)'!B:B=457,'VPLData(raw)'!A:A=A33),0)"),"0")</f>
        <v>0</v>
      </c>
      <c r="J33" t="str">
        <f ca="1">IFERROR(__xludf.DUMMYFUNCTION("IFERROR(IF(I33&gt;0, FILTER('VPLData(raw)'!E:E,'VPLData(raw)'!B:B=457,'VPLData(raw)'!A:A=A33), 0),0)"),"0")</f>
        <v>0</v>
      </c>
      <c r="K33" t="str">
        <f ca="1">IFERROR(__xludf.DUMMYFUNCTION("IFERROR(FILTER('VPLData(raw)'!F:F,'VPLData(raw)'!B:B=457,'VPLData(raw)'!A:A=A33),0)"),"0")</f>
        <v>0</v>
      </c>
      <c r="L33" t="str">
        <f ca="1">IFERROR(__xludf.DUMMYFUNCTION("IFERROR(FILTER('VPLData(raw)'!C:C,'VPLData(raw)'!B:B=534,'VPLData(raw)'!A:A=A33),0)"),"0")</f>
        <v>0</v>
      </c>
      <c r="M33" t="str">
        <f ca="1">IFERROR(__xludf.DUMMYFUNCTION("IFERROR(IF(L33&gt;0, FILTER('VPLData(raw)'!E:E,'VPLData(raw)'!B:B=534,'VPLData(raw)'!A:A=A33), 0),0)"),"0")</f>
        <v>0</v>
      </c>
      <c r="N33" t="str">
        <f ca="1">IFERROR(__xludf.DUMMYFUNCTION("IFERROR(FILTER('VPLData(raw)'!F:F,'VPLData(raw)'!B:B=534,'VPLData(raw)'!A:A=A33),0)"),"0")</f>
        <v>0</v>
      </c>
      <c r="O33" t="str">
        <f ca="1">IFERROR(__xludf.DUMMYFUNCTION("IFERROR(FILTER('VPLData(raw)'!C:C,'VPLData(raw)'!B:B=498,'VPLData(raw)'!A:A=A33),0)"),"1493391461")</f>
        <v>1493391461</v>
      </c>
      <c r="P33" t="str">
        <f ca="1">IFERROR(__xludf.DUMMYFUNCTION("IFERROR(IF(O33&gt;0, FILTER('VPLData(raw)'!E:E,'VPLData(raw)'!B:B=498,'VPLData(raw)'!A:A=A33), 0),0)"),"10")</f>
        <v>10</v>
      </c>
      <c r="Q33" t="str">
        <f ca="1">IFERROR(__xludf.DUMMYFUNCTION("IFERROR(FILTER('VPLData(raw)'!F:F,'VPLData(raw)'!B:B=498,'VPLData(raw)'!A:A=A33),0)"),"2491")</f>
        <v>2491</v>
      </c>
      <c r="R33" t="str">
        <f ca="1">IFERROR(__xludf.DUMMYFUNCTION("IFERROR(FILTER('VPLData(raw)'!C:C,'VPLData(raw)'!B:B=515,'VPLData(raw)'!A:A=A33),0)"),"1494714002")</f>
        <v>1494714002</v>
      </c>
      <c r="S33" t="str">
        <f ca="1">IFERROR(__xludf.DUMMYFUNCTION("IFERROR(IF(R33&gt;0, FILTER('VPLData(raw)'!E:E,'VPLData(raw)'!B:B=515,'VPLData(raw)'!A:A=A33), 0),0)"),"10")</f>
        <v>10</v>
      </c>
      <c r="T33" t="str">
        <f ca="1">IFERROR(__xludf.DUMMYFUNCTION("IFERROR(FILTER('VPLData(raw)'!F:F,'VPLData(raw)'!B:B=515,'VPLData(raw)'!A:A=A33),0)"),"8542")</f>
        <v>8542</v>
      </c>
      <c r="U33" t="str">
        <f ca="1">IFERROR(__xludf.DUMMYFUNCTION("IFERROR(FILTER('VPLData(raw)'!C:C,'VPLData(raw)'!B:B=528,'VPLData(raw)'!A:A=A33),0)"),"1494938049")</f>
        <v>1494938049</v>
      </c>
      <c r="V33" t="str">
        <f ca="1">IFERROR(__xludf.DUMMYFUNCTION("IFERROR(IF(U33&gt;0, FILTER('VPLData(raw)'!E:E,'VPLData(raw)'!B:B=528,'VPLData(raw)'!A:A=A33), 0),0)"),"10")</f>
        <v>10</v>
      </c>
      <c r="W33" t="str">
        <f ca="1">IFERROR(__xludf.DUMMYFUNCTION("IFERROR(FILTER('VPLData(raw)'!F:F,'VPLData(raw)'!B:B=528,'VPLData(raw)'!A:A=A33),0)"),"2309")</f>
        <v>2309</v>
      </c>
      <c r="X33" t="str">
        <f ca="1">IFERROR(__xludf.DUMMYFUNCTION("IFERROR(FILTER('VPLData(raw)'!C:C,'VPLData(raw)'!B:B=524,'VPLData(raw)'!A:A=A33),0)"),"1495472651")</f>
        <v>1495472651</v>
      </c>
      <c r="Y33" t="str">
        <f ca="1">IFERROR(__xludf.DUMMYFUNCTION("IFERROR(IF(X33&gt;0, FILTER('VPLData(raw)'!E:E,'VPLData(raw)'!B:B=524,'VPLData(raw)'!A:A=A33), 0),0)"),"10")</f>
        <v>10</v>
      </c>
      <c r="Z33" t="str">
        <f ca="1">IFERROR(__xludf.DUMMYFUNCTION("IFERROR(FILTER('VPLData(raw)'!F:F,'VPLData(raw)'!B:B=524,'VPLData(raw)'!A:A=A33),0)"),"358")</f>
        <v>358</v>
      </c>
      <c r="AA33" t="str">
        <f ca="1">IFERROR(__xludf.DUMMYFUNCTION("IFERROR(FILTER('VPLData(raw)'!C:C,'VPLData(raw)'!B:B=478,'VPLData(raw)'!A:A=A33),0)"),"1495506702")</f>
        <v>1495506702</v>
      </c>
      <c r="AB33" t="str">
        <f ca="1">IFERROR(__xludf.DUMMYFUNCTION("IFERROR(IF(AA33&gt;0, FILTER('VPLData(raw)'!E:E,'VPLData(raw)'!B:B=478,'VPLData(raw)'!A:A=A33), 0),0)"),"10")</f>
        <v>10</v>
      </c>
      <c r="AC33" t="str">
        <f ca="1">IFERROR(__xludf.DUMMYFUNCTION("IFERROR(FILTER('VPLData(raw)'!F:F,'VPLData(raw)'!B:B=478,'VPLData(raw)'!A:A=A33),0)"),"11266")</f>
        <v>11266</v>
      </c>
      <c r="AD33" t="str">
        <f ca="1">IFERROR(__xludf.DUMMYFUNCTION("IFERROR(FILTER('VPLData(raw)'!C:C,'VPLData(raw)'!B:B=542,'VPLData(raw)'!A:A=A33),0)"),"1498600534")</f>
        <v>1498600534</v>
      </c>
      <c r="AE33" t="str">
        <f ca="1">IFERROR(__xludf.DUMMYFUNCTION("IFERROR(IF(AD33&gt;0, FILTER('VPLData(raw)'!E:E,'VPLData(raw)'!B:B=542,'VPLData(raw)'!A:A=A33), 0),0)"),"10")</f>
        <v>10</v>
      </c>
      <c r="AF33" t="str">
        <f ca="1">IFERROR(__xludf.DUMMYFUNCTION("IFERROR(FILTER('VPLData(raw)'!F:F,'VPLData(raw)'!B:B=542,'VPLData(raw)'!A:A=A33),0)"),"17513")</f>
        <v>17513</v>
      </c>
      <c r="AG33" t="str">
        <f ca="1">IFERROR(__xludf.DUMMYFUNCTION("IFERROR(FILTER('VPLData(raw)'!C:C,'VPLData(raw)'!B:B=544,'VPLData(raw)'!A:A=A33),0)"),"1499439477")</f>
        <v>1499439477</v>
      </c>
      <c r="AH33" t="str">
        <f ca="1">IFERROR(__xludf.DUMMYFUNCTION("IFERROR(IF(AG33&gt;0, FILTER('VPLData(raw)'!E:E,'VPLData(raw)'!B:B=544,'VPLData(raw)'!A:A=A33), 0),0)"),"")</f>
        <v/>
      </c>
      <c r="AI33" t="str">
        <f ca="1">IFERROR(__xludf.DUMMYFUNCTION("IFERROR(FILTER('VPLData(raw)'!F:F,'VPLData(raw)'!B:B=544,'VPLData(raw)'!A:A=A33),0)"),"1358")</f>
        <v>1358</v>
      </c>
      <c r="AJ33" t="str">
        <f ca="1">IFERROR(__xludf.DUMMYFUNCTION("IFERROR(FILTER('VPLData(raw)'!C:C,'VPLData(raw)'!B:B=545,'VPLData(raw)'!A:A=A33),0)"),"0")</f>
        <v>0</v>
      </c>
      <c r="AK33" t="str">
        <f ca="1">IFERROR(__xludf.DUMMYFUNCTION("IFERROR(IF(AJ33&gt;0, FILTER('VPLData(raw)'!E:E,'VPLData(raw)'!B:B=545,'VPLData(raw)'!A:A=A33), 0),0)"),"0")</f>
        <v>0</v>
      </c>
      <c r="AL33" t="str">
        <f ca="1">IFERROR(__xludf.DUMMYFUNCTION("IFERROR(FILTER('VPLData(raw)'!F:F,'VPLData(raw)'!B:B=545,'VPLData(raw)'!A:A=A33),0)"),"0")</f>
        <v>0</v>
      </c>
    </row>
    <row r="34" spans="1:38" ht="15.75" customHeight="1" x14ac:dyDescent="0.15">
      <c r="A34" s="2">
        <v>10181</v>
      </c>
      <c r="B34" s="2">
        <v>10276866</v>
      </c>
      <c r="C34" t="str">
        <f ca="1">IFERROR(__xludf.DUMMYFUNCTION("IFERROR(FILTER('VPLData(raw)'!C:C,'VPLData(raw)'!B:B=504,'VPLData(raw)'!A:A=A34),0)"),"0")</f>
        <v>0</v>
      </c>
      <c r="D34" s="3" t="str">
        <f ca="1">IFERROR(__xludf.DUMMYFUNCTION("IFERROR(IF(C34&gt;0, FILTER('VPLData(raw)'!E:E,'VPLData(raw)'!B:B=504,'VPLData(raw)'!A:A=A34), 0),0)"),"0")</f>
        <v>0</v>
      </c>
      <c r="E34" t="str">
        <f ca="1">IFERROR(__xludf.DUMMYFUNCTION("IFERROR(FILTER('VPLData(raw)'!F:F,'VPLData(raw)'!B:B=504,'VPLData(raw)'!A:A=A34),0)"),"0")</f>
        <v>0</v>
      </c>
      <c r="F34" t="str">
        <f ca="1">IFERROR(__xludf.DUMMYFUNCTION("IFERROR(FILTER('VPLData(raw)'!C:C,'VPLData(raw)'!B:B=454,'VPLData(raw)'!A:A=A34),0)"),"1491480410")</f>
        <v>1491480410</v>
      </c>
      <c r="G34" t="str">
        <f ca="1">IFERROR(__xludf.DUMMYFUNCTION("IFERROR(IF(F34&gt;0, FILTER('VPLData(raw)'!E:E,'VPLData(raw)'!B:B=454,'VPLData(raw)'!A:A=A34), 0),0)"),"10")</f>
        <v>10</v>
      </c>
      <c r="H34" t="str">
        <f ca="1">IFERROR(__xludf.DUMMYFUNCTION("IFERROR(FILTER('VPLData(raw)'!F:F,'VPLData(raw)'!B:B=454,'VPLData(raw)'!A:A=A34),0)"),"220")</f>
        <v>220</v>
      </c>
      <c r="I34" t="str">
        <f ca="1">IFERROR(__xludf.DUMMYFUNCTION("IFERROR(FILTER('VPLData(raw)'!C:C,'VPLData(raw)'!B:B=457,'VPLData(raw)'!A:A=A34),0)"),"1491850793")</f>
        <v>1491850793</v>
      </c>
      <c r="J34" t="str">
        <f ca="1">IFERROR(__xludf.DUMMYFUNCTION("IFERROR(IF(I34&gt;0, FILTER('VPLData(raw)'!E:E,'VPLData(raw)'!B:B=457,'VPLData(raw)'!A:A=A34), 0),0)"),"10")</f>
        <v>10</v>
      </c>
      <c r="K34" t="str">
        <f ca="1">IFERROR(__xludf.DUMMYFUNCTION("IFERROR(FILTER('VPLData(raw)'!F:F,'VPLData(raw)'!B:B=457,'VPLData(raw)'!A:A=A34),0)"),"487")</f>
        <v>487</v>
      </c>
      <c r="L34" t="str">
        <f ca="1">IFERROR(__xludf.DUMMYFUNCTION("IFERROR(FILTER('VPLData(raw)'!C:C,'VPLData(raw)'!B:B=534,'VPLData(raw)'!A:A=A34),0)"),"0")</f>
        <v>0</v>
      </c>
      <c r="M34" t="str">
        <f ca="1">IFERROR(__xludf.DUMMYFUNCTION("IFERROR(IF(L34&gt;0, FILTER('VPLData(raw)'!E:E,'VPLData(raw)'!B:B=534,'VPLData(raw)'!A:A=A34), 0),0)"),"0")</f>
        <v>0</v>
      </c>
      <c r="N34" t="str">
        <f ca="1">IFERROR(__xludf.DUMMYFUNCTION("IFERROR(FILTER('VPLData(raw)'!F:F,'VPLData(raw)'!B:B=534,'VPLData(raw)'!A:A=A34),0)"),"0")</f>
        <v>0</v>
      </c>
      <c r="O34" t="str">
        <f ca="1">IFERROR(__xludf.DUMMYFUNCTION("IFERROR(FILTER('VPLData(raw)'!C:C,'VPLData(raw)'!B:B=498,'VPLData(raw)'!A:A=A34),0)"),"1492475458")</f>
        <v>1492475458</v>
      </c>
      <c r="P34" t="str">
        <f ca="1">IFERROR(__xludf.DUMMYFUNCTION("IFERROR(IF(O34&gt;0, FILTER('VPLData(raw)'!E:E,'VPLData(raw)'!B:B=498,'VPLData(raw)'!A:A=A34), 0),0)"),"10")</f>
        <v>10</v>
      </c>
      <c r="Q34" t="str">
        <f ca="1">IFERROR(__xludf.DUMMYFUNCTION("IFERROR(FILTER('VPLData(raw)'!F:F,'VPLData(raw)'!B:B=498,'VPLData(raw)'!A:A=A34),0)"),"3112")</f>
        <v>3112</v>
      </c>
      <c r="R34" t="str">
        <f ca="1">IFERROR(__xludf.DUMMYFUNCTION("IFERROR(FILTER('VPLData(raw)'!C:C,'VPLData(raw)'!B:B=515,'VPLData(raw)'!A:A=A34),0)"),"1492619186")</f>
        <v>1492619186</v>
      </c>
      <c r="S34" t="str">
        <f ca="1">IFERROR(__xludf.DUMMYFUNCTION("IFERROR(IF(R34&gt;0, FILTER('VPLData(raw)'!E:E,'VPLData(raw)'!B:B=515,'VPLData(raw)'!A:A=A34), 0),0)"),"10")</f>
        <v>10</v>
      </c>
      <c r="T34" t="str">
        <f ca="1">IFERROR(__xludf.DUMMYFUNCTION("IFERROR(FILTER('VPLData(raw)'!F:F,'VPLData(raw)'!B:B=515,'VPLData(raw)'!A:A=A34),0)"),"1176")</f>
        <v>1176</v>
      </c>
      <c r="U34" t="str">
        <f ca="1">IFERROR(__xludf.DUMMYFUNCTION("IFERROR(FILTER('VPLData(raw)'!C:C,'VPLData(raw)'!B:B=528,'VPLData(raw)'!A:A=A34),0)"),"1499429777")</f>
        <v>1499429777</v>
      </c>
      <c r="V34" t="str">
        <f ca="1">IFERROR(__xludf.DUMMYFUNCTION("IFERROR(IF(U34&gt;0, FILTER('VPLData(raw)'!E:E,'VPLData(raw)'!B:B=528,'VPLData(raw)'!A:A=A34), 0),0)"),"10")</f>
        <v>10</v>
      </c>
      <c r="W34" t="str">
        <f ca="1">IFERROR(__xludf.DUMMYFUNCTION("IFERROR(FILTER('VPLData(raw)'!F:F,'VPLData(raw)'!B:B=528,'VPLData(raw)'!A:A=A34),0)"),"183")</f>
        <v>183</v>
      </c>
      <c r="X34" t="str">
        <f ca="1">IFERROR(__xludf.DUMMYFUNCTION("IFERROR(FILTER('VPLData(raw)'!C:C,'VPLData(raw)'!B:B=524,'VPLData(raw)'!A:A=A34),0)"),"1499430033")</f>
        <v>1499430033</v>
      </c>
      <c r="Y34" t="str">
        <f ca="1">IFERROR(__xludf.DUMMYFUNCTION("IFERROR(IF(X34&gt;0, FILTER('VPLData(raw)'!E:E,'VPLData(raw)'!B:B=524,'VPLData(raw)'!A:A=A34), 0),0)"),"10")</f>
        <v>10</v>
      </c>
      <c r="Z34" t="str">
        <f ca="1">IFERROR(__xludf.DUMMYFUNCTION("IFERROR(FILTER('VPLData(raw)'!F:F,'VPLData(raw)'!B:B=524,'VPLData(raw)'!A:A=A34),0)"),"235")</f>
        <v>235</v>
      </c>
      <c r="AA34" t="str">
        <f ca="1">IFERROR(__xludf.DUMMYFUNCTION("IFERROR(FILTER('VPLData(raw)'!C:C,'VPLData(raw)'!B:B=478,'VPLData(raw)'!A:A=A34),0)"),"1494890834")</f>
        <v>1494890834</v>
      </c>
      <c r="AB34" t="str">
        <f ca="1">IFERROR(__xludf.DUMMYFUNCTION("IFERROR(IF(AA34&gt;0, FILTER('VPLData(raw)'!E:E,'VPLData(raw)'!B:B=478,'VPLData(raw)'!A:A=A34), 0),0)"),"10")</f>
        <v>10</v>
      </c>
      <c r="AC34" t="str">
        <f ca="1">IFERROR(__xludf.DUMMYFUNCTION("IFERROR(FILTER('VPLData(raw)'!F:F,'VPLData(raw)'!B:B=478,'VPLData(raw)'!A:A=A34),0)"),"3131")</f>
        <v>3131</v>
      </c>
      <c r="AD34" t="str">
        <f ca="1">IFERROR(__xludf.DUMMYFUNCTION("IFERROR(FILTER('VPLData(raw)'!C:C,'VPLData(raw)'!B:B=542,'VPLData(raw)'!A:A=A34),0)"),"1499453118")</f>
        <v>1499453118</v>
      </c>
      <c r="AE34" t="str">
        <f ca="1">IFERROR(__xludf.DUMMYFUNCTION("IFERROR(IF(AD34&gt;0, FILTER('VPLData(raw)'!E:E,'VPLData(raw)'!B:B=542,'VPLData(raw)'!A:A=A34), 0),0)"),"10")</f>
        <v>10</v>
      </c>
      <c r="AF34" t="str">
        <f ca="1">IFERROR(__xludf.DUMMYFUNCTION("IFERROR(FILTER('VPLData(raw)'!F:F,'VPLData(raw)'!B:B=542,'VPLData(raw)'!A:A=A34),0)"),"526")</f>
        <v>526</v>
      </c>
      <c r="AG34" t="str">
        <f ca="1">IFERROR(__xludf.DUMMYFUNCTION("IFERROR(FILTER('VPLData(raw)'!C:C,'VPLData(raw)'!B:B=544,'VPLData(raw)'!A:A=A34),0)"),"1499459504")</f>
        <v>1499459504</v>
      </c>
      <c r="AH34" t="str">
        <f ca="1">IFERROR(__xludf.DUMMYFUNCTION("IFERROR(IF(AG34&gt;0, FILTER('VPLData(raw)'!E:E,'VPLData(raw)'!B:B=544,'VPLData(raw)'!A:A=A34), 0),0)"),"10")</f>
        <v>10</v>
      </c>
      <c r="AI34" t="str">
        <f ca="1">IFERROR(__xludf.DUMMYFUNCTION("IFERROR(FILTER('VPLData(raw)'!F:F,'VPLData(raw)'!B:B=544,'VPLData(raw)'!A:A=A34),0)"),"4172")</f>
        <v>4172</v>
      </c>
      <c r="AJ34" t="str">
        <f ca="1">IFERROR(__xludf.DUMMYFUNCTION("IFERROR(FILTER('VPLData(raw)'!C:C,'VPLData(raw)'!B:B=545,'VPLData(raw)'!A:A=A34),0)"),"1499479403")</f>
        <v>1499479403</v>
      </c>
      <c r="AK34" t="str">
        <f ca="1">IFERROR(__xludf.DUMMYFUNCTION("IFERROR(IF(AJ34&gt;0, FILTER('VPLData(raw)'!E:E,'VPLData(raw)'!B:B=545,'VPLData(raw)'!A:A=A34), 0),0)"),"10")</f>
        <v>10</v>
      </c>
      <c r="AL34" t="str">
        <f ca="1">IFERROR(__xludf.DUMMYFUNCTION("IFERROR(FILTER('VPLData(raw)'!F:F,'VPLData(raw)'!B:B=545,'VPLData(raw)'!A:A=A34),0)"),"683")</f>
        <v>683</v>
      </c>
    </row>
    <row r="35" spans="1:38" ht="15.75" customHeight="1" x14ac:dyDescent="0.15">
      <c r="A35" s="2">
        <v>10190</v>
      </c>
      <c r="B35" s="2">
        <v>10276907</v>
      </c>
      <c r="C35" t="str">
        <f ca="1">IFERROR(__xludf.DUMMYFUNCTION("IFERROR(FILTER('VPLData(raw)'!C:C,'VPLData(raw)'!B:B=504,'VPLData(raw)'!A:A=A35),0)"),"0")</f>
        <v>0</v>
      </c>
      <c r="D35" s="3" t="str">
        <f ca="1">IFERROR(__xludf.DUMMYFUNCTION("IFERROR(IF(C35&gt;0, FILTER('VPLData(raw)'!E:E,'VPLData(raw)'!B:B=504,'VPLData(raw)'!A:A=A35), 0),0)"),"0")</f>
        <v>0</v>
      </c>
      <c r="E35" t="str">
        <f ca="1">IFERROR(__xludf.DUMMYFUNCTION("IFERROR(FILTER('VPLData(raw)'!F:F,'VPLData(raw)'!B:B=504,'VPLData(raw)'!A:A=A35),0)"),"0")</f>
        <v>0</v>
      </c>
      <c r="F35" t="str">
        <f ca="1">IFERROR(__xludf.DUMMYFUNCTION("IFERROR(FILTER('VPLData(raw)'!C:C,'VPLData(raw)'!B:B=454,'VPLData(raw)'!A:A=A35),0)"),"0")</f>
        <v>0</v>
      </c>
      <c r="G35" t="str">
        <f ca="1">IFERROR(__xludf.DUMMYFUNCTION("IFERROR(IF(F35&gt;0, FILTER('VPLData(raw)'!E:E,'VPLData(raw)'!B:B=454,'VPLData(raw)'!A:A=A35), 0),0)"),"0")</f>
        <v>0</v>
      </c>
      <c r="H35" t="str">
        <f ca="1">IFERROR(__xludf.DUMMYFUNCTION("IFERROR(FILTER('VPLData(raw)'!F:F,'VPLData(raw)'!B:B=454,'VPLData(raw)'!A:A=A35),0)"),"0")</f>
        <v>0</v>
      </c>
      <c r="I35" t="str">
        <f ca="1">IFERROR(__xludf.DUMMYFUNCTION("IFERROR(FILTER('VPLData(raw)'!C:C,'VPLData(raw)'!B:B=457,'VPLData(raw)'!A:A=A35),0)"),"0")</f>
        <v>0</v>
      </c>
      <c r="J35" t="str">
        <f ca="1">IFERROR(__xludf.DUMMYFUNCTION("IFERROR(IF(I35&gt;0, FILTER('VPLData(raw)'!E:E,'VPLData(raw)'!B:B=457,'VPLData(raw)'!A:A=A35), 0),0)"),"0")</f>
        <v>0</v>
      </c>
      <c r="K35" t="str">
        <f ca="1">IFERROR(__xludf.DUMMYFUNCTION("IFERROR(FILTER('VPLData(raw)'!F:F,'VPLData(raw)'!B:B=457,'VPLData(raw)'!A:A=A35),0)"),"0")</f>
        <v>0</v>
      </c>
      <c r="L35" t="str">
        <f ca="1">IFERROR(__xludf.DUMMYFUNCTION("IFERROR(FILTER('VPLData(raw)'!C:C,'VPLData(raw)'!B:B=534,'VPLData(raw)'!A:A=A35),0)"),"0")</f>
        <v>0</v>
      </c>
      <c r="M35" t="str">
        <f ca="1">IFERROR(__xludf.DUMMYFUNCTION("IFERROR(IF(L35&gt;0, FILTER('VPLData(raw)'!E:E,'VPLData(raw)'!B:B=534,'VPLData(raw)'!A:A=A35), 0),0)"),"0")</f>
        <v>0</v>
      </c>
      <c r="N35" t="str">
        <f ca="1">IFERROR(__xludf.DUMMYFUNCTION("IFERROR(FILTER('VPLData(raw)'!F:F,'VPLData(raw)'!B:B=534,'VPLData(raw)'!A:A=A35),0)"),"0")</f>
        <v>0</v>
      </c>
      <c r="O35" t="str">
        <f ca="1">IFERROR(__xludf.DUMMYFUNCTION("IFERROR(FILTER('VPLData(raw)'!C:C,'VPLData(raw)'!B:B=498,'VPLData(raw)'!A:A=A35),0)"),"1492714734")</f>
        <v>1492714734</v>
      </c>
      <c r="P35" t="str">
        <f ca="1">IFERROR(__xludf.DUMMYFUNCTION("IFERROR(IF(O35&gt;0, FILTER('VPLData(raw)'!E:E,'VPLData(raw)'!B:B=498,'VPLData(raw)'!A:A=A35), 0),0)"),"10")</f>
        <v>10</v>
      </c>
      <c r="Q35" t="str">
        <f ca="1">IFERROR(__xludf.DUMMYFUNCTION("IFERROR(FILTER('VPLData(raw)'!F:F,'VPLData(raw)'!B:B=498,'VPLData(raw)'!A:A=A35),0)"),"798")</f>
        <v>798</v>
      </c>
      <c r="R35" t="str">
        <f ca="1">IFERROR(__xludf.DUMMYFUNCTION("IFERROR(FILTER('VPLData(raw)'!C:C,'VPLData(raw)'!B:B=515,'VPLData(raw)'!A:A=A35),0)"),"1495416796")</f>
        <v>1495416796</v>
      </c>
      <c r="S35" t="str">
        <f ca="1">IFERROR(__xludf.DUMMYFUNCTION("IFERROR(IF(R35&gt;0, FILTER('VPLData(raw)'!E:E,'VPLData(raw)'!B:B=515,'VPLData(raw)'!A:A=A35), 0),0)"),"10")</f>
        <v>10</v>
      </c>
      <c r="T35" t="str">
        <f ca="1">IFERROR(__xludf.DUMMYFUNCTION("IFERROR(FILTER('VPLData(raw)'!F:F,'VPLData(raw)'!B:B=515,'VPLData(raw)'!A:A=A35),0)"),"597")</f>
        <v>597</v>
      </c>
      <c r="U35" t="str">
        <f ca="1">IFERROR(__xludf.DUMMYFUNCTION("IFERROR(FILTER('VPLData(raw)'!C:C,'VPLData(raw)'!B:B=528,'VPLData(raw)'!A:A=A35),0)"),"1499373736")</f>
        <v>1499373736</v>
      </c>
      <c r="V35" t="str">
        <f ca="1">IFERROR(__xludf.DUMMYFUNCTION("IFERROR(IF(U35&gt;0, FILTER('VPLData(raw)'!E:E,'VPLData(raw)'!B:B=528,'VPLData(raw)'!A:A=A35), 0),0)"),"")</f>
        <v/>
      </c>
      <c r="W35" t="str">
        <f ca="1">IFERROR(__xludf.DUMMYFUNCTION("IFERROR(FILTER('VPLData(raw)'!F:F,'VPLData(raw)'!B:B=528,'VPLData(raw)'!A:A=A35),0)"),"181")</f>
        <v>181</v>
      </c>
      <c r="X35" t="str">
        <f ca="1">IFERROR(__xludf.DUMMYFUNCTION("IFERROR(FILTER('VPLData(raw)'!C:C,'VPLData(raw)'!B:B=524,'VPLData(raw)'!A:A=A35),0)"),"1499373953")</f>
        <v>1499373953</v>
      </c>
      <c r="Y35" t="str">
        <f ca="1">IFERROR(__xludf.DUMMYFUNCTION("IFERROR(IF(X35&gt;0, FILTER('VPLData(raw)'!E:E,'VPLData(raw)'!B:B=524,'VPLData(raw)'!A:A=A35), 0),0)"),"")</f>
        <v/>
      </c>
      <c r="Z35" t="str">
        <f ca="1">IFERROR(__xludf.DUMMYFUNCTION("IFERROR(FILTER('VPLData(raw)'!F:F,'VPLData(raw)'!B:B=524,'VPLData(raw)'!A:A=A35),0)"),"964")</f>
        <v>964</v>
      </c>
      <c r="AA35" t="str">
        <f ca="1">IFERROR(__xludf.DUMMYFUNCTION("IFERROR(FILTER('VPLData(raw)'!C:C,'VPLData(raw)'!B:B=478,'VPLData(raw)'!A:A=A35),0)"),"1499374381")</f>
        <v>1499374381</v>
      </c>
      <c r="AB35" t="str">
        <f ca="1">IFERROR(__xludf.DUMMYFUNCTION("IFERROR(IF(AA35&gt;0, FILTER('VPLData(raw)'!E:E,'VPLData(raw)'!B:B=478,'VPLData(raw)'!A:A=A35), 0),0)"),"10")</f>
        <v>10</v>
      </c>
      <c r="AC35" t="str">
        <f ca="1">IFERROR(__xludf.DUMMYFUNCTION("IFERROR(FILTER('VPLData(raw)'!F:F,'VPLData(raw)'!B:B=478,'VPLData(raw)'!A:A=A35),0)"),"844")</f>
        <v>844</v>
      </c>
      <c r="AD35" t="str">
        <f ca="1">IFERROR(__xludf.DUMMYFUNCTION("IFERROR(FILTER('VPLData(raw)'!C:C,'VPLData(raw)'!B:B=542,'VPLData(raw)'!A:A=A35),0)"),"1499373305")</f>
        <v>1499373305</v>
      </c>
      <c r="AE35" t="str">
        <f ca="1">IFERROR(__xludf.DUMMYFUNCTION("IFERROR(IF(AD35&gt;0, FILTER('VPLData(raw)'!E:E,'VPLData(raw)'!B:B=542,'VPLData(raw)'!A:A=A35), 0),0)"),"10")</f>
        <v>10</v>
      </c>
      <c r="AF35" t="str">
        <f ca="1">IFERROR(__xludf.DUMMYFUNCTION("IFERROR(FILTER('VPLData(raw)'!F:F,'VPLData(raw)'!B:B=542,'VPLData(raw)'!A:A=A35),0)"),"1454")</f>
        <v>1454</v>
      </c>
      <c r="AG35" t="str">
        <f ca="1">IFERROR(__xludf.DUMMYFUNCTION("IFERROR(FILTER('VPLData(raw)'!C:C,'VPLData(raw)'!B:B=544,'VPLData(raw)'!A:A=A35),0)"),"1499475384")</f>
        <v>1499475384</v>
      </c>
      <c r="AH35" t="str">
        <f ca="1">IFERROR(__xludf.DUMMYFUNCTION("IFERROR(IF(AG35&gt;0, FILTER('VPLData(raw)'!E:E,'VPLData(raw)'!B:B=544,'VPLData(raw)'!A:A=A35), 0),0)"),"")</f>
        <v/>
      </c>
      <c r="AI35" t="str">
        <f ca="1">IFERROR(__xludf.DUMMYFUNCTION("IFERROR(FILTER('VPLData(raw)'!F:F,'VPLData(raw)'!B:B=544,'VPLData(raw)'!A:A=A35),0)"),"5676")</f>
        <v>5676</v>
      </c>
      <c r="AJ35" t="str">
        <f ca="1">IFERROR(__xludf.DUMMYFUNCTION("IFERROR(FILTER('VPLData(raw)'!C:C,'VPLData(raw)'!B:B=545,'VPLData(raw)'!A:A=A35),0)"),"1499483387")</f>
        <v>1499483387</v>
      </c>
      <c r="AK35" t="str">
        <f ca="1">IFERROR(__xludf.DUMMYFUNCTION("IFERROR(IF(AJ35&gt;0, FILTER('VPLData(raw)'!E:E,'VPLData(raw)'!B:B=545,'VPLData(raw)'!A:A=A35), 0),0)"),"10")</f>
        <v>10</v>
      </c>
      <c r="AL35" t="str">
        <f ca="1">IFERROR(__xludf.DUMMYFUNCTION("IFERROR(FILTER('VPLData(raw)'!F:F,'VPLData(raw)'!B:B=545,'VPLData(raw)'!A:A=A35),0)"),"431")</f>
        <v>431</v>
      </c>
    </row>
    <row r="36" spans="1:38" ht="15.75" customHeight="1" x14ac:dyDescent="0.15">
      <c r="A36" s="2">
        <v>10231</v>
      </c>
      <c r="B36" s="2">
        <v>10276911</v>
      </c>
      <c r="C36" t="str">
        <f ca="1">IFERROR(__xludf.DUMMYFUNCTION("IFERROR(FILTER('VPLData(raw)'!C:C,'VPLData(raw)'!B:B=504,'VPLData(raw)'!A:A=A36),0)"),"0")</f>
        <v>0</v>
      </c>
      <c r="D36" s="3" t="str">
        <f ca="1">IFERROR(__xludf.DUMMYFUNCTION("IFERROR(IF(C36&gt;0, FILTER('VPLData(raw)'!E:E,'VPLData(raw)'!B:B=504,'VPLData(raw)'!A:A=A36), 0),0)"),"0")</f>
        <v>0</v>
      </c>
      <c r="E36" t="str">
        <f ca="1">IFERROR(__xludf.DUMMYFUNCTION("IFERROR(FILTER('VPLData(raw)'!F:F,'VPLData(raw)'!B:B=504,'VPLData(raw)'!A:A=A36),0)"),"0")</f>
        <v>0</v>
      </c>
      <c r="F36" t="str">
        <f ca="1">IFERROR(__xludf.DUMMYFUNCTION("IFERROR(FILTER('VPLData(raw)'!C:C,'VPLData(raw)'!B:B=454,'VPLData(raw)'!A:A=A36),0)"),"1491497112")</f>
        <v>1491497112</v>
      </c>
      <c r="G36" t="str">
        <f ca="1">IFERROR(__xludf.DUMMYFUNCTION("IFERROR(IF(F36&gt;0, FILTER('VPLData(raw)'!E:E,'VPLData(raw)'!B:B=454,'VPLData(raw)'!A:A=A36), 0),0)"),"10")</f>
        <v>10</v>
      </c>
      <c r="H36" t="str">
        <f ca="1">IFERROR(__xludf.DUMMYFUNCTION("IFERROR(FILTER('VPLData(raw)'!F:F,'VPLData(raw)'!B:B=454,'VPLData(raw)'!A:A=A36),0)"),"295")</f>
        <v>295</v>
      </c>
      <c r="I36" t="str">
        <f ca="1">IFERROR(__xludf.DUMMYFUNCTION("IFERROR(FILTER('VPLData(raw)'!C:C,'VPLData(raw)'!B:B=457,'VPLData(raw)'!A:A=A36),0)"),"1491659803")</f>
        <v>1491659803</v>
      </c>
      <c r="J36" t="str">
        <f ca="1">IFERROR(__xludf.DUMMYFUNCTION("IFERROR(IF(I36&gt;0, FILTER('VPLData(raw)'!E:E,'VPLData(raw)'!B:B=457,'VPLData(raw)'!A:A=A36), 0),0)"),"10")</f>
        <v>10</v>
      </c>
      <c r="K36" t="str">
        <f ca="1">IFERROR(__xludf.DUMMYFUNCTION("IFERROR(FILTER('VPLData(raw)'!F:F,'VPLData(raw)'!B:B=457,'VPLData(raw)'!A:A=A36),0)"),"969")</f>
        <v>969</v>
      </c>
      <c r="L36" t="str">
        <f ca="1">IFERROR(__xludf.DUMMYFUNCTION("IFERROR(FILTER('VPLData(raw)'!C:C,'VPLData(raw)'!B:B=534,'VPLData(raw)'!A:A=A36),0)"),"0")</f>
        <v>0</v>
      </c>
      <c r="M36" t="str">
        <f ca="1">IFERROR(__xludf.DUMMYFUNCTION("IFERROR(IF(L36&gt;0, FILTER('VPLData(raw)'!E:E,'VPLData(raw)'!B:B=534,'VPLData(raw)'!A:A=A36), 0),0)"),"0")</f>
        <v>0</v>
      </c>
      <c r="N36" t="str">
        <f ca="1">IFERROR(__xludf.DUMMYFUNCTION("IFERROR(FILTER('VPLData(raw)'!F:F,'VPLData(raw)'!B:B=534,'VPLData(raw)'!A:A=A36),0)"),"0")</f>
        <v>0</v>
      </c>
      <c r="O36" t="str">
        <f ca="1">IFERROR(__xludf.DUMMYFUNCTION("IFERROR(FILTER('VPLData(raw)'!C:C,'VPLData(raw)'!B:B=498,'VPLData(raw)'!A:A=A36),0)"),"1492782133")</f>
        <v>1492782133</v>
      </c>
      <c r="P36" t="str">
        <f ca="1">IFERROR(__xludf.DUMMYFUNCTION("IFERROR(IF(O36&gt;0, FILTER('VPLData(raw)'!E:E,'VPLData(raw)'!B:B=498,'VPLData(raw)'!A:A=A36), 0),0)"),"10")</f>
        <v>10</v>
      </c>
      <c r="Q36" t="str">
        <f ca="1">IFERROR(__xludf.DUMMYFUNCTION("IFERROR(FILTER('VPLData(raw)'!F:F,'VPLData(raw)'!B:B=498,'VPLData(raw)'!A:A=A36),0)"),"342")</f>
        <v>342</v>
      </c>
      <c r="R36" t="str">
        <f ca="1">IFERROR(__xludf.DUMMYFUNCTION("IFERROR(FILTER('VPLData(raw)'!C:C,'VPLData(raw)'!B:B=515,'VPLData(raw)'!A:A=A36),0)"),"1492782532")</f>
        <v>1492782532</v>
      </c>
      <c r="S36" t="str">
        <f ca="1">IFERROR(__xludf.DUMMYFUNCTION("IFERROR(IF(R36&gt;0, FILTER('VPLData(raw)'!E:E,'VPLData(raw)'!B:B=515,'VPLData(raw)'!A:A=A36), 0),0)"),"10")</f>
        <v>10</v>
      </c>
      <c r="T36" t="str">
        <f ca="1">IFERROR(__xludf.DUMMYFUNCTION("IFERROR(FILTER('VPLData(raw)'!F:F,'VPLData(raw)'!B:B=515,'VPLData(raw)'!A:A=A36),0)"),"1980")</f>
        <v>1980</v>
      </c>
      <c r="U36" t="str">
        <f ca="1">IFERROR(__xludf.DUMMYFUNCTION("IFERROR(FILTER('VPLData(raw)'!C:C,'VPLData(raw)'!B:B=528,'VPLData(raw)'!A:A=A36),0)"),"1494499987")</f>
        <v>1494499987</v>
      </c>
      <c r="V36" t="str">
        <f ca="1">IFERROR(__xludf.DUMMYFUNCTION("IFERROR(IF(U36&gt;0, FILTER('VPLData(raw)'!E:E,'VPLData(raw)'!B:B=528,'VPLData(raw)'!A:A=A36), 0),0)"),"10")</f>
        <v>10</v>
      </c>
      <c r="W36" t="str">
        <f ca="1">IFERROR(__xludf.DUMMYFUNCTION("IFERROR(FILTER('VPLData(raw)'!F:F,'VPLData(raw)'!B:B=528,'VPLData(raw)'!A:A=A36),0)"),"1062")</f>
        <v>1062</v>
      </c>
      <c r="X36" t="str">
        <f ca="1">IFERROR(__xludf.DUMMYFUNCTION("IFERROR(FILTER('VPLData(raw)'!C:C,'VPLData(raw)'!B:B=524,'VPLData(raw)'!A:A=A36),0)"),"1494521523")</f>
        <v>1494521523</v>
      </c>
      <c r="Y36" t="str">
        <f ca="1">IFERROR(__xludf.DUMMYFUNCTION("IFERROR(IF(X36&gt;0, FILTER('VPLData(raw)'!E:E,'VPLData(raw)'!B:B=524,'VPLData(raw)'!A:A=A36), 0),0)"),"10")</f>
        <v>10</v>
      </c>
      <c r="Z36" t="str">
        <f ca="1">IFERROR(__xludf.DUMMYFUNCTION("IFERROR(FILTER('VPLData(raw)'!F:F,'VPLData(raw)'!B:B=524,'VPLData(raw)'!A:A=A36),0)"),"1576")</f>
        <v>1576</v>
      </c>
      <c r="AA36" t="str">
        <f ca="1">IFERROR(__xludf.DUMMYFUNCTION("IFERROR(FILTER('VPLData(raw)'!C:C,'VPLData(raw)'!B:B=478,'VPLData(raw)'!A:A=A36),0)"),"1494540254")</f>
        <v>1494540254</v>
      </c>
      <c r="AB36" t="str">
        <f ca="1">IFERROR(__xludf.DUMMYFUNCTION("IFERROR(IF(AA36&gt;0, FILTER('VPLData(raw)'!E:E,'VPLData(raw)'!B:B=478,'VPLData(raw)'!A:A=A36), 0),0)"),"10")</f>
        <v>10</v>
      </c>
      <c r="AC36" t="str">
        <f ca="1">IFERROR(__xludf.DUMMYFUNCTION("IFERROR(FILTER('VPLData(raw)'!F:F,'VPLData(raw)'!B:B=478,'VPLData(raw)'!A:A=A36),0)"),"8087")</f>
        <v>8087</v>
      </c>
      <c r="AD36" t="str">
        <f ca="1">IFERROR(__xludf.DUMMYFUNCTION("IFERROR(FILTER('VPLData(raw)'!C:C,'VPLData(raw)'!B:B=542,'VPLData(raw)'!A:A=A36),0)"),"1497579276")</f>
        <v>1497579276</v>
      </c>
      <c r="AE36" t="str">
        <f ca="1">IFERROR(__xludf.DUMMYFUNCTION("IFERROR(IF(AD36&gt;0, FILTER('VPLData(raw)'!E:E,'VPLData(raw)'!B:B=542,'VPLData(raw)'!A:A=A36), 0),0)"),"10")</f>
        <v>10</v>
      </c>
      <c r="AF36" t="str">
        <f ca="1">IFERROR(__xludf.DUMMYFUNCTION("IFERROR(FILTER('VPLData(raw)'!F:F,'VPLData(raw)'!B:B=542,'VPLData(raw)'!A:A=A36),0)"),"3000")</f>
        <v>3000</v>
      </c>
      <c r="AG36" t="str">
        <f ca="1">IFERROR(__xludf.DUMMYFUNCTION("IFERROR(FILTER('VPLData(raw)'!C:C,'VPLData(raw)'!B:B=544,'VPLData(raw)'!A:A=A36),0)"),"1497627488")</f>
        <v>1497627488</v>
      </c>
      <c r="AH36" t="str">
        <f ca="1">IFERROR(__xludf.DUMMYFUNCTION("IFERROR(IF(AG36&gt;0, FILTER('VPLData(raw)'!E:E,'VPLData(raw)'!B:B=544,'VPLData(raw)'!A:A=A36), 0),0)"),"10")</f>
        <v>10</v>
      </c>
      <c r="AI36" t="str">
        <f ca="1">IFERROR(__xludf.DUMMYFUNCTION("IFERROR(FILTER('VPLData(raw)'!F:F,'VPLData(raw)'!B:B=544,'VPLData(raw)'!A:A=A36),0)"),"5638")</f>
        <v>5638</v>
      </c>
      <c r="AJ36" t="str">
        <f ca="1">IFERROR(__xludf.DUMMYFUNCTION("IFERROR(FILTER('VPLData(raw)'!C:C,'VPLData(raw)'!B:B=545,'VPLData(raw)'!A:A=A36),0)"),"1497635431")</f>
        <v>1497635431</v>
      </c>
      <c r="AK36" t="str">
        <f ca="1">IFERROR(__xludf.DUMMYFUNCTION("IFERROR(IF(AJ36&gt;0, FILTER('VPLData(raw)'!E:E,'VPLData(raw)'!B:B=545,'VPLData(raw)'!A:A=A36), 0),0)"),"")</f>
        <v/>
      </c>
      <c r="AL36" t="str">
        <f ca="1">IFERROR(__xludf.DUMMYFUNCTION("IFERROR(FILTER('VPLData(raw)'!F:F,'VPLData(raw)'!B:B=545,'VPLData(raw)'!A:A=A36),0)"),"29022")</f>
        <v>29022</v>
      </c>
    </row>
    <row r="37" spans="1:38" ht="15.75" customHeight="1" x14ac:dyDescent="0.15">
      <c r="A37" s="2">
        <v>10201</v>
      </c>
      <c r="B37" s="2">
        <v>10276928</v>
      </c>
      <c r="C37" t="str">
        <f ca="1">IFERROR(__xludf.DUMMYFUNCTION("IFERROR(FILTER('VPLData(raw)'!C:C,'VPLData(raw)'!B:B=504,'VPLData(raw)'!A:A=A37),0)"),"1490751803")</f>
        <v>1490751803</v>
      </c>
      <c r="D37" s="3" t="str">
        <f ca="1">IFERROR(__xludf.DUMMYFUNCTION("IFERROR(IF(C37&gt;0, FILTER('VPLData(raw)'!E:E,'VPLData(raw)'!B:B=504,'VPLData(raw)'!A:A=A37), 0),0)"),"10")</f>
        <v>10</v>
      </c>
      <c r="E37" t="str">
        <f ca="1">IFERROR(__xludf.DUMMYFUNCTION("IFERROR(FILTER('VPLData(raw)'!F:F,'VPLData(raw)'!B:B=504,'VPLData(raw)'!A:A=A37),0)"),"592")</f>
        <v>592</v>
      </c>
      <c r="F37" t="str">
        <f ca="1">IFERROR(__xludf.DUMMYFUNCTION("IFERROR(FILTER('VPLData(raw)'!C:C,'VPLData(raw)'!B:B=454,'VPLData(raw)'!A:A=A37),0)"),"1491521351")</f>
        <v>1491521351</v>
      </c>
      <c r="G37" t="str">
        <f ca="1">IFERROR(__xludf.DUMMYFUNCTION("IFERROR(IF(F37&gt;0, FILTER('VPLData(raw)'!E:E,'VPLData(raw)'!B:B=454,'VPLData(raw)'!A:A=A37), 0),0)"),"10")</f>
        <v>10</v>
      </c>
      <c r="H37" t="str">
        <f ca="1">IFERROR(__xludf.DUMMYFUNCTION("IFERROR(FILTER('VPLData(raw)'!F:F,'VPLData(raw)'!B:B=454,'VPLData(raw)'!A:A=A37),0)"),"1769")</f>
        <v>1769</v>
      </c>
      <c r="I37" t="str">
        <f ca="1">IFERROR(__xludf.DUMMYFUNCTION("IFERROR(FILTER('VPLData(raw)'!C:C,'VPLData(raw)'!B:B=457,'VPLData(raw)'!A:A=A37),0)"),"1491870766")</f>
        <v>1491870766</v>
      </c>
      <c r="J37" t="str">
        <f ca="1">IFERROR(__xludf.DUMMYFUNCTION("IFERROR(IF(I37&gt;0, FILTER('VPLData(raw)'!E:E,'VPLData(raw)'!B:B=457,'VPLData(raw)'!A:A=A37), 0),0)"),"10")</f>
        <v>10</v>
      </c>
      <c r="K37" t="str">
        <f ca="1">IFERROR(__xludf.DUMMYFUNCTION("IFERROR(FILTER('VPLData(raw)'!F:F,'VPLData(raw)'!B:B=457,'VPLData(raw)'!A:A=A37),0)"),"4369")</f>
        <v>4369</v>
      </c>
      <c r="L37" t="str">
        <f ca="1">IFERROR(__xludf.DUMMYFUNCTION("IFERROR(FILTER('VPLData(raw)'!C:C,'VPLData(raw)'!B:B=534,'VPLData(raw)'!A:A=A37),0)"),"0")</f>
        <v>0</v>
      </c>
      <c r="M37" t="str">
        <f ca="1">IFERROR(__xludf.DUMMYFUNCTION("IFERROR(IF(L37&gt;0, FILTER('VPLData(raw)'!E:E,'VPLData(raw)'!B:B=534,'VPLData(raw)'!A:A=A37), 0),0)"),"0")</f>
        <v>0</v>
      </c>
      <c r="N37" t="str">
        <f ca="1">IFERROR(__xludf.DUMMYFUNCTION("IFERROR(FILTER('VPLData(raw)'!F:F,'VPLData(raw)'!B:B=534,'VPLData(raw)'!A:A=A37),0)"),"0")</f>
        <v>0</v>
      </c>
      <c r="O37" t="str">
        <f ca="1">IFERROR(__xludf.DUMMYFUNCTION("IFERROR(FILTER('VPLData(raw)'!C:C,'VPLData(raw)'!B:B=498,'VPLData(raw)'!A:A=A37),0)"),"1492445713")</f>
        <v>1492445713</v>
      </c>
      <c r="P37" t="str">
        <f ca="1">IFERROR(__xludf.DUMMYFUNCTION("IFERROR(IF(O37&gt;0, FILTER('VPLData(raw)'!E:E,'VPLData(raw)'!B:B=498,'VPLData(raw)'!A:A=A37), 0),0)"),"10")</f>
        <v>10</v>
      </c>
      <c r="Q37" t="str">
        <f ca="1">IFERROR(__xludf.DUMMYFUNCTION("IFERROR(FILTER('VPLData(raw)'!F:F,'VPLData(raw)'!B:B=498,'VPLData(raw)'!A:A=A37),0)"),"1095")</f>
        <v>1095</v>
      </c>
      <c r="R37" t="str">
        <f ca="1">IFERROR(__xludf.DUMMYFUNCTION("IFERROR(FILTER('VPLData(raw)'!C:C,'VPLData(raw)'!B:B=515,'VPLData(raw)'!A:A=A37),0)"),"1492446217")</f>
        <v>1492446217</v>
      </c>
      <c r="S37" t="str">
        <f ca="1">IFERROR(__xludf.DUMMYFUNCTION("IFERROR(IF(R37&gt;0, FILTER('VPLData(raw)'!E:E,'VPLData(raw)'!B:B=515,'VPLData(raw)'!A:A=A37), 0),0)"),"10")</f>
        <v>10</v>
      </c>
      <c r="T37" t="str">
        <f ca="1">IFERROR(__xludf.DUMMYFUNCTION("IFERROR(FILTER('VPLData(raw)'!F:F,'VPLData(raw)'!B:B=515,'VPLData(raw)'!A:A=A37),0)"),"2478")</f>
        <v>2478</v>
      </c>
      <c r="U37" t="str">
        <f ca="1">IFERROR(__xludf.DUMMYFUNCTION("IFERROR(FILTER('VPLData(raw)'!C:C,'VPLData(raw)'!B:B=528,'VPLData(raw)'!A:A=A37),0)"),"1494520579")</f>
        <v>1494520579</v>
      </c>
      <c r="V37" t="str">
        <f ca="1">IFERROR(__xludf.DUMMYFUNCTION("IFERROR(IF(U37&gt;0, FILTER('VPLData(raw)'!E:E,'VPLData(raw)'!B:B=528,'VPLData(raw)'!A:A=A37), 0),0)"),"10")</f>
        <v>10</v>
      </c>
      <c r="W37" t="str">
        <f ca="1">IFERROR(__xludf.DUMMYFUNCTION("IFERROR(FILTER('VPLData(raw)'!F:F,'VPLData(raw)'!B:B=528,'VPLData(raw)'!A:A=A37),0)"),"476")</f>
        <v>476</v>
      </c>
      <c r="X37" t="str">
        <f ca="1">IFERROR(__xludf.DUMMYFUNCTION("IFERROR(FILTER('VPLData(raw)'!C:C,'VPLData(raw)'!B:B=524,'VPLData(raw)'!A:A=A37),0)"),"1494861244")</f>
        <v>1494861244</v>
      </c>
      <c r="Y37" t="str">
        <f ca="1">IFERROR(__xludf.DUMMYFUNCTION("IFERROR(IF(X37&gt;0, FILTER('VPLData(raw)'!E:E,'VPLData(raw)'!B:B=524,'VPLData(raw)'!A:A=A37), 0),0)"),"10")</f>
        <v>10</v>
      </c>
      <c r="Z37" t="str">
        <f ca="1">IFERROR(__xludf.DUMMYFUNCTION("IFERROR(FILTER('VPLData(raw)'!F:F,'VPLData(raw)'!B:B=524,'VPLData(raw)'!A:A=A37),0)"),"1476")</f>
        <v>1476</v>
      </c>
      <c r="AA37" t="str">
        <f ca="1">IFERROR(__xludf.DUMMYFUNCTION("IFERROR(FILTER('VPLData(raw)'!C:C,'VPLData(raw)'!B:B=478,'VPLData(raw)'!A:A=A37),0)"),"1494861290")</f>
        <v>1494861290</v>
      </c>
      <c r="AB37" t="str">
        <f ca="1">IFERROR(__xludf.DUMMYFUNCTION("IFERROR(IF(AA37&gt;0, FILTER('VPLData(raw)'!E:E,'VPLData(raw)'!B:B=478,'VPLData(raw)'!A:A=A37), 0),0)"),"10")</f>
        <v>10</v>
      </c>
      <c r="AC37" t="str">
        <f ca="1">IFERROR(__xludf.DUMMYFUNCTION("IFERROR(FILTER('VPLData(raw)'!F:F,'VPLData(raw)'!B:B=478,'VPLData(raw)'!A:A=A37),0)"),"7357")</f>
        <v>7357</v>
      </c>
      <c r="AD37" t="str">
        <f ca="1">IFERROR(__xludf.DUMMYFUNCTION("IFERROR(FILTER('VPLData(raw)'!C:C,'VPLData(raw)'!B:B=542,'VPLData(raw)'!A:A=A37),0)"),"1499266696")</f>
        <v>1499266696</v>
      </c>
      <c r="AE37" t="str">
        <f ca="1">IFERROR(__xludf.DUMMYFUNCTION("IFERROR(IF(AD37&gt;0, FILTER('VPLData(raw)'!E:E,'VPLData(raw)'!B:B=542,'VPLData(raw)'!A:A=A37), 0),0)"),"10")</f>
        <v>10</v>
      </c>
      <c r="AF37" t="str">
        <f ca="1">IFERROR(__xludf.DUMMYFUNCTION("IFERROR(FILTER('VPLData(raw)'!F:F,'VPLData(raw)'!B:B=542,'VPLData(raw)'!A:A=A37),0)"),"2117")</f>
        <v>2117</v>
      </c>
      <c r="AG37" t="str">
        <f ca="1">IFERROR(__xludf.DUMMYFUNCTION("IFERROR(FILTER('VPLData(raw)'!C:C,'VPLData(raw)'!B:B=544,'VPLData(raw)'!A:A=A37),0)"),"1499271074")</f>
        <v>1499271074</v>
      </c>
      <c r="AH37" t="str">
        <f ca="1">IFERROR(__xludf.DUMMYFUNCTION("IFERROR(IF(AG37&gt;0, FILTER('VPLData(raw)'!E:E,'VPLData(raw)'!B:B=544,'VPLData(raw)'!A:A=A37), 0),0)"),"10")</f>
        <v>10</v>
      </c>
      <c r="AI37" t="str">
        <f ca="1">IFERROR(__xludf.DUMMYFUNCTION("IFERROR(FILTER('VPLData(raw)'!F:F,'VPLData(raw)'!B:B=544,'VPLData(raw)'!A:A=A37),0)"),"3182")</f>
        <v>3182</v>
      </c>
      <c r="AJ37" t="str">
        <f ca="1">IFERROR(__xludf.DUMMYFUNCTION("IFERROR(FILTER('VPLData(raw)'!C:C,'VPLData(raw)'!B:B=545,'VPLData(raw)'!A:A=A37),0)"),"1499362793")</f>
        <v>1499362793</v>
      </c>
      <c r="AK37" t="str">
        <f ca="1">IFERROR(__xludf.DUMMYFUNCTION("IFERROR(IF(AJ37&gt;0, FILTER('VPLData(raw)'!E:E,'VPLData(raw)'!B:B=545,'VPLData(raw)'!A:A=A37), 0),0)"),"")</f>
        <v/>
      </c>
      <c r="AL37" t="str">
        <f ca="1">IFERROR(__xludf.DUMMYFUNCTION("IFERROR(FILTER('VPLData(raw)'!F:F,'VPLData(raw)'!B:B=545,'VPLData(raw)'!A:A=A37),0)"),"5374")</f>
        <v>5374</v>
      </c>
    </row>
    <row r="38" spans="1:38" ht="15.75" customHeight="1" x14ac:dyDescent="0.15">
      <c r="A38" s="2">
        <v>10208</v>
      </c>
      <c r="B38" s="2">
        <v>10276932</v>
      </c>
      <c r="C38" t="str">
        <f ca="1">IFERROR(__xludf.DUMMYFUNCTION("IFERROR(FILTER('VPLData(raw)'!C:C,'VPLData(raw)'!B:B=504,'VPLData(raw)'!A:A=A38),0)"),"0")</f>
        <v>0</v>
      </c>
      <c r="D38" s="3" t="str">
        <f ca="1">IFERROR(__xludf.DUMMYFUNCTION("IFERROR(IF(C38&gt;0, FILTER('VPLData(raw)'!E:E,'VPLData(raw)'!B:B=504,'VPLData(raw)'!A:A=A38), 0),0)"),"0")</f>
        <v>0</v>
      </c>
      <c r="E38" t="str">
        <f ca="1">IFERROR(__xludf.DUMMYFUNCTION("IFERROR(FILTER('VPLData(raw)'!F:F,'VPLData(raw)'!B:B=504,'VPLData(raw)'!A:A=A38),0)"),"0")</f>
        <v>0</v>
      </c>
      <c r="F38" t="str">
        <f ca="1">IFERROR(__xludf.DUMMYFUNCTION("IFERROR(FILTER('VPLData(raw)'!C:C,'VPLData(raw)'!B:B=454,'VPLData(raw)'!A:A=A38),0)"),"1491759104")</f>
        <v>1491759104</v>
      </c>
      <c r="G38" t="str">
        <f ca="1">IFERROR(__xludf.DUMMYFUNCTION("IFERROR(IF(F38&gt;0, FILTER('VPLData(raw)'!E:E,'VPLData(raw)'!B:B=454,'VPLData(raw)'!A:A=A38), 0),0)"),"10")</f>
        <v>10</v>
      </c>
      <c r="H38" t="str">
        <f ca="1">IFERROR(__xludf.DUMMYFUNCTION("IFERROR(FILTER('VPLData(raw)'!F:F,'VPLData(raw)'!B:B=454,'VPLData(raw)'!A:A=A38),0)"),"198")</f>
        <v>198</v>
      </c>
      <c r="I38" t="str">
        <f ca="1">IFERROR(__xludf.DUMMYFUNCTION("IFERROR(FILTER('VPLData(raw)'!C:C,'VPLData(raw)'!B:B=457,'VPLData(raw)'!A:A=A38),0)"),"1491759985")</f>
        <v>1491759985</v>
      </c>
      <c r="J38" t="str">
        <f ca="1">IFERROR(__xludf.DUMMYFUNCTION("IFERROR(IF(I38&gt;0, FILTER('VPLData(raw)'!E:E,'VPLData(raw)'!B:B=457,'VPLData(raw)'!A:A=A38), 0),0)"),"10")</f>
        <v>10</v>
      </c>
      <c r="K38" t="str">
        <f ca="1">IFERROR(__xludf.DUMMYFUNCTION("IFERROR(FILTER('VPLData(raw)'!F:F,'VPLData(raw)'!B:B=457,'VPLData(raw)'!A:A=A38),0)"),"2033")</f>
        <v>2033</v>
      </c>
      <c r="L38" t="str">
        <f ca="1">IFERROR(__xludf.DUMMYFUNCTION("IFERROR(FILTER('VPLData(raw)'!C:C,'VPLData(raw)'!B:B=534,'VPLData(raw)'!A:A=A38),0)"),"1495649875")</f>
        <v>1495649875</v>
      </c>
      <c r="M38" t="str">
        <f ca="1">IFERROR(__xludf.DUMMYFUNCTION("IFERROR(IF(L38&gt;0, FILTER('VPLData(raw)'!E:E,'VPLData(raw)'!B:B=534,'VPLData(raw)'!A:A=A38), 0),0)"),"10")</f>
        <v>10</v>
      </c>
      <c r="N38" t="str">
        <f ca="1">IFERROR(__xludf.DUMMYFUNCTION("IFERROR(FILTER('VPLData(raw)'!F:F,'VPLData(raw)'!B:B=534,'VPLData(raw)'!A:A=A38),0)"),"4218")</f>
        <v>4218</v>
      </c>
      <c r="O38" t="str">
        <f ca="1">IFERROR(__xludf.DUMMYFUNCTION("IFERROR(FILTER('VPLData(raw)'!C:C,'VPLData(raw)'!B:B=498,'VPLData(raw)'!A:A=A38),0)"),"1492445132")</f>
        <v>1492445132</v>
      </c>
      <c r="P38" t="str">
        <f ca="1">IFERROR(__xludf.DUMMYFUNCTION("IFERROR(IF(O38&gt;0, FILTER('VPLData(raw)'!E:E,'VPLData(raw)'!B:B=498,'VPLData(raw)'!A:A=A38), 0),0)"),"10")</f>
        <v>10</v>
      </c>
      <c r="Q38" t="str">
        <f ca="1">IFERROR(__xludf.DUMMYFUNCTION("IFERROR(FILTER('VPLData(raw)'!F:F,'VPLData(raw)'!B:B=498,'VPLData(raw)'!A:A=A38),0)"),"1172")</f>
        <v>1172</v>
      </c>
      <c r="R38" t="str">
        <f ca="1">IFERROR(__xludf.DUMMYFUNCTION("IFERROR(FILTER('VPLData(raw)'!C:C,'VPLData(raw)'!B:B=515,'VPLData(raw)'!A:A=A38),0)"),"1492447205")</f>
        <v>1492447205</v>
      </c>
      <c r="S38" t="str">
        <f ca="1">IFERROR(__xludf.DUMMYFUNCTION("IFERROR(IF(R38&gt;0, FILTER('VPLData(raw)'!E:E,'VPLData(raw)'!B:B=515,'VPLData(raw)'!A:A=A38), 0),0)"),"10")</f>
        <v>10</v>
      </c>
      <c r="T38" t="str">
        <f ca="1">IFERROR(__xludf.DUMMYFUNCTION("IFERROR(FILTER('VPLData(raw)'!F:F,'VPLData(raw)'!B:B=515,'VPLData(raw)'!A:A=A38),0)"),"968")</f>
        <v>968</v>
      </c>
      <c r="U38" t="str">
        <f ca="1">IFERROR(__xludf.DUMMYFUNCTION("IFERROR(FILTER('VPLData(raw)'!C:C,'VPLData(raw)'!B:B=528,'VPLData(raw)'!A:A=A38),0)"),"1494358372")</f>
        <v>1494358372</v>
      </c>
      <c r="V38" t="str">
        <f ca="1">IFERROR(__xludf.DUMMYFUNCTION("IFERROR(IF(U38&gt;0, FILTER('VPLData(raw)'!E:E,'VPLData(raw)'!B:B=528,'VPLData(raw)'!A:A=A38), 0),0)"),"10")</f>
        <v>10</v>
      </c>
      <c r="W38" t="str">
        <f ca="1">IFERROR(__xludf.DUMMYFUNCTION("IFERROR(FILTER('VPLData(raw)'!F:F,'VPLData(raw)'!B:B=528,'VPLData(raw)'!A:A=A38),0)"),"751")</f>
        <v>751</v>
      </c>
      <c r="X38" t="str">
        <f ca="1">IFERROR(__xludf.DUMMYFUNCTION("IFERROR(FILTER('VPLData(raw)'!C:C,'VPLData(raw)'!B:B=524,'VPLData(raw)'!A:A=A38),0)"),"1494359065")</f>
        <v>1494359065</v>
      </c>
      <c r="Y38" t="str">
        <f ca="1">IFERROR(__xludf.DUMMYFUNCTION("IFERROR(IF(X38&gt;0, FILTER('VPLData(raw)'!E:E,'VPLData(raw)'!B:B=524,'VPLData(raw)'!A:A=A38), 0),0)"),"10")</f>
        <v>10</v>
      </c>
      <c r="Z38" t="str">
        <f ca="1">IFERROR(__xludf.DUMMYFUNCTION("IFERROR(FILTER('VPLData(raw)'!F:F,'VPLData(raw)'!B:B=524,'VPLData(raw)'!A:A=A38),0)"),"918")</f>
        <v>918</v>
      </c>
      <c r="AA38" t="str">
        <f ca="1">IFERROR(__xludf.DUMMYFUNCTION("IFERROR(FILTER('VPLData(raw)'!C:C,'VPLData(raw)'!B:B=478,'VPLData(raw)'!A:A=A38),0)"),"1494359988")</f>
        <v>1494359988</v>
      </c>
      <c r="AB38" t="str">
        <f ca="1">IFERROR(__xludf.DUMMYFUNCTION("IFERROR(IF(AA38&gt;0, FILTER('VPLData(raw)'!E:E,'VPLData(raw)'!B:B=478,'VPLData(raw)'!A:A=A38), 0),0)"),"10")</f>
        <v>10</v>
      </c>
      <c r="AC38" t="str">
        <f ca="1">IFERROR(__xludf.DUMMYFUNCTION("IFERROR(FILTER('VPLData(raw)'!F:F,'VPLData(raw)'!B:B=478,'VPLData(raw)'!A:A=A38),0)"),"1631")</f>
        <v>1631</v>
      </c>
      <c r="AD38" t="str">
        <f ca="1">IFERROR(__xludf.DUMMYFUNCTION("IFERROR(FILTER('VPLData(raw)'!C:C,'VPLData(raw)'!B:B=542,'VPLData(raw)'!A:A=A38),0)"),"1497728706")</f>
        <v>1497728706</v>
      </c>
      <c r="AE38" t="str">
        <f ca="1">IFERROR(__xludf.DUMMYFUNCTION("IFERROR(IF(AD38&gt;0, FILTER('VPLData(raw)'!E:E,'VPLData(raw)'!B:B=542,'VPLData(raw)'!A:A=A38), 0),0)"),"10")</f>
        <v>10</v>
      </c>
      <c r="AF38" t="str">
        <f ca="1">IFERROR(__xludf.DUMMYFUNCTION("IFERROR(FILTER('VPLData(raw)'!F:F,'VPLData(raw)'!B:B=542,'VPLData(raw)'!A:A=A38),0)"),"10732")</f>
        <v>10732</v>
      </c>
      <c r="AG38" t="str">
        <f ca="1">IFERROR(__xludf.DUMMYFUNCTION("IFERROR(FILTER('VPLData(raw)'!C:C,'VPLData(raw)'!B:B=544,'VPLData(raw)'!A:A=A38),0)"),"1497986819")</f>
        <v>1497986819</v>
      </c>
      <c r="AH38" t="str">
        <f ca="1">IFERROR(__xludf.DUMMYFUNCTION("IFERROR(IF(AG38&gt;0, FILTER('VPLData(raw)'!E:E,'VPLData(raw)'!B:B=544,'VPLData(raw)'!A:A=A38), 0),0)"),"10")</f>
        <v>10</v>
      </c>
      <c r="AI38" t="str">
        <f ca="1">IFERROR(__xludf.DUMMYFUNCTION("IFERROR(FILTER('VPLData(raw)'!F:F,'VPLData(raw)'!B:B=544,'VPLData(raw)'!A:A=A38),0)"),"8676")</f>
        <v>8676</v>
      </c>
      <c r="AJ38" t="str">
        <f ca="1">IFERROR(__xludf.DUMMYFUNCTION("IFERROR(FILTER('VPLData(raw)'!C:C,'VPLData(raw)'!B:B=545,'VPLData(raw)'!A:A=A38),0)"),"1498081788")</f>
        <v>1498081788</v>
      </c>
      <c r="AK38" t="str">
        <f ca="1">IFERROR(__xludf.DUMMYFUNCTION("IFERROR(IF(AJ38&gt;0, FILTER('VPLData(raw)'!E:E,'VPLData(raw)'!B:B=545,'VPLData(raw)'!A:A=A38), 0),0)"),"10")</f>
        <v>10</v>
      </c>
      <c r="AL38" t="str">
        <f ca="1">IFERROR(__xludf.DUMMYFUNCTION("IFERROR(FILTER('VPLData(raw)'!F:F,'VPLData(raw)'!B:B=545,'VPLData(raw)'!A:A=A38),0)"),"6115")</f>
        <v>6115</v>
      </c>
    </row>
    <row r="39" spans="1:38" ht="15.75" customHeight="1" x14ac:dyDescent="0.15">
      <c r="A39" s="2">
        <v>10176</v>
      </c>
      <c r="B39" s="2">
        <v>10276949</v>
      </c>
      <c r="C39" t="str">
        <f ca="1">IFERROR(__xludf.DUMMYFUNCTION("IFERROR(FILTER('VPLData(raw)'!C:C,'VPLData(raw)'!B:B=504,'VPLData(raw)'!A:A=A39),0)"),"1490838508")</f>
        <v>1490838508</v>
      </c>
      <c r="D39" s="3" t="str">
        <f ca="1">IFERROR(__xludf.DUMMYFUNCTION("IFERROR(IF(C39&gt;0, FILTER('VPLData(raw)'!E:E,'VPLData(raw)'!B:B=504,'VPLData(raw)'!A:A=A39), 0),0)"),"10")</f>
        <v>10</v>
      </c>
      <c r="E39" t="str">
        <f ca="1">IFERROR(__xludf.DUMMYFUNCTION("IFERROR(FILTER('VPLData(raw)'!F:F,'VPLData(raw)'!B:B=504,'VPLData(raw)'!A:A=A39),0)"),"3187")</f>
        <v>3187</v>
      </c>
      <c r="F39" t="str">
        <f ca="1">IFERROR(__xludf.DUMMYFUNCTION("IFERROR(FILTER('VPLData(raw)'!C:C,'VPLData(raw)'!B:B=454,'VPLData(raw)'!A:A=A39),0)"),"1491528063")</f>
        <v>1491528063</v>
      </c>
      <c r="G39" t="str">
        <f ca="1">IFERROR(__xludf.DUMMYFUNCTION("IFERROR(IF(F39&gt;0, FILTER('VPLData(raw)'!E:E,'VPLData(raw)'!B:B=454,'VPLData(raw)'!A:A=A39), 0),0)"),"10")</f>
        <v>10</v>
      </c>
      <c r="H39" t="str">
        <f ca="1">IFERROR(__xludf.DUMMYFUNCTION("IFERROR(FILTER('VPLData(raw)'!F:F,'VPLData(raw)'!B:B=454,'VPLData(raw)'!A:A=A39),0)"),"2123")</f>
        <v>2123</v>
      </c>
      <c r="I39" t="str">
        <f ca="1">IFERROR(__xludf.DUMMYFUNCTION("IFERROR(FILTER('VPLData(raw)'!C:C,'VPLData(raw)'!B:B=457,'VPLData(raw)'!A:A=A39),0)"),"1491836077")</f>
        <v>1491836077</v>
      </c>
      <c r="J39" t="str">
        <f ca="1">IFERROR(__xludf.DUMMYFUNCTION("IFERROR(IF(I39&gt;0, FILTER('VPLData(raw)'!E:E,'VPLData(raw)'!B:B=457,'VPLData(raw)'!A:A=A39), 0),0)"),"10")</f>
        <v>10</v>
      </c>
      <c r="K39" t="str">
        <f ca="1">IFERROR(__xludf.DUMMYFUNCTION("IFERROR(FILTER('VPLData(raw)'!F:F,'VPLData(raw)'!B:B=457,'VPLData(raw)'!A:A=A39),0)"),"2208")</f>
        <v>2208</v>
      </c>
      <c r="L39" t="str">
        <f ca="1">IFERROR(__xludf.DUMMYFUNCTION("IFERROR(FILTER('VPLData(raw)'!C:C,'VPLData(raw)'!B:B=534,'VPLData(raw)'!A:A=A39),0)"),"0")</f>
        <v>0</v>
      </c>
      <c r="M39" t="str">
        <f ca="1">IFERROR(__xludf.DUMMYFUNCTION("IFERROR(IF(L39&gt;0, FILTER('VPLData(raw)'!E:E,'VPLData(raw)'!B:B=534,'VPLData(raw)'!A:A=A39), 0),0)"),"0")</f>
        <v>0</v>
      </c>
      <c r="N39" t="str">
        <f ca="1">IFERROR(__xludf.DUMMYFUNCTION("IFERROR(FILTER('VPLData(raw)'!F:F,'VPLData(raw)'!B:B=534,'VPLData(raw)'!A:A=A39),0)"),"0")</f>
        <v>0</v>
      </c>
      <c r="O39" t="str">
        <f ca="1">IFERROR(__xludf.DUMMYFUNCTION("IFERROR(FILTER('VPLData(raw)'!C:C,'VPLData(raw)'!B:B=498,'VPLData(raw)'!A:A=A39),0)"),"1492884440")</f>
        <v>1492884440</v>
      </c>
      <c r="P39" t="str">
        <f ca="1">IFERROR(__xludf.DUMMYFUNCTION("IFERROR(IF(O39&gt;0, FILTER('VPLData(raw)'!E:E,'VPLData(raw)'!B:B=498,'VPLData(raw)'!A:A=A39), 0),0)"),"10")</f>
        <v>10</v>
      </c>
      <c r="Q39" t="str">
        <f ca="1">IFERROR(__xludf.DUMMYFUNCTION("IFERROR(FILTER('VPLData(raw)'!F:F,'VPLData(raw)'!B:B=498,'VPLData(raw)'!A:A=A39),0)"),"426")</f>
        <v>426</v>
      </c>
      <c r="R39" t="str">
        <f ca="1">IFERROR(__xludf.DUMMYFUNCTION("IFERROR(FILTER('VPLData(raw)'!C:C,'VPLData(raw)'!B:B=515,'VPLData(raw)'!A:A=A39),0)"),"1492883890")</f>
        <v>1492883890</v>
      </c>
      <c r="S39" t="str">
        <f ca="1">IFERROR(__xludf.DUMMYFUNCTION("IFERROR(IF(R39&gt;0, FILTER('VPLData(raw)'!E:E,'VPLData(raw)'!B:B=515,'VPLData(raw)'!A:A=A39), 0),0)"),"10")</f>
        <v>10</v>
      </c>
      <c r="T39" t="str">
        <f ca="1">IFERROR(__xludf.DUMMYFUNCTION("IFERROR(FILTER('VPLData(raw)'!F:F,'VPLData(raw)'!B:B=515,'VPLData(raw)'!A:A=A39),0)"),"1023")</f>
        <v>1023</v>
      </c>
      <c r="U39" t="str">
        <f ca="1">IFERROR(__xludf.DUMMYFUNCTION("IFERROR(FILTER('VPLData(raw)'!C:C,'VPLData(raw)'!B:B=528,'VPLData(raw)'!A:A=A39),0)"),"1494802838")</f>
        <v>1494802838</v>
      </c>
      <c r="V39" t="str">
        <f ca="1">IFERROR(__xludf.DUMMYFUNCTION("IFERROR(IF(U39&gt;0, FILTER('VPLData(raw)'!E:E,'VPLData(raw)'!B:B=528,'VPLData(raw)'!A:A=A39), 0),0)"),"10")</f>
        <v>10</v>
      </c>
      <c r="W39" t="str">
        <f ca="1">IFERROR(__xludf.DUMMYFUNCTION("IFERROR(FILTER('VPLData(raw)'!F:F,'VPLData(raw)'!B:B=528,'VPLData(raw)'!A:A=A39),0)"),"1628")</f>
        <v>1628</v>
      </c>
      <c r="X39" t="str">
        <f ca="1">IFERROR(__xludf.DUMMYFUNCTION("IFERROR(FILTER('VPLData(raw)'!C:C,'VPLData(raw)'!B:B=524,'VPLData(raw)'!A:A=A39),0)"),"1495906061")</f>
        <v>1495906061</v>
      </c>
      <c r="Y39" t="str">
        <f ca="1">IFERROR(__xludf.DUMMYFUNCTION("IFERROR(IF(X39&gt;0, FILTER('VPLData(raw)'!E:E,'VPLData(raw)'!B:B=524,'VPLData(raw)'!A:A=A39), 0),0)"),"10")</f>
        <v>10</v>
      </c>
      <c r="Z39" t="str">
        <f ca="1">IFERROR(__xludf.DUMMYFUNCTION("IFERROR(FILTER('VPLData(raw)'!F:F,'VPLData(raw)'!B:B=524,'VPLData(raw)'!A:A=A39),0)"),"3810")</f>
        <v>3810</v>
      </c>
      <c r="AA39" t="str">
        <f ca="1">IFERROR(__xludf.DUMMYFUNCTION("IFERROR(FILTER('VPLData(raw)'!C:C,'VPLData(raw)'!B:B=478,'VPLData(raw)'!A:A=A39),0)"),"1495982575")</f>
        <v>1495982575</v>
      </c>
      <c r="AB39" t="str">
        <f ca="1">IFERROR(__xludf.DUMMYFUNCTION("IFERROR(IF(AA39&gt;0, FILTER('VPLData(raw)'!E:E,'VPLData(raw)'!B:B=478,'VPLData(raw)'!A:A=A39), 0),0)"),"10")</f>
        <v>10</v>
      </c>
      <c r="AC39" t="str">
        <f ca="1">IFERROR(__xludf.DUMMYFUNCTION("IFERROR(FILTER('VPLData(raw)'!F:F,'VPLData(raw)'!B:B=478,'VPLData(raw)'!A:A=A39),0)"),"2851")</f>
        <v>2851</v>
      </c>
      <c r="AD39" t="str">
        <f ca="1">IFERROR(__xludf.DUMMYFUNCTION("IFERROR(FILTER('VPLData(raw)'!C:C,'VPLData(raw)'!B:B=542,'VPLData(raw)'!A:A=A39),0)"),"1499314559")</f>
        <v>1499314559</v>
      </c>
      <c r="AE39" t="str">
        <f ca="1">IFERROR(__xludf.DUMMYFUNCTION("IFERROR(IF(AD39&gt;0, FILTER('VPLData(raw)'!E:E,'VPLData(raw)'!B:B=542,'VPLData(raw)'!A:A=A39), 0),0)"),"10")</f>
        <v>10</v>
      </c>
      <c r="AF39" t="str">
        <f ca="1">IFERROR(__xludf.DUMMYFUNCTION("IFERROR(FILTER('VPLData(raw)'!F:F,'VPLData(raw)'!B:B=542,'VPLData(raw)'!A:A=A39),0)"),"667")</f>
        <v>667</v>
      </c>
      <c r="AG39" t="str">
        <f ca="1">IFERROR(__xludf.DUMMYFUNCTION("IFERROR(FILTER('VPLData(raw)'!C:C,'VPLData(raw)'!B:B=544,'VPLData(raw)'!A:A=A39),0)"),"1499451831")</f>
        <v>1499451831</v>
      </c>
      <c r="AH39" t="str">
        <f ca="1">IFERROR(__xludf.DUMMYFUNCTION("IFERROR(IF(AG39&gt;0, FILTER('VPLData(raw)'!E:E,'VPLData(raw)'!B:B=544,'VPLData(raw)'!A:A=A39), 0),0)"),"10")</f>
        <v>10</v>
      </c>
      <c r="AI39" t="str">
        <f ca="1">IFERROR(__xludf.DUMMYFUNCTION("IFERROR(FILTER('VPLData(raw)'!F:F,'VPLData(raw)'!B:B=544,'VPLData(raw)'!A:A=A39),0)"),"1286")</f>
        <v>1286</v>
      </c>
      <c r="AJ39" t="str">
        <f ca="1">IFERROR(__xludf.DUMMYFUNCTION("IFERROR(FILTER('VPLData(raw)'!C:C,'VPLData(raw)'!B:B=545,'VPLData(raw)'!A:A=A39),0)"),"1499451338")</f>
        <v>1499451338</v>
      </c>
      <c r="AK39" t="str">
        <f ca="1">IFERROR(__xludf.DUMMYFUNCTION("IFERROR(IF(AJ39&gt;0, FILTER('VPLData(raw)'!E:E,'VPLData(raw)'!B:B=545,'VPLData(raw)'!A:A=A39), 0),0)"),"10")</f>
        <v>10</v>
      </c>
      <c r="AL39" t="str">
        <f ca="1">IFERROR(__xludf.DUMMYFUNCTION("IFERROR(FILTER('VPLData(raw)'!F:F,'VPLData(raw)'!B:B=545,'VPLData(raw)'!A:A=A39),0)"),"414")</f>
        <v>414</v>
      </c>
    </row>
    <row r="40" spans="1:38" ht="15.75" customHeight="1" x14ac:dyDescent="0.15">
      <c r="A40" s="2">
        <v>10238</v>
      </c>
      <c r="B40" s="2">
        <v>10276953</v>
      </c>
      <c r="C40" t="str">
        <f ca="1">IFERROR(__xludf.DUMMYFUNCTION("IFERROR(FILTER('VPLData(raw)'!C:C,'VPLData(raw)'!B:B=504,'VPLData(raw)'!A:A=A40),0)"),"0")</f>
        <v>0</v>
      </c>
      <c r="D40" s="3" t="str">
        <f ca="1">IFERROR(__xludf.DUMMYFUNCTION("IFERROR(IF(C40&gt;0, FILTER('VPLData(raw)'!E:E,'VPLData(raw)'!B:B=504,'VPLData(raw)'!A:A=A40), 0),0)"),"0")</f>
        <v>0</v>
      </c>
      <c r="E40" t="str">
        <f ca="1">IFERROR(__xludf.DUMMYFUNCTION("IFERROR(FILTER('VPLData(raw)'!F:F,'VPLData(raw)'!B:B=504,'VPLData(raw)'!A:A=A40),0)"),"0")</f>
        <v>0</v>
      </c>
      <c r="F40" t="str">
        <f ca="1">IFERROR(__xludf.DUMMYFUNCTION("IFERROR(FILTER('VPLData(raw)'!C:C,'VPLData(raw)'!B:B=454,'VPLData(raw)'!A:A=A40),0)"),"1492528814")</f>
        <v>1492528814</v>
      </c>
      <c r="G40" t="str">
        <f ca="1">IFERROR(__xludf.DUMMYFUNCTION("IFERROR(IF(F40&gt;0, FILTER('VPLData(raw)'!E:E,'VPLData(raw)'!B:B=454,'VPLData(raw)'!A:A=A40), 0),0)"),"")</f>
        <v/>
      </c>
      <c r="H40" t="str">
        <f ca="1">IFERROR(__xludf.DUMMYFUNCTION("IFERROR(FILTER('VPLData(raw)'!F:F,'VPLData(raw)'!B:B=454,'VPLData(raw)'!A:A=A40),0)"),"241")</f>
        <v>241</v>
      </c>
      <c r="I40" t="str">
        <f ca="1">IFERROR(__xludf.DUMMYFUNCTION("IFERROR(FILTER('VPLData(raw)'!C:C,'VPLData(raw)'!B:B=457,'VPLData(raw)'!A:A=A40),0)"),"0")</f>
        <v>0</v>
      </c>
      <c r="J40" t="str">
        <f ca="1">IFERROR(__xludf.DUMMYFUNCTION("IFERROR(IF(I40&gt;0, FILTER('VPLData(raw)'!E:E,'VPLData(raw)'!B:B=457,'VPLData(raw)'!A:A=A40), 0),0)"),"0")</f>
        <v>0</v>
      </c>
      <c r="K40" t="str">
        <f ca="1">IFERROR(__xludf.DUMMYFUNCTION("IFERROR(FILTER('VPLData(raw)'!F:F,'VPLData(raw)'!B:B=457,'VPLData(raw)'!A:A=A40),0)"),"0")</f>
        <v>0</v>
      </c>
      <c r="L40" t="str">
        <f ca="1">IFERROR(__xludf.DUMMYFUNCTION("IFERROR(FILTER('VPLData(raw)'!C:C,'VPLData(raw)'!B:B=534,'VPLData(raw)'!A:A=A40),0)"),"0")</f>
        <v>0</v>
      </c>
      <c r="M40" t="str">
        <f ca="1">IFERROR(__xludf.DUMMYFUNCTION("IFERROR(IF(L40&gt;0, FILTER('VPLData(raw)'!E:E,'VPLData(raw)'!B:B=534,'VPLData(raw)'!A:A=A40), 0),0)"),"0")</f>
        <v>0</v>
      </c>
      <c r="N40" t="str">
        <f ca="1">IFERROR(__xludf.DUMMYFUNCTION("IFERROR(FILTER('VPLData(raw)'!F:F,'VPLData(raw)'!B:B=534,'VPLData(raw)'!A:A=A40),0)"),"0")</f>
        <v>0</v>
      </c>
      <c r="O40" t="str">
        <f ca="1">IFERROR(__xludf.DUMMYFUNCTION("IFERROR(FILTER('VPLData(raw)'!C:C,'VPLData(raw)'!B:B=498,'VPLData(raw)'!A:A=A40),0)"),"1494698562")</f>
        <v>1494698562</v>
      </c>
      <c r="P40" t="str">
        <f ca="1">IFERROR(__xludf.DUMMYFUNCTION("IFERROR(IF(O40&gt;0, FILTER('VPLData(raw)'!E:E,'VPLData(raw)'!B:B=498,'VPLData(raw)'!A:A=A40), 0),0)"),"10")</f>
        <v>10</v>
      </c>
      <c r="Q40" t="str">
        <f ca="1">IFERROR(__xludf.DUMMYFUNCTION("IFERROR(FILTER('VPLData(raw)'!F:F,'VPLData(raw)'!B:B=498,'VPLData(raw)'!A:A=A40),0)"),"360")</f>
        <v>360</v>
      </c>
      <c r="R40" t="str">
        <f ca="1">IFERROR(__xludf.DUMMYFUNCTION("IFERROR(FILTER('VPLData(raw)'!C:C,'VPLData(raw)'!B:B=515,'VPLData(raw)'!A:A=A40),0)"),"1494699145")</f>
        <v>1494699145</v>
      </c>
      <c r="S40" t="str">
        <f ca="1">IFERROR(__xludf.DUMMYFUNCTION("IFERROR(IF(R40&gt;0, FILTER('VPLData(raw)'!E:E,'VPLData(raw)'!B:B=515,'VPLData(raw)'!A:A=A40), 0),0)"),"10")</f>
        <v>10</v>
      </c>
      <c r="T40" t="str">
        <f ca="1">IFERROR(__xludf.DUMMYFUNCTION("IFERROR(FILTER('VPLData(raw)'!F:F,'VPLData(raw)'!B:B=515,'VPLData(raw)'!A:A=A40),0)"),"334")</f>
        <v>334</v>
      </c>
      <c r="U40" t="str">
        <f ca="1">IFERROR(__xludf.DUMMYFUNCTION("IFERROR(FILTER('VPLData(raw)'!C:C,'VPLData(raw)'!B:B=528,'VPLData(raw)'!A:A=A40),0)"),"1499432713")</f>
        <v>1499432713</v>
      </c>
      <c r="V40" t="str">
        <f ca="1">IFERROR(__xludf.DUMMYFUNCTION("IFERROR(IF(U40&gt;0, FILTER('VPLData(raw)'!E:E,'VPLData(raw)'!B:B=528,'VPLData(raw)'!A:A=A40), 0),0)"),"")</f>
        <v/>
      </c>
      <c r="W40" t="str">
        <f ca="1">IFERROR(__xludf.DUMMYFUNCTION("IFERROR(FILTER('VPLData(raw)'!F:F,'VPLData(raw)'!B:B=528,'VPLData(raw)'!A:A=A40),0)"),"531")</f>
        <v>531</v>
      </c>
      <c r="X40" t="str">
        <f ca="1">IFERROR(__xludf.DUMMYFUNCTION("IFERROR(FILTER('VPLData(raw)'!C:C,'VPLData(raw)'!B:B=524,'VPLData(raw)'!A:A=A40),0)"),"1494711845")</f>
        <v>1494711845</v>
      </c>
      <c r="Y40" t="str">
        <f ca="1">IFERROR(__xludf.DUMMYFUNCTION("IFERROR(IF(X40&gt;0, FILTER('VPLData(raw)'!E:E,'VPLData(raw)'!B:B=524,'VPLData(raw)'!A:A=A40), 0),0)"),"")</f>
        <v/>
      </c>
      <c r="Z40" t="str">
        <f ca="1">IFERROR(__xludf.DUMMYFUNCTION("IFERROR(FILTER('VPLData(raw)'!F:F,'VPLData(raw)'!B:B=524,'VPLData(raw)'!A:A=A40),0)"),"1206")</f>
        <v>1206</v>
      </c>
      <c r="AA40" t="str">
        <f ca="1">IFERROR(__xludf.DUMMYFUNCTION("IFERROR(FILTER('VPLData(raw)'!C:C,'VPLData(raw)'!B:B=478,'VPLData(raw)'!A:A=A40),0)"),"0")</f>
        <v>0</v>
      </c>
      <c r="AB40" t="str">
        <f ca="1">IFERROR(__xludf.DUMMYFUNCTION("IFERROR(IF(AA40&gt;0, FILTER('VPLData(raw)'!E:E,'VPLData(raw)'!B:B=478,'VPLData(raw)'!A:A=A40), 0),0)"),"0")</f>
        <v>0</v>
      </c>
      <c r="AC40" t="str">
        <f ca="1">IFERROR(__xludf.DUMMYFUNCTION("IFERROR(FILTER('VPLData(raw)'!F:F,'VPLData(raw)'!B:B=478,'VPLData(raw)'!A:A=A40),0)"),"0")</f>
        <v>0</v>
      </c>
      <c r="AD40" t="str">
        <f ca="1">IFERROR(__xludf.DUMMYFUNCTION("IFERROR(FILTER('VPLData(raw)'!C:C,'VPLData(raw)'!B:B=542,'VPLData(raw)'!A:A=A40),0)"),"0")</f>
        <v>0</v>
      </c>
      <c r="AE40" t="str">
        <f ca="1">IFERROR(__xludf.DUMMYFUNCTION("IFERROR(IF(AD40&gt;0, FILTER('VPLData(raw)'!E:E,'VPLData(raw)'!B:B=542,'VPLData(raw)'!A:A=A40), 0),0)"),"0")</f>
        <v>0</v>
      </c>
      <c r="AF40" t="str">
        <f ca="1">IFERROR(__xludf.DUMMYFUNCTION("IFERROR(FILTER('VPLData(raw)'!F:F,'VPLData(raw)'!B:B=542,'VPLData(raw)'!A:A=A40),0)"),"0")</f>
        <v>0</v>
      </c>
      <c r="AG40" t="str">
        <f ca="1">IFERROR(__xludf.DUMMYFUNCTION("IFERROR(FILTER('VPLData(raw)'!C:C,'VPLData(raw)'!B:B=544,'VPLData(raw)'!A:A=A40),0)"),"0")</f>
        <v>0</v>
      </c>
      <c r="AH40" t="str">
        <f ca="1">IFERROR(__xludf.DUMMYFUNCTION("IFERROR(IF(AG40&gt;0, FILTER('VPLData(raw)'!E:E,'VPLData(raw)'!B:B=544,'VPLData(raw)'!A:A=A40), 0),0)"),"0")</f>
        <v>0</v>
      </c>
      <c r="AI40" t="str">
        <f ca="1">IFERROR(__xludf.DUMMYFUNCTION("IFERROR(FILTER('VPLData(raw)'!F:F,'VPLData(raw)'!B:B=544,'VPLData(raw)'!A:A=A40),0)"),"0")</f>
        <v>0</v>
      </c>
      <c r="AJ40" t="str">
        <f ca="1">IFERROR(__xludf.DUMMYFUNCTION("IFERROR(FILTER('VPLData(raw)'!C:C,'VPLData(raw)'!B:B=545,'VPLData(raw)'!A:A=A40),0)"),"0")</f>
        <v>0</v>
      </c>
      <c r="AK40" t="str">
        <f ca="1">IFERROR(__xludf.DUMMYFUNCTION("IFERROR(IF(AJ40&gt;0, FILTER('VPLData(raw)'!E:E,'VPLData(raw)'!B:B=545,'VPLData(raw)'!A:A=A40), 0),0)"),"0")</f>
        <v>0</v>
      </c>
      <c r="AL40" t="str">
        <f ca="1">IFERROR(__xludf.DUMMYFUNCTION("IFERROR(FILTER('VPLData(raw)'!F:F,'VPLData(raw)'!B:B=545,'VPLData(raw)'!A:A=A40),0)"),"0")</f>
        <v>0</v>
      </c>
    </row>
    <row r="41" spans="1:38" ht="15.75" customHeight="1" x14ac:dyDescent="0.15">
      <c r="A41" s="2">
        <v>10185</v>
      </c>
      <c r="B41" s="2">
        <v>10276960</v>
      </c>
      <c r="C41" t="str">
        <f ca="1">IFERROR(__xludf.DUMMYFUNCTION("IFERROR(FILTER('VPLData(raw)'!C:C,'VPLData(raw)'!B:B=504,'VPLData(raw)'!A:A=A41),0)"),"0")</f>
        <v>0</v>
      </c>
      <c r="D41" s="3" t="str">
        <f ca="1">IFERROR(__xludf.DUMMYFUNCTION("IFERROR(IF(C41&gt;0, FILTER('VPLData(raw)'!E:E,'VPLData(raw)'!B:B=504,'VPLData(raw)'!A:A=A41), 0),0)"),"0")</f>
        <v>0</v>
      </c>
      <c r="E41" t="str">
        <f ca="1">IFERROR(__xludf.DUMMYFUNCTION("IFERROR(FILTER('VPLData(raw)'!F:F,'VPLData(raw)'!B:B=504,'VPLData(raw)'!A:A=A41),0)"),"0")</f>
        <v>0</v>
      </c>
      <c r="F41" t="str">
        <f ca="1">IFERROR(__xludf.DUMMYFUNCTION("IFERROR(FILTER('VPLData(raw)'!C:C,'VPLData(raw)'!B:B=454,'VPLData(raw)'!A:A=A41),0)"),"0")</f>
        <v>0</v>
      </c>
      <c r="G41" t="str">
        <f ca="1">IFERROR(__xludf.DUMMYFUNCTION("IFERROR(IF(F41&gt;0, FILTER('VPLData(raw)'!E:E,'VPLData(raw)'!B:B=454,'VPLData(raw)'!A:A=A41), 0),0)"),"0")</f>
        <v>0</v>
      </c>
      <c r="H41" t="str">
        <f ca="1">IFERROR(__xludf.DUMMYFUNCTION("IFERROR(FILTER('VPLData(raw)'!F:F,'VPLData(raw)'!B:B=454,'VPLData(raw)'!A:A=A41),0)"),"0")</f>
        <v>0</v>
      </c>
      <c r="I41" t="str">
        <f ca="1">IFERROR(__xludf.DUMMYFUNCTION("IFERROR(FILTER('VPLData(raw)'!C:C,'VPLData(raw)'!B:B=457,'VPLData(raw)'!A:A=A41),0)"),"0")</f>
        <v>0</v>
      </c>
      <c r="J41" t="str">
        <f ca="1">IFERROR(__xludf.DUMMYFUNCTION("IFERROR(IF(I41&gt;0, FILTER('VPLData(raw)'!E:E,'VPLData(raw)'!B:B=457,'VPLData(raw)'!A:A=A41), 0),0)"),"0")</f>
        <v>0</v>
      </c>
      <c r="K41" t="str">
        <f ca="1">IFERROR(__xludf.DUMMYFUNCTION("IFERROR(FILTER('VPLData(raw)'!F:F,'VPLData(raw)'!B:B=457,'VPLData(raw)'!A:A=A41),0)"),"0")</f>
        <v>0</v>
      </c>
      <c r="L41" t="str">
        <f ca="1">IFERROR(__xludf.DUMMYFUNCTION("IFERROR(FILTER('VPLData(raw)'!C:C,'VPLData(raw)'!B:B=534,'VPLData(raw)'!A:A=A41),0)"),"0")</f>
        <v>0</v>
      </c>
      <c r="M41" t="str">
        <f ca="1">IFERROR(__xludf.DUMMYFUNCTION("IFERROR(IF(L41&gt;0, FILTER('VPLData(raw)'!E:E,'VPLData(raw)'!B:B=534,'VPLData(raw)'!A:A=A41), 0),0)"),"0")</f>
        <v>0</v>
      </c>
      <c r="N41" t="str">
        <f ca="1">IFERROR(__xludf.DUMMYFUNCTION("IFERROR(FILTER('VPLData(raw)'!F:F,'VPLData(raw)'!B:B=534,'VPLData(raw)'!A:A=A41),0)"),"0")</f>
        <v>0</v>
      </c>
      <c r="O41" t="str">
        <f ca="1">IFERROR(__xludf.DUMMYFUNCTION("IFERROR(FILTER('VPLData(raw)'!C:C,'VPLData(raw)'!B:B=498,'VPLData(raw)'!A:A=A41),0)"),"1494132717")</f>
        <v>1494132717</v>
      </c>
      <c r="P41" t="str">
        <f ca="1">IFERROR(__xludf.DUMMYFUNCTION("IFERROR(IF(O41&gt;0, FILTER('VPLData(raw)'!E:E,'VPLData(raw)'!B:B=498,'VPLData(raw)'!A:A=A41), 0),0)"),"10")</f>
        <v>10</v>
      </c>
      <c r="Q41" t="str">
        <f ca="1">IFERROR(__xludf.DUMMYFUNCTION("IFERROR(FILTER('VPLData(raw)'!F:F,'VPLData(raw)'!B:B=498,'VPLData(raw)'!A:A=A41),0)"),"1211")</f>
        <v>1211</v>
      </c>
      <c r="R41" t="str">
        <f ca="1">IFERROR(__xludf.DUMMYFUNCTION("IFERROR(FILTER('VPLData(raw)'!C:C,'VPLData(raw)'!B:B=515,'VPLData(raw)'!A:A=A41),0)"),"1497810178")</f>
        <v>1497810178</v>
      </c>
      <c r="S41" t="str">
        <f ca="1">IFERROR(__xludf.DUMMYFUNCTION("IFERROR(IF(R41&gt;0, FILTER('VPLData(raw)'!E:E,'VPLData(raw)'!B:B=515,'VPLData(raw)'!A:A=A41), 0),0)"),"10")</f>
        <v>10</v>
      </c>
      <c r="T41" t="str">
        <f ca="1">IFERROR(__xludf.DUMMYFUNCTION("IFERROR(FILTER('VPLData(raw)'!F:F,'VPLData(raw)'!B:B=515,'VPLData(raw)'!A:A=A41),0)"),"2068")</f>
        <v>2068</v>
      </c>
      <c r="U41" t="str">
        <f ca="1">IFERROR(__xludf.DUMMYFUNCTION("IFERROR(FILTER('VPLData(raw)'!C:C,'VPLData(raw)'!B:B=528,'VPLData(raw)'!A:A=A41),0)"),"1499400854")</f>
        <v>1499400854</v>
      </c>
      <c r="V41" t="str">
        <f ca="1">IFERROR(__xludf.DUMMYFUNCTION("IFERROR(IF(U41&gt;0, FILTER('VPLData(raw)'!E:E,'VPLData(raw)'!B:B=528,'VPLData(raw)'!A:A=A41), 0),0)"),"10")</f>
        <v>10</v>
      </c>
      <c r="W41" t="str">
        <f ca="1">IFERROR(__xludf.DUMMYFUNCTION("IFERROR(FILTER('VPLData(raw)'!F:F,'VPLData(raw)'!B:B=528,'VPLData(raw)'!A:A=A41),0)"),"274")</f>
        <v>274</v>
      </c>
      <c r="X41" t="str">
        <f ca="1">IFERROR(__xludf.DUMMYFUNCTION("IFERROR(FILTER('VPLData(raw)'!C:C,'VPLData(raw)'!B:B=524,'VPLData(raw)'!A:A=A41),0)"),"1499401630")</f>
        <v>1499401630</v>
      </c>
      <c r="Y41" t="str">
        <f ca="1">IFERROR(__xludf.DUMMYFUNCTION("IFERROR(IF(X41&gt;0, FILTER('VPLData(raw)'!E:E,'VPLData(raw)'!B:B=524,'VPLData(raw)'!A:A=A41), 0),0)"),"10")</f>
        <v>10</v>
      </c>
      <c r="Z41" t="str">
        <f ca="1">IFERROR(__xludf.DUMMYFUNCTION("IFERROR(FILTER('VPLData(raw)'!F:F,'VPLData(raw)'!B:B=524,'VPLData(raw)'!A:A=A41),0)"),"189")</f>
        <v>189</v>
      </c>
      <c r="AA41" t="str">
        <f ca="1">IFERROR(__xludf.DUMMYFUNCTION("IFERROR(FILTER('VPLData(raw)'!C:C,'VPLData(raw)'!B:B=478,'VPLData(raw)'!A:A=A41),0)"),"1499410154")</f>
        <v>1499410154</v>
      </c>
      <c r="AB41" t="str">
        <f ca="1">IFERROR(__xludf.DUMMYFUNCTION("IFERROR(IF(AA41&gt;0, FILTER('VPLData(raw)'!E:E,'VPLData(raw)'!B:B=478,'VPLData(raw)'!A:A=A41), 0),0)"),"10")</f>
        <v>10</v>
      </c>
      <c r="AC41" t="str">
        <f ca="1">IFERROR(__xludf.DUMMYFUNCTION("IFERROR(FILTER('VPLData(raw)'!F:F,'VPLData(raw)'!B:B=478,'VPLData(raw)'!A:A=A41),0)"),"909")</f>
        <v>909</v>
      </c>
      <c r="AD41" t="str">
        <f ca="1">IFERROR(__xludf.DUMMYFUNCTION("IFERROR(FILTER('VPLData(raw)'!C:C,'VPLData(raw)'!B:B=542,'VPLData(raw)'!A:A=A41),0)"),"1499415220")</f>
        <v>1499415220</v>
      </c>
      <c r="AE41" t="str">
        <f ca="1">IFERROR(__xludf.DUMMYFUNCTION("IFERROR(IF(AD41&gt;0, FILTER('VPLData(raw)'!E:E,'VPLData(raw)'!B:B=542,'VPLData(raw)'!A:A=A41), 0),0)"),"10")</f>
        <v>10</v>
      </c>
      <c r="AF41" t="str">
        <f ca="1">IFERROR(__xludf.DUMMYFUNCTION("IFERROR(FILTER('VPLData(raw)'!F:F,'VPLData(raw)'!B:B=542,'VPLData(raw)'!A:A=A41),0)"),"207")</f>
        <v>207</v>
      </c>
      <c r="AG41" t="str">
        <f ca="1">IFERROR(__xludf.DUMMYFUNCTION("IFERROR(FILTER('VPLData(raw)'!C:C,'VPLData(raw)'!B:B=544,'VPLData(raw)'!A:A=A41),0)"),"0")</f>
        <v>0</v>
      </c>
      <c r="AH41" t="str">
        <f ca="1">IFERROR(__xludf.DUMMYFUNCTION("IFERROR(IF(AG41&gt;0, FILTER('VPLData(raw)'!E:E,'VPLData(raw)'!B:B=544,'VPLData(raw)'!A:A=A41), 0),0)"),"0")</f>
        <v>0</v>
      </c>
      <c r="AI41" t="str">
        <f ca="1">IFERROR(__xludf.DUMMYFUNCTION("IFERROR(FILTER('VPLData(raw)'!F:F,'VPLData(raw)'!B:B=544,'VPLData(raw)'!A:A=A41),0)"),"0")</f>
        <v>0</v>
      </c>
      <c r="AJ41" t="str">
        <f ca="1">IFERROR(__xludf.DUMMYFUNCTION("IFERROR(FILTER('VPLData(raw)'!C:C,'VPLData(raw)'!B:B=545,'VPLData(raw)'!A:A=A41),0)"),"0")</f>
        <v>0</v>
      </c>
      <c r="AK41" t="str">
        <f ca="1">IFERROR(__xludf.DUMMYFUNCTION("IFERROR(IF(AJ41&gt;0, FILTER('VPLData(raw)'!E:E,'VPLData(raw)'!B:B=545,'VPLData(raw)'!A:A=A41), 0),0)"),"0")</f>
        <v>0</v>
      </c>
      <c r="AL41" t="str">
        <f ca="1">IFERROR(__xludf.DUMMYFUNCTION("IFERROR(FILTER('VPLData(raw)'!F:F,'VPLData(raw)'!B:B=545,'VPLData(raw)'!A:A=A41),0)"),"0")</f>
        <v>0</v>
      </c>
    </row>
    <row r="42" spans="1:38" ht="15.75" customHeight="1" x14ac:dyDescent="0.15">
      <c r="A42" s="2">
        <v>10232</v>
      </c>
      <c r="B42" s="2">
        <v>10276974</v>
      </c>
      <c r="C42" t="str">
        <f ca="1">IFERROR(__xludf.DUMMYFUNCTION("IFERROR(FILTER('VPLData(raw)'!C:C,'VPLData(raw)'!B:B=504,'VPLData(raw)'!A:A=A42),0)"),"0")</f>
        <v>0</v>
      </c>
      <c r="D42" s="3" t="str">
        <f ca="1">IFERROR(__xludf.DUMMYFUNCTION("IFERROR(IF(C42&gt;0, FILTER('VPLData(raw)'!E:E,'VPLData(raw)'!B:B=504,'VPLData(raw)'!A:A=A42), 0),0)"),"0")</f>
        <v>0</v>
      </c>
      <c r="E42" t="str">
        <f ca="1">IFERROR(__xludf.DUMMYFUNCTION("IFERROR(FILTER('VPLData(raw)'!F:F,'VPLData(raw)'!B:B=504,'VPLData(raw)'!A:A=A42),0)"),"0")</f>
        <v>0</v>
      </c>
      <c r="F42" t="str">
        <f ca="1">IFERROR(__xludf.DUMMYFUNCTION("IFERROR(FILTER('VPLData(raw)'!C:C,'VPLData(raw)'!B:B=454,'VPLData(raw)'!A:A=A42),0)"),"0")</f>
        <v>0</v>
      </c>
      <c r="G42" t="str">
        <f ca="1">IFERROR(__xludf.DUMMYFUNCTION("IFERROR(IF(F42&gt;0, FILTER('VPLData(raw)'!E:E,'VPLData(raw)'!B:B=454,'VPLData(raw)'!A:A=A42), 0),0)"),"0")</f>
        <v>0</v>
      </c>
      <c r="H42" t="str">
        <f ca="1">IFERROR(__xludf.DUMMYFUNCTION("IFERROR(FILTER('VPLData(raw)'!F:F,'VPLData(raw)'!B:B=454,'VPLData(raw)'!A:A=A42),0)"),"0")</f>
        <v>0</v>
      </c>
      <c r="I42" t="str">
        <f ca="1">IFERROR(__xludf.DUMMYFUNCTION("IFERROR(FILTER('VPLData(raw)'!C:C,'VPLData(raw)'!B:B=457,'VPLData(raw)'!A:A=A42),0)"),"0")</f>
        <v>0</v>
      </c>
      <c r="J42" t="str">
        <f ca="1">IFERROR(__xludf.DUMMYFUNCTION("IFERROR(IF(I42&gt;0, FILTER('VPLData(raw)'!E:E,'VPLData(raw)'!B:B=457,'VPLData(raw)'!A:A=A42), 0),0)"),"0")</f>
        <v>0</v>
      </c>
      <c r="K42" t="str">
        <f ca="1">IFERROR(__xludf.DUMMYFUNCTION("IFERROR(FILTER('VPLData(raw)'!F:F,'VPLData(raw)'!B:B=457,'VPLData(raw)'!A:A=A42),0)"),"0")</f>
        <v>0</v>
      </c>
      <c r="L42" t="str">
        <f ca="1">IFERROR(__xludf.DUMMYFUNCTION("IFERROR(FILTER('VPLData(raw)'!C:C,'VPLData(raw)'!B:B=534,'VPLData(raw)'!A:A=A42),0)"),"0")</f>
        <v>0</v>
      </c>
      <c r="M42" t="str">
        <f ca="1">IFERROR(__xludf.DUMMYFUNCTION("IFERROR(IF(L42&gt;0, FILTER('VPLData(raw)'!E:E,'VPLData(raw)'!B:B=534,'VPLData(raw)'!A:A=A42), 0),0)"),"0")</f>
        <v>0</v>
      </c>
      <c r="N42" t="str">
        <f ca="1">IFERROR(__xludf.DUMMYFUNCTION("IFERROR(FILTER('VPLData(raw)'!F:F,'VPLData(raw)'!B:B=534,'VPLData(raw)'!A:A=A42),0)"),"0")</f>
        <v>0</v>
      </c>
      <c r="O42" t="str">
        <f ca="1">IFERROR(__xludf.DUMMYFUNCTION("IFERROR(FILTER('VPLData(raw)'!C:C,'VPLData(raw)'!B:B=498,'VPLData(raw)'!A:A=A42),0)"),"1492512903")</f>
        <v>1492512903</v>
      </c>
      <c r="P42" t="str">
        <f ca="1">IFERROR(__xludf.DUMMYFUNCTION("IFERROR(IF(O42&gt;0, FILTER('VPLData(raw)'!E:E,'VPLData(raw)'!B:B=498,'VPLData(raw)'!A:A=A42), 0),0)"),"10")</f>
        <v>10</v>
      </c>
      <c r="Q42" t="str">
        <f ca="1">IFERROR(__xludf.DUMMYFUNCTION("IFERROR(FILTER('VPLData(raw)'!F:F,'VPLData(raw)'!B:B=498,'VPLData(raw)'!A:A=A42),0)"),"907")</f>
        <v>907</v>
      </c>
      <c r="R42" t="str">
        <f ca="1">IFERROR(__xludf.DUMMYFUNCTION("IFERROR(FILTER('VPLData(raw)'!C:C,'VPLData(raw)'!B:B=515,'VPLData(raw)'!A:A=A42),0)"),"1494867563")</f>
        <v>1494867563</v>
      </c>
      <c r="S42" t="str">
        <f ca="1">IFERROR(__xludf.DUMMYFUNCTION("IFERROR(IF(R42&gt;0, FILTER('VPLData(raw)'!E:E,'VPLData(raw)'!B:B=515,'VPLData(raw)'!A:A=A42), 0),0)"),"10")</f>
        <v>10</v>
      </c>
      <c r="T42" t="str">
        <f ca="1">IFERROR(__xludf.DUMMYFUNCTION("IFERROR(FILTER('VPLData(raw)'!F:F,'VPLData(raw)'!B:B=515,'VPLData(raw)'!A:A=A42),0)"),"1706")</f>
        <v>1706</v>
      </c>
      <c r="U42" t="str">
        <f ca="1">IFERROR(__xludf.DUMMYFUNCTION("IFERROR(FILTER('VPLData(raw)'!C:C,'VPLData(raw)'!B:B=528,'VPLData(raw)'!A:A=A42),0)"),"1494894258")</f>
        <v>1494894258</v>
      </c>
      <c r="V42" t="str">
        <f ca="1">IFERROR(__xludf.DUMMYFUNCTION("IFERROR(IF(U42&gt;0, FILTER('VPLData(raw)'!E:E,'VPLData(raw)'!B:B=528,'VPLData(raw)'!A:A=A42), 0),0)"),"10")</f>
        <v>10</v>
      </c>
      <c r="W42" t="str">
        <f ca="1">IFERROR(__xludf.DUMMYFUNCTION("IFERROR(FILTER('VPLData(raw)'!F:F,'VPLData(raw)'!B:B=528,'VPLData(raw)'!A:A=A42),0)"),"1691")</f>
        <v>1691</v>
      </c>
      <c r="X42" t="str">
        <f ca="1">IFERROR(__xludf.DUMMYFUNCTION("IFERROR(FILTER('VPLData(raw)'!C:C,'VPLData(raw)'!B:B=524,'VPLData(raw)'!A:A=A42),0)"),"1494935657")</f>
        <v>1494935657</v>
      </c>
      <c r="Y42" t="str">
        <f ca="1">IFERROR(__xludf.DUMMYFUNCTION("IFERROR(IF(X42&gt;0, FILTER('VPLData(raw)'!E:E,'VPLData(raw)'!B:B=524,'VPLData(raw)'!A:A=A42), 0),0)"),"10")</f>
        <v>10</v>
      </c>
      <c r="Z42" t="str">
        <f ca="1">IFERROR(__xludf.DUMMYFUNCTION("IFERROR(FILTER('VPLData(raw)'!F:F,'VPLData(raw)'!B:B=524,'VPLData(raw)'!A:A=A42),0)"),"3645")</f>
        <v>3645</v>
      </c>
      <c r="AA42" t="str">
        <f ca="1">IFERROR(__xludf.DUMMYFUNCTION("IFERROR(FILTER('VPLData(raw)'!C:C,'VPLData(raw)'!B:B=478,'VPLData(raw)'!A:A=A42),0)"),"1499389357")</f>
        <v>1499389357</v>
      </c>
      <c r="AB42" t="str">
        <f ca="1">IFERROR(__xludf.DUMMYFUNCTION("IFERROR(IF(AA42&gt;0, FILTER('VPLData(raw)'!E:E,'VPLData(raw)'!B:B=478,'VPLData(raw)'!A:A=A42), 0),0)"),"10")</f>
        <v>10</v>
      </c>
      <c r="AC42" t="str">
        <f ca="1">IFERROR(__xludf.DUMMYFUNCTION("IFERROR(FILTER('VPLData(raw)'!F:F,'VPLData(raw)'!B:B=478,'VPLData(raw)'!A:A=A42),0)"),"593")</f>
        <v>593</v>
      </c>
      <c r="AD42" t="str">
        <f ca="1">IFERROR(__xludf.DUMMYFUNCTION("IFERROR(FILTER('VPLData(raw)'!C:C,'VPLData(raw)'!B:B=542,'VPLData(raw)'!A:A=A42),0)"),"1499457375")</f>
        <v>1499457375</v>
      </c>
      <c r="AE42" t="str">
        <f ca="1">IFERROR(__xludf.DUMMYFUNCTION("IFERROR(IF(AD42&gt;0, FILTER('VPLData(raw)'!E:E,'VPLData(raw)'!B:B=542,'VPLData(raw)'!A:A=A42), 0),0)"),"10")</f>
        <v>10</v>
      </c>
      <c r="AF42" t="str">
        <f ca="1">IFERROR(__xludf.DUMMYFUNCTION("IFERROR(FILTER('VPLData(raw)'!F:F,'VPLData(raw)'!B:B=542,'VPLData(raw)'!A:A=A42),0)"),"508")</f>
        <v>508</v>
      </c>
      <c r="AG42" t="str">
        <f ca="1">IFERROR(__xludf.DUMMYFUNCTION("IFERROR(FILTER('VPLData(raw)'!C:C,'VPLData(raw)'!B:B=544,'VPLData(raw)'!A:A=A42),0)"),"1499457976")</f>
        <v>1499457976</v>
      </c>
      <c r="AH42" t="str">
        <f ca="1">IFERROR(__xludf.DUMMYFUNCTION("IFERROR(IF(AG42&gt;0, FILTER('VPLData(raw)'!E:E,'VPLData(raw)'!B:B=544,'VPLData(raw)'!A:A=A42), 0),0)"),"10")</f>
        <v>10</v>
      </c>
      <c r="AI42" t="str">
        <f ca="1">IFERROR(__xludf.DUMMYFUNCTION("IFERROR(FILTER('VPLData(raw)'!F:F,'VPLData(raw)'!B:B=544,'VPLData(raw)'!A:A=A42),0)"),"1566")</f>
        <v>1566</v>
      </c>
      <c r="AJ42" t="str">
        <f ca="1">IFERROR(__xludf.DUMMYFUNCTION("IFERROR(FILTER('VPLData(raw)'!C:C,'VPLData(raw)'!B:B=545,'VPLData(raw)'!A:A=A42),0)"),"1499459600")</f>
        <v>1499459600</v>
      </c>
      <c r="AK42" t="str">
        <f ca="1">IFERROR(__xludf.DUMMYFUNCTION("IFERROR(IF(AJ42&gt;0, FILTER('VPLData(raw)'!E:E,'VPLData(raw)'!B:B=545,'VPLData(raw)'!A:A=A42), 0),0)"),"10")</f>
        <v>10</v>
      </c>
      <c r="AL42" t="str">
        <f ca="1">IFERROR(__xludf.DUMMYFUNCTION("IFERROR(FILTER('VPLData(raw)'!F:F,'VPLData(raw)'!B:B=545,'VPLData(raw)'!A:A=A42),0)"),"885")</f>
        <v>885</v>
      </c>
    </row>
    <row r="43" spans="1:38" ht="15.75" customHeight="1" x14ac:dyDescent="0.15">
      <c r="A43" s="2">
        <v>10191</v>
      </c>
      <c r="B43" s="2">
        <v>10276981</v>
      </c>
      <c r="C43" t="str">
        <f ca="1">IFERROR(__xludf.DUMMYFUNCTION("IFERROR(FILTER('VPLData(raw)'!C:C,'VPLData(raw)'!B:B=504,'VPLData(raw)'!A:A=A43),0)"),"0")</f>
        <v>0</v>
      </c>
      <c r="D43" s="3" t="str">
        <f ca="1">IFERROR(__xludf.DUMMYFUNCTION("IFERROR(IF(C43&gt;0, FILTER('VPLData(raw)'!E:E,'VPLData(raw)'!B:B=504,'VPLData(raw)'!A:A=A43), 0),0)"),"0")</f>
        <v>0</v>
      </c>
      <c r="E43" t="str">
        <f ca="1">IFERROR(__xludf.DUMMYFUNCTION("IFERROR(FILTER('VPLData(raw)'!F:F,'VPLData(raw)'!B:B=504,'VPLData(raw)'!A:A=A43),0)"),"0")</f>
        <v>0</v>
      </c>
      <c r="F43" t="str">
        <f ca="1">IFERROR(__xludf.DUMMYFUNCTION("IFERROR(FILTER('VPLData(raw)'!C:C,'VPLData(raw)'!B:B=454,'VPLData(raw)'!A:A=A43),0)"),"1491848445")</f>
        <v>1491848445</v>
      </c>
      <c r="G43" t="str">
        <f ca="1">IFERROR(__xludf.DUMMYFUNCTION("IFERROR(IF(F43&gt;0, FILTER('VPLData(raw)'!E:E,'VPLData(raw)'!B:B=454,'VPLData(raw)'!A:A=A43), 0),0)"),"10")</f>
        <v>10</v>
      </c>
      <c r="H43" t="str">
        <f ca="1">IFERROR(__xludf.DUMMYFUNCTION("IFERROR(FILTER('VPLData(raw)'!F:F,'VPLData(raw)'!B:B=454,'VPLData(raw)'!A:A=A43),0)"),"318")</f>
        <v>318</v>
      </c>
      <c r="I43" t="str">
        <f ca="1">IFERROR(__xludf.DUMMYFUNCTION("IFERROR(FILTER('VPLData(raw)'!C:C,'VPLData(raw)'!B:B=457,'VPLData(raw)'!A:A=A43),0)"),"1491924462")</f>
        <v>1491924462</v>
      </c>
      <c r="J43" t="str">
        <f ca="1">IFERROR(__xludf.DUMMYFUNCTION("IFERROR(IF(I43&gt;0, FILTER('VPLData(raw)'!E:E,'VPLData(raw)'!B:B=457,'VPLData(raw)'!A:A=A43), 0),0)"),"10")</f>
        <v>10</v>
      </c>
      <c r="K43" t="str">
        <f ca="1">IFERROR(__xludf.DUMMYFUNCTION("IFERROR(FILTER('VPLData(raw)'!F:F,'VPLData(raw)'!B:B=457,'VPLData(raw)'!A:A=A43),0)"),"1688")</f>
        <v>1688</v>
      </c>
      <c r="L43" t="str">
        <f ca="1">IFERROR(__xludf.DUMMYFUNCTION("IFERROR(FILTER('VPLData(raw)'!C:C,'VPLData(raw)'!B:B=534,'VPLData(raw)'!A:A=A43),0)"),"0")</f>
        <v>0</v>
      </c>
      <c r="M43" t="str">
        <f ca="1">IFERROR(__xludf.DUMMYFUNCTION("IFERROR(IF(L43&gt;0, FILTER('VPLData(raw)'!E:E,'VPLData(raw)'!B:B=534,'VPLData(raw)'!A:A=A43), 0),0)"),"0")</f>
        <v>0</v>
      </c>
      <c r="N43" t="str">
        <f ca="1">IFERROR(__xludf.DUMMYFUNCTION("IFERROR(FILTER('VPLData(raw)'!F:F,'VPLData(raw)'!B:B=534,'VPLData(raw)'!A:A=A43),0)"),"0")</f>
        <v>0</v>
      </c>
      <c r="O43" t="str">
        <f ca="1">IFERROR(__xludf.DUMMYFUNCTION("IFERROR(FILTER('VPLData(raw)'!C:C,'VPLData(raw)'!B:B=498,'VPLData(raw)'!A:A=A43),0)"),"1493259418")</f>
        <v>1493259418</v>
      </c>
      <c r="P43" t="str">
        <f ca="1">IFERROR(__xludf.DUMMYFUNCTION("IFERROR(IF(O43&gt;0, FILTER('VPLData(raw)'!E:E,'VPLData(raw)'!B:B=498,'VPLData(raw)'!A:A=A43), 0),0)"),"10")</f>
        <v>10</v>
      </c>
      <c r="Q43" t="str">
        <f ca="1">IFERROR(__xludf.DUMMYFUNCTION("IFERROR(FILTER('VPLData(raw)'!F:F,'VPLData(raw)'!B:B=498,'VPLData(raw)'!A:A=A43),0)"),"631")</f>
        <v>631</v>
      </c>
      <c r="R43" t="str">
        <f ca="1">IFERROR(__xludf.DUMMYFUNCTION("IFERROR(FILTER('VPLData(raw)'!C:C,'VPLData(raw)'!B:B=515,'VPLData(raw)'!A:A=A43),0)"),"1493430295")</f>
        <v>1493430295</v>
      </c>
      <c r="S43" t="str">
        <f ca="1">IFERROR(__xludf.DUMMYFUNCTION("IFERROR(IF(R43&gt;0, FILTER('VPLData(raw)'!E:E,'VPLData(raw)'!B:B=515,'VPLData(raw)'!A:A=A43), 0),0)"),"10")</f>
        <v>10</v>
      </c>
      <c r="T43" t="str">
        <f ca="1">IFERROR(__xludf.DUMMYFUNCTION("IFERROR(FILTER('VPLData(raw)'!F:F,'VPLData(raw)'!B:B=515,'VPLData(raw)'!A:A=A43),0)"),"880")</f>
        <v>880</v>
      </c>
      <c r="U43" t="str">
        <f ca="1">IFERROR(__xludf.DUMMYFUNCTION("IFERROR(FILTER('VPLData(raw)'!C:C,'VPLData(raw)'!B:B=528,'VPLData(raw)'!A:A=A43),0)"),"1494891187")</f>
        <v>1494891187</v>
      </c>
      <c r="V43" t="str">
        <f ca="1">IFERROR(__xludf.DUMMYFUNCTION("IFERROR(IF(U43&gt;0, FILTER('VPLData(raw)'!E:E,'VPLData(raw)'!B:B=528,'VPLData(raw)'!A:A=A43), 0),0)"),"10")</f>
        <v>10</v>
      </c>
      <c r="W43" t="str">
        <f ca="1">IFERROR(__xludf.DUMMYFUNCTION("IFERROR(FILTER('VPLData(raw)'!F:F,'VPLData(raw)'!B:B=528,'VPLData(raw)'!A:A=A43),0)"),"556")</f>
        <v>556</v>
      </c>
      <c r="X43" t="str">
        <f ca="1">IFERROR(__xludf.DUMMYFUNCTION("IFERROR(FILTER('VPLData(raw)'!C:C,'VPLData(raw)'!B:B=524,'VPLData(raw)'!A:A=A43),0)"),"1496326710")</f>
        <v>1496326710</v>
      </c>
      <c r="Y43" t="str">
        <f ca="1">IFERROR(__xludf.DUMMYFUNCTION("IFERROR(IF(X43&gt;0, FILTER('VPLData(raw)'!E:E,'VPLData(raw)'!B:B=524,'VPLData(raw)'!A:A=A43), 0),0)"),"10")</f>
        <v>10</v>
      </c>
      <c r="Z43" t="str">
        <f ca="1">IFERROR(__xludf.DUMMYFUNCTION("IFERROR(FILTER('VPLData(raw)'!F:F,'VPLData(raw)'!B:B=524,'VPLData(raw)'!A:A=A43),0)"),"684")</f>
        <v>684</v>
      </c>
      <c r="AA43" t="str">
        <f ca="1">IFERROR(__xludf.DUMMYFUNCTION("IFERROR(FILTER('VPLData(raw)'!C:C,'VPLData(raw)'!B:B=478,'VPLData(raw)'!A:A=A43),0)"),"1494894465")</f>
        <v>1494894465</v>
      </c>
      <c r="AB43" t="str">
        <f ca="1">IFERROR(__xludf.DUMMYFUNCTION("IFERROR(IF(AA43&gt;0, FILTER('VPLData(raw)'!E:E,'VPLData(raw)'!B:B=478,'VPLData(raw)'!A:A=A43), 0),0)"),"10")</f>
        <v>10</v>
      </c>
      <c r="AC43" t="str">
        <f ca="1">IFERROR(__xludf.DUMMYFUNCTION("IFERROR(FILTER('VPLData(raw)'!F:F,'VPLData(raw)'!B:B=478,'VPLData(raw)'!A:A=A43),0)"),"3193")</f>
        <v>3193</v>
      </c>
      <c r="AD43" t="str">
        <f ca="1">IFERROR(__xludf.DUMMYFUNCTION("IFERROR(FILTER('VPLData(raw)'!C:C,'VPLData(raw)'!B:B=542,'VPLData(raw)'!A:A=A43),0)"),"1498953870")</f>
        <v>1498953870</v>
      </c>
      <c r="AE43" t="str">
        <f ca="1">IFERROR(__xludf.DUMMYFUNCTION("IFERROR(IF(AD43&gt;0, FILTER('VPLData(raw)'!E:E,'VPLData(raw)'!B:B=542,'VPLData(raw)'!A:A=A43), 0),0)"),"10")</f>
        <v>10</v>
      </c>
      <c r="AF43" t="str">
        <f ca="1">IFERROR(__xludf.DUMMYFUNCTION("IFERROR(FILTER('VPLData(raw)'!F:F,'VPLData(raw)'!B:B=542,'VPLData(raw)'!A:A=A43),0)"),"3026")</f>
        <v>3026</v>
      </c>
      <c r="AG43" t="str">
        <f ca="1">IFERROR(__xludf.DUMMYFUNCTION("IFERROR(FILTER('VPLData(raw)'!C:C,'VPLData(raw)'!B:B=544,'VPLData(raw)'!A:A=A43),0)"),"1499457999")</f>
        <v>1499457999</v>
      </c>
      <c r="AH43" t="str">
        <f ca="1">IFERROR(__xludf.DUMMYFUNCTION("IFERROR(IF(AG43&gt;0, FILTER('VPLData(raw)'!E:E,'VPLData(raw)'!B:B=544,'VPLData(raw)'!A:A=A43), 0),0)"),"10")</f>
        <v>10</v>
      </c>
      <c r="AI43" t="str">
        <f ca="1">IFERROR(__xludf.DUMMYFUNCTION("IFERROR(FILTER('VPLData(raw)'!F:F,'VPLData(raw)'!B:B=544,'VPLData(raw)'!A:A=A43),0)"),"853")</f>
        <v>853</v>
      </c>
      <c r="AJ43" t="str">
        <f ca="1">IFERROR(__xludf.DUMMYFUNCTION("IFERROR(FILTER('VPLData(raw)'!C:C,'VPLData(raw)'!B:B=545,'VPLData(raw)'!A:A=A43),0)"),"1499458076")</f>
        <v>1499458076</v>
      </c>
      <c r="AK43" t="str">
        <f ca="1">IFERROR(__xludf.DUMMYFUNCTION("IFERROR(IF(AJ43&gt;0, FILTER('VPLData(raw)'!E:E,'VPLData(raw)'!B:B=545,'VPLData(raw)'!A:A=A43), 0),0)"),"10")</f>
        <v>10</v>
      </c>
      <c r="AL43" t="str">
        <f ca="1">IFERROR(__xludf.DUMMYFUNCTION("IFERROR(FILTER('VPLData(raw)'!F:F,'VPLData(raw)'!B:B=545,'VPLData(raw)'!A:A=A43),0)"),"553")</f>
        <v>553</v>
      </c>
    </row>
    <row r="44" spans="1:38" ht="15.75" customHeight="1" x14ac:dyDescent="0.15">
      <c r="A44" s="2">
        <v>10188</v>
      </c>
      <c r="B44" s="2">
        <v>10276995</v>
      </c>
      <c r="C44" t="str">
        <f ca="1">IFERROR(__xludf.DUMMYFUNCTION("IFERROR(FILTER('VPLData(raw)'!C:C,'VPLData(raw)'!B:B=504,'VPLData(raw)'!A:A=A44),0)"),"1490745104")</f>
        <v>1490745104</v>
      </c>
      <c r="D44" s="3" t="str">
        <f ca="1">IFERROR(__xludf.DUMMYFUNCTION("IFERROR(IF(C44&gt;0, FILTER('VPLData(raw)'!E:E,'VPLData(raw)'!B:B=504,'VPLData(raw)'!A:A=A44), 0),0)"),"10")</f>
        <v>10</v>
      </c>
      <c r="E44" t="str">
        <f ca="1">IFERROR(__xludf.DUMMYFUNCTION("IFERROR(FILTER('VPLData(raw)'!F:F,'VPLData(raw)'!B:B=504,'VPLData(raw)'!A:A=A44),0)"),"853")</f>
        <v>853</v>
      </c>
      <c r="F44" t="str">
        <f ca="1">IFERROR(__xludf.DUMMYFUNCTION("IFERROR(FILTER('VPLData(raw)'!C:C,'VPLData(raw)'!B:B=454,'VPLData(raw)'!A:A=A44),0)"),"1491429483")</f>
        <v>1491429483</v>
      </c>
      <c r="G44" t="str">
        <f ca="1">IFERROR(__xludf.DUMMYFUNCTION("IFERROR(IF(F44&gt;0, FILTER('VPLData(raw)'!E:E,'VPLData(raw)'!B:B=454,'VPLData(raw)'!A:A=A44), 0),0)"),"10")</f>
        <v>10</v>
      </c>
      <c r="H44" t="str">
        <f ca="1">IFERROR(__xludf.DUMMYFUNCTION("IFERROR(FILTER('VPLData(raw)'!F:F,'VPLData(raw)'!B:B=454,'VPLData(raw)'!A:A=A44),0)"),"1028")</f>
        <v>1028</v>
      </c>
      <c r="I44" t="str">
        <f ca="1">IFERROR(__xludf.DUMMYFUNCTION("IFERROR(FILTER('VPLData(raw)'!C:C,'VPLData(raw)'!B:B=457,'VPLData(raw)'!A:A=A44),0)"),"1491662112")</f>
        <v>1491662112</v>
      </c>
      <c r="J44" t="str">
        <f ca="1">IFERROR(__xludf.DUMMYFUNCTION("IFERROR(IF(I44&gt;0, FILTER('VPLData(raw)'!E:E,'VPLData(raw)'!B:B=457,'VPLData(raw)'!A:A=A44), 0),0)"),"10")</f>
        <v>10</v>
      </c>
      <c r="K44" t="str">
        <f ca="1">IFERROR(__xludf.DUMMYFUNCTION("IFERROR(FILTER('VPLData(raw)'!F:F,'VPLData(raw)'!B:B=457,'VPLData(raw)'!A:A=A44),0)"),"254")</f>
        <v>254</v>
      </c>
      <c r="L44" t="str">
        <f ca="1">IFERROR(__xludf.DUMMYFUNCTION("IFERROR(FILTER('VPLData(raw)'!C:C,'VPLData(raw)'!B:B=534,'VPLData(raw)'!A:A=A44),0)"),"1495570337")</f>
        <v>1495570337</v>
      </c>
      <c r="M44" t="str">
        <f ca="1">IFERROR(__xludf.DUMMYFUNCTION("IFERROR(IF(L44&gt;0, FILTER('VPLData(raw)'!E:E,'VPLData(raw)'!B:B=534,'VPLData(raw)'!A:A=A44), 0),0)"),"10")</f>
        <v>10</v>
      </c>
      <c r="N44" t="str">
        <f ca="1">IFERROR(__xludf.DUMMYFUNCTION("IFERROR(FILTER('VPLData(raw)'!F:F,'VPLData(raw)'!B:B=534,'VPLData(raw)'!A:A=A44),0)"),"10931")</f>
        <v>10931</v>
      </c>
      <c r="O44" t="str">
        <f ca="1">IFERROR(__xludf.DUMMYFUNCTION("IFERROR(FILTER('VPLData(raw)'!C:C,'VPLData(raw)'!B:B=498,'VPLData(raw)'!A:A=A44),0)"),"1492468833")</f>
        <v>1492468833</v>
      </c>
      <c r="P44" t="str">
        <f ca="1">IFERROR(__xludf.DUMMYFUNCTION("IFERROR(IF(O44&gt;0, FILTER('VPLData(raw)'!E:E,'VPLData(raw)'!B:B=498,'VPLData(raw)'!A:A=A44), 0),0)"),"10")</f>
        <v>10</v>
      </c>
      <c r="Q44" t="str">
        <f ca="1">IFERROR(__xludf.DUMMYFUNCTION("IFERROR(FILTER('VPLData(raw)'!F:F,'VPLData(raw)'!B:B=498,'VPLData(raw)'!A:A=A44),0)"),"263")</f>
        <v>263</v>
      </c>
      <c r="R44" t="str">
        <f ca="1">IFERROR(__xludf.DUMMYFUNCTION("IFERROR(FILTER('VPLData(raw)'!C:C,'VPLData(raw)'!B:B=515,'VPLData(raw)'!A:A=A44),0)"),"1492469366")</f>
        <v>1492469366</v>
      </c>
      <c r="S44" t="str">
        <f ca="1">IFERROR(__xludf.DUMMYFUNCTION("IFERROR(IF(R44&gt;0, FILTER('VPLData(raw)'!E:E,'VPLData(raw)'!B:B=515,'VPLData(raw)'!A:A=A44), 0),0)"),"10")</f>
        <v>10</v>
      </c>
      <c r="T44" t="str">
        <f ca="1">IFERROR(__xludf.DUMMYFUNCTION("IFERROR(FILTER('VPLData(raw)'!F:F,'VPLData(raw)'!B:B=515,'VPLData(raw)'!A:A=A44),0)"),"1631")</f>
        <v>1631</v>
      </c>
      <c r="U44" t="str">
        <f ca="1">IFERROR(__xludf.DUMMYFUNCTION("IFERROR(FILTER('VPLData(raw)'!C:C,'VPLData(raw)'!B:B=528,'VPLData(raw)'!A:A=A44),0)"),"1494602798")</f>
        <v>1494602798</v>
      </c>
      <c r="V44" t="str">
        <f ca="1">IFERROR(__xludf.DUMMYFUNCTION("IFERROR(IF(U44&gt;0, FILTER('VPLData(raw)'!E:E,'VPLData(raw)'!B:B=528,'VPLData(raw)'!A:A=A44), 0),0)"),"10")</f>
        <v>10</v>
      </c>
      <c r="W44" t="str">
        <f ca="1">IFERROR(__xludf.DUMMYFUNCTION("IFERROR(FILTER('VPLData(raw)'!F:F,'VPLData(raw)'!B:B=528,'VPLData(raw)'!A:A=A44),0)"),"7304")</f>
        <v>7304</v>
      </c>
      <c r="X44" t="str">
        <f ca="1">IFERROR(__xludf.DUMMYFUNCTION("IFERROR(FILTER('VPLData(raw)'!C:C,'VPLData(raw)'!B:B=524,'VPLData(raw)'!A:A=A44),0)"),"0")</f>
        <v>0</v>
      </c>
      <c r="Y44" t="str">
        <f ca="1">IFERROR(__xludf.DUMMYFUNCTION("IFERROR(IF(X44&gt;0, FILTER('VPLData(raw)'!E:E,'VPLData(raw)'!B:B=524,'VPLData(raw)'!A:A=A44), 0),0)"),"0")</f>
        <v>0</v>
      </c>
      <c r="Z44" t="str">
        <f ca="1">IFERROR(__xludf.DUMMYFUNCTION("IFERROR(FILTER('VPLData(raw)'!F:F,'VPLData(raw)'!B:B=524,'VPLData(raw)'!A:A=A44),0)"),"0")</f>
        <v>0</v>
      </c>
      <c r="AA44" t="str">
        <f ca="1">IFERROR(__xludf.DUMMYFUNCTION("IFERROR(FILTER('VPLData(raw)'!C:C,'VPLData(raw)'!B:B=478,'VPLData(raw)'!A:A=A44),0)"),"1495153615")</f>
        <v>1495153615</v>
      </c>
      <c r="AB44" t="str">
        <f ca="1">IFERROR(__xludf.DUMMYFUNCTION("IFERROR(IF(AA44&gt;0, FILTER('VPLData(raw)'!E:E,'VPLData(raw)'!B:B=478,'VPLData(raw)'!A:A=A44), 0),0)"),"10")</f>
        <v>10</v>
      </c>
      <c r="AC44" t="str">
        <f ca="1">IFERROR(__xludf.DUMMYFUNCTION("IFERROR(FILTER('VPLData(raw)'!F:F,'VPLData(raw)'!B:B=478,'VPLData(raw)'!A:A=A44),0)"),"1235")</f>
        <v>1235</v>
      </c>
      <c r="AD44" t="str">
        <f ca="1">IFERROR(__xludf.DUMMYFUNCTION("IFERROR(FILTER('VPLData(raw)'!C:C,'VPLData(raw)'!B:B=542,'VPLData(raw)'!A:A=A44),0)"),"1497908595")</f>
        <v>1497908595</v>
      </c>
      <c r="AE44" t="str">
        <f ca="1">IFERROR(__xludf.DUMMYFUNCTION("IFERROR(IF(AD44&gt;0, FILTER('VPLData(raw)'!E:E,'VPLData(raw)'!B:B=542,'VPLData(raw)'!A:A=A44), 0),0)"),"10")</f>
        <v>10</v>
      </c>
      <c r="AF44" t="str">
        <f ca="1">IFERROR(__xludf.DUMMYFUNCTION("IFERROR(FILTER('VPLData(raw)'!F:F,'VPLData(raw)'!B:B=542,'VPLData(raw)'!A:A=A44),0)"),"2416")</f>
        <v>2416</v>
      </c>
      <c r="AG44" t="str">
        <f ca="1">IFERROR(__xludf.DUMMYFUNCTION("IFERROR(FILTER('VPLData(raw)'!C:C,'VPLData(raw)'!B:B=544,'VPLData(raw)'!A:A=A44),0)"),"1497914959")</f>
        <v>1497914959</v>
      </c>
      <c r="AH44" t="str">
        <f ca="1">IFERROR(__xludf.DUMMYFUNCTION("IFERROR(IF(AG44&gt;0, FILTER('VPLData(raw)'!E:E,'VPLData(raw)'!B:B=544,'VPLData(raw)'!A:A=A44), 0),0)"),"10")</f>
        <v>10</v>
      </c>
      <c r="AI44" t="str">
        <f ca="1">IFERROR(__xludf.DUMMYFUNCTION("IFERROR(FILTER('VPLData(raw)'!F:F,'VPLData(raw)'!B:B=544,'VPLData(raw)'!A:A=A44),0)"),"29950")</f>
        <v>29950</v>
      </c>
      <c r="AJ44" t="str">
        <f ca="1">IFERROR(__xludf.DUMMYFUNCTION("IFERROR(FILTER('VPLData(raw)'!C:C,'VPLData(raw)'!B:B=545,'VPLData(raw)'!A:A=A44),0)"),"1499373227")</f>
        <v>1499373227</v>
      </c>
      <c r="AK44" t="str">
        <f ca="1">IFERROR(__xludf.DUMMYFUNCTION("IFERROR(IF(AJ44&gt;0, FILTER('VPLData(raw)'!E:E,'VPLData(raw)'!B:B=545,'VPLData(raw)'!A:A=A44), 0),0)"),"10")</f>
        <v>10</v>
      </c>
      <c r="AL44" t="str">
        <f ca="1">IFERROR(__xludf.DUMMYFUNCTION("IFERROR(FILTER('VPLData(raw)'!F:F,'VPLData(raw)'!B:B=545,'VPLData(raw)'!A:A=A44),0)"),"23790")</f>
        <v>23790</v>
      </c>
    </row>
    <row r="45" spans="1:38" ht="15.75" customHeight="1" x14ac:dyDescent="0.15">
      <c r="A45" s="2">
        <v>10210</v>
      </c>
      <c r="B45" s="2">
        <v>10277015</v>
      </c>
      <c r="C45" t="str">
        <f ca="1">IFERROR(__xludf.DUMMYFUNCTION("IFERROR(FILTER('VPLData(raw)'!C:C,'VPLData(raw)'!B:B=504,'VPLData(raw)'!A:A=A45),0)"),"1490742967")</f>
        <v>1490742967</v>
      </c>
      <c r="D45" s="3" t="str">
        <f ca="1">IFERROR(__xludf.DUMMYFUNCTION("IFERROR(IF(C45&gt;0, FILTER('VPLData(raw)'!E:E,'VPLData(raw)'!B:B=504,'VPLData(raw)'!A:A=A45), 0),0)"),"10")</f>
        <v>10</v>
      </c>
      <c r="E45" t="str">
        <f ca="1">IFERROR(__xludf.DUMMYFUNCTION("IFERROR(FILTER('VPLData(raw)'!F:F,'VPLData(raw)'!B:B=504,'VPLData(raw)'!A:A=A45),0)"),"3315")</f>
        <v>3315</v>
      </c>
      <c r="F45" t="str">
        <f ca="1">IFERROR(__xludf.DUMMYFUNCTION("IFERROR(FILTER('VPLData(raw)'!C:C,'VPLData(raw)'!B:B=454,'VPLData(raw)'!A:A=A45),0)"),"1491410967")</f>
        <v>1491410967</v>
      </c>
      <c r="G45" t="str">
        <f ca="1">IFERROR(__xludf.DUMMYFUNCTION("IFERROR(IF(F45&gt;0, FILTER('VPLData(raw)'!E:E,'VPLData(raw)'!B:B=454,'VPLData(raw)'!A:A=A45), 0),0)"),"10")</f>
        <v>10</v>
      </c>
      <c r="H45" t="str">
        <f ca="1">IFERROR(__xludf.DUMMYFUNCTION("IFERROR(FILTER('VPLData(raw)'!F:F,'VPLData(raw)'!B:B=454,'VPLData(raw)'!A:A=A45),0)"),"2157")</f>
        <v>2157</v>
      </c>
      <c r="I45" t="str">
        <f ca="1">IFERROR(__xludf.DUMMYFUNCTION("IFERROR(FILTER('VPLData(raw)'!C:C,'VPLData(raw)'!B:B=457,'VPLData(raw)'!A:A=A45),0)"),"1491910070")</f>
        <v>1491910070</v>
      </c>
      <c r="J45" t="str">
        <f ca="1">IFERROR(__xludf.DUMMYFUNCTION("IFERROR(IF(I45&gt;0, FILTER('VPLData(raw)'!E:E,'VPLData(raw)'!B:B=457,'VPLData(raw)'!A:A=A45), 0),0)"),"10")</f>
        <v>10</v>
      </c>
      <c r="K45" t="str">
        <f ca="1">IFERROR(__xludf.DUMMYFUNCTION("IFERROR(FILTER('VPLData(raw)'!F:F,'VPLData(raw)'!B:B=457,'VPLData(raw)'!A:A=A45),0)"),"684")</f>
        <v>684</v>
      </c>
      <c r="L45" t="str">
        <f ca="1">IFERROR(__xludf.DUMMYFUNCTION("IFERROR(FILTER('VPLData(raw)'!C:C,'VPLData(raw)'!B:B=534,'VPLData(raw)'!A:A=A45),0)"),"0")</f>
        <v>0</v>
      </c>
      <c r="M45" t="str">
        <f ca="1">IFERROR(__xludf.DUMMYFUNCTION("IFERROR(IF(L45&gt;0, FILTER('VPLData(raw)'!E:E,'VPLData(raw)'!B:B=534,'VPLData(raw)'!A:A=A45), 0),0)"),"0")</f>
        <v>0</v>
      </c>
      <c r="N45" t="str">
        <f ca="1">IFERROR(__xludf.DUMMYFUNCTION("IFERROR(FILTER('VPLData(raw)'!F:F,'VPLData(raw)'!B:B=534,'VPLData(raw)'!A:A=A45),0)"),"0")</f>
        <v>0</v>
      </c>
      <c r="O45" t="str">
        <f ca="1">IFERROR(__xludf.DUMMYFUNCTION("IFERROR(FILTER('VPLData(raw)'!C:C,'VPLData(raw)'!B:B=498,'VPLData(raw)'!A:A=A45),0)"),"1493487388")</f>
        <v>1493487388</v>
      </c>
      <c r="P45" t="str">
        <f ca="1">IFERROR(__xludf.DUMMYFUNCTION("IFERROR(IF(O45&gt;0, FILTER('VPLData(raw)'!E:E,'VPLData(raw)'!B:B=498,'VPLData(raw)'!A:A=A45), 0),0)"),"10")</f>
        <v>10</v>
      </c>
      <c r="Q45" t="str">
        <f ca="1">IFERROR(__xludf.DUMMYFUNCTION("IFERROR(FILTER('VPLData(raw)'!F:F,'VPLData(raw)'!B:B=498,'VPLData(raw)'!A:A=A45),0)"),"211")</f>
        <v>211</v>
      </c>
      <c r="R45" t="str">
        <f ca="1">IFERROR(__xludf.DUMMYFUNCTION("IFERROR(FILTER('VPLData(raw)'!C:C,'VPLData(raw)'!B:B=515,'VPLData(raw)'!A:A=A45),0)"),"1493489481")</f>
        <v>1493489481</v>
      </c>
      <c r="S45" t="str">
        <f ca="1">IFERROR(__xludf.DUMMYFUNCTION("IFERROR(IF(R45&gt;0, FILTER('VPLData(raw)'!E:E,'VPLData(raw)'!B:B=515,'VPLData(raw)'!A:A=A45), 0),0)"),"10")</f>
        <v>10</v>
      </c>
      <c r="T45" t="str">
        <f ca="1">IFERROR(__xludf.DUMMYFUNCTION("IFERROR(FILTER('VPLData(raw)'!F:F,'VPLData(raw)'!B:B=515,'VPLData(raw)'!A:A=A45),0)"),"2832")</f>
        <v>2832</v>
      </c>
      <c r="U45" t="str">
        <f ca="1">IFERROR(__xludf.DUMMYFUNCTION("IFERROR(FILTER('VPLData(raw)'!C:C,'VPLData(raw)'!B:B=528,'VPLData(raw)'!A:A=A45),0)"),"1494550780")</f>
        <v>1494550780</v>
      </c>
      <c r="V45" t="str">
        <f ca="1">IFERROR(__xludf.DUMMYFUNCTION("IFERROR(IF(U45&gt;0, FILTER('VPLData(raw)'!E:E,'VPLData(raw)'!B:B=528,'VPLData(raw)'!A:A=A45), 0),0)"),"10")</f>
        <v>10</v>
      </c>
      <c r="W45" t="str">
        <f ca="1">IFERROR(__xludf.DUMMYFUNCTION("IFERROR(FILTER('VPLData(raw)'!F:F,'VPLData(raw)'!B:B=528,'VPLData(raw)'!A:A=A45),0)"),"506")</f>
        <v>506</v>
      </c>
      <c r="X45" t="str">
        <f ca="1">IFERROR(__xludf.DUMMYFUNCTION("IFERROR(FILTER('VPLData(raw)'!C:C,'VPLData(raw)'!B:B=524,'VPLData(raw)'!A:A=A45),0)"),"1494551994")</f>
        <v>1494551994</v>
      </c>
      <c r="Y45" t="str">
        <f ca="1">IFERROR(__xludf.DUMMYFUNCTION("IFERROR(IF(X45&gt;0, FILTER('VPLData(raw)'!E:E,'VPLData(raw)'!B:B=524,'VPLData(raw)'!A:A=A45), 0),0)"),"10")</f>
        <v>10</v>
      </c>
      <c r="Z45" t="str">
        <f ca="1">IFERROR(__xludf.DUMMYFUNCTION("IFERROR(FILTER('VPLData(raw)'!F:F,'VPLData(raw)'!B:B=524,'VPLData(raw)'!A:A=A45),0)"),"6177")</f>
        <v>6177</v>
      </c>
      <c r="AA45" t="str">
        <f ca="1">IFERROR(__xludf.DUMMYFUNCTION("IFERROR(FILTER('VPLData(raw)'!C:C,'VPLData(raw)'!B:B=478,'VPLData(raw)'!A:A=A45),0)"),"1494883218")</f>
        <v>1494883218</v>
      </c>
      <c r="AB45" t="str">
        <f ca="1">IFERROR(__xludf.DUMMYFUNCTION("IFERROR(IF(AA45&gt;0, FILTER('VPLData(raw)'!E:E,'VPLData(raw)'!B:B=478,'VPLData(raw)'!A:A=A45), 0),0)"),"10")</f>
        <v>10</v>
      </c>
      <c r="AC45" t="str">
        <f ca="1">IFERROR(__xludf.DUMMYFUNCTION("IFERROR(FILTER('VPLData(raw)'!F:F,'VPLData(raw)'!B:B=478,'VPLData(raw)'!A:A=A45),0)"),"19445")</f>
        <v>19445</v>
      </c>
      <c r="AD45" t="str">
        <f ca="1">IFERROR(__xludf.DUMMYFUNCTION("IFERROR(FILTER('VPLData(raw)'!C:C,'VPLData(raw)'!B:B=542,'VPLData(raw)'!A:A=A45),0)"),"1499376991")</f>
        <v>1499376991</v>
      </c>
      <c r="AE45" t="str">
        <f ca="1">IFERROR(__xludf.DUMMYFUNCTION("IFERROR(IF(AD45&gt;0, FILTER('VPLData(raw)'!E:E,'VPLData(raw)'!B:B=542,'VPLData(raw)'!A:A=A45), 0),0)"),"10")</f>
        <v>10</v>
      </c>
      <c r="AF45" t="str">
        <f ca="1">IFERROR(__xludf.DUMMYFUNCTION("IFERROR(FILTER('VPLData(raw)'!F:F,'VPLData(raw)'!B:B=542,'VPLData(raw)'!A:A=A45),0)"),"1018")</f>
        <v>1018</v>
      </c>
      <c r="AG45" t="str">
        <f ca="1">IFERROR(__xludf.DUMMYFUNCTION("IFERROR(FILTER('VPLData(raw)'!C:C,'VPLData(raw)'!B:B=544,'VPLData(raw)'!A:A=A45),0)"),"1499440927")</f>
        <v>1499440927</v>
      </c>
      <c r="AH45" t="str">
        <f ca="1">IFERROR(__xludf.DUMMYFUNCTION("IFERROR(IF(AG45&gt;0, FILTER('VPLData(raw)'!E:E,'VPLData(raw)'!B:B=544,'VPLData(raw)'!A:A=A45), 0),0)"),"10")</f>
        <v>10</v>
      </c>
      <c r="AI45" t="str">
        <f ca="1">IFERROR(__xludf.DUMMYFUNCTION("IFERROR(FILTER('VPLData(raw)'!F:F,'VPLData(raw)'!B:B=544,'VPLData(raw)'!A:A=A45),0)"),"588")</f>
        <v>588</v>
      </c>
      <c r="AJ45" t="str">
        <f ca="1">IFERROR(__xludf.DUMMYFUNCTION("IFERROR(FILTER('VPLData(raw)'!C:C,'VPLData(raw)'!B:B=545,'VPLData(raw)'!A:A=A45),0)"),"1499482482")</f>
        <v>1499482482</v>
      </c>
      <c r="AK45" t="str">
        <f ca="1">IFERROR(__xludf.DUMMYFUNCTION("IFERROR(IF(AJ45&gt;0, FILTER('VPLData(raw)'!E:E,'VPLData(raw)'!B:B=545,'VPLData(raw)'!A:A=A45), 0),0)"),"")</f>
        <v/>
      </c>
      <c r="AL45" t="str">
        <f ca="1">IFERROR(__xludf.DUMMYFUNCTION("IFERROR(FILTER('VPLData(raw)'!F:F,'VPLData(raw)'!B:B=545,'VPLData(raw)'!A:A=A45),0)"),"741")</f>
        <v>741</v>
      </c>
    </row>
    <row r="46" spans="1:38" ht="13" x14ac:dyDescent="0.15">
      <c r="A46" s="2">
        <v>10214</v>
      </c>
      <c r="B46" s="2">
        <v>10277022</v>
      </c>
      <c r="C46" t="str">
        <f ca="1">IFERROR(__xludf.DUMMYFUNCTION("IFERROR(FILTER('VPLData(raw)'!C:C,'VPLData(raw)'!B:B=504,'VPLData(raw)'!A:A=A46),0)"),"0")</f>
        <v>0</v>
      </c>
      <c r="D46" s="3" t="str">
        <f ca="1">IFERROR(__xludf.DUMMYFUNCTION("IFERROR(IF(C46&gt;0, FILTER('VPLData(raw)'!E:E,'VPLData(raw)'!B:B=504,'VPLData(raw)'!A:A=A46), 0),0)"),"0")</f>
        <v>0</v>
      </c>
      <c r="E46" t="str">
        <f ca="1">IFERROR(__xludf.DUMMYFUNCTION("IFERROR(FILTER('VPLData(raw)'!F:F,'VPLData(raw)'!B:B=504,'VPLData(raw)'!A:A=A46),0)"),"0")</f>
        <v>0</v>
      </c>
      <c r="F46" t="str">
        <f ca="1">IFERROR(__xludf.DUMMYFUNCTION("IFERROR(FILTER('VPLData(raw)'!C:C,'VPLData(raw)'!B:B=454,'VPLData(raw)'!A:A=A46),0)"),"1491345213")</f>
        <v>1491345213</v>
      </c>
      <c r="G46" t="str">
        <f ca="1">IFERROR(__xludf.DUMMYFUNCTION("IFERROR(IF(F46&gt;0, FILTER('VPLData(raw)'!E:E,'VPLData(raw)'!B:B=454,'VPLData(raw)'!A:A=A46), 0),0)"),"10")</f>
        <v>10</v>
      </c>
      <c r="H46" t="str">
        <f ca="1">IFERROR(__xludf.DUMMYFUNCTION("IFERROR(FILTER('VPLData(raw)'!F:F,'VPLData(raw)'!B:B=454,'VPLData(raw)'!A:A=A46),0)"),"3733")</f>
        <v>3733</v>
      </c>
      <c r="I46" t="str">
        <f ca="1">IFERROR(__xludf.DUMMYFUNCTION("IFERROR(FILTER('VPLData(raw)'!C:C,'VPLData(raw)'!B:B=457,'VPLData(raw)'!A:A=A46),0)"),"1492442776")</f>
        <v>1492442776</v>
      </c>
      <c r="J46" t="str">
        <f ca="1">IFERROR(__xludf.DUMMYFUNCTION("IFERROR(IF(I46&gt;0, FILTER('VPLData(raw)'!E:E,'VPLData(raw)'!B:B=457,'VPLData(raw)'!A:A=A46), 0),0)"),"10")</f>
        <v>10</v>
      </c>
      <c r="K46" t="str">
        <f ca="1">IFERROR(__xludf.DUMMYFUNCTION("IFERROR(FILTER('VPLData(raw)'!F:F,'VPLData(raw)'!B:B=457,'VPLData(raw)'!A:A=A46),0)"),"10755")</f>
        <v>10755</v>
      </c>
      <c r="L46" t="str">
        <f ca="1">IFERROR(__xludf.DUMMYFUNCTION("IFERROR(FILTER('VPLData(raw)'!C:C,'VPLData(raw)'!B:B=534,'VPLData(raw)'!A:A=A46),0)"),"0")</f>
        <v>0</v>
      </c>
      <c r="M46" t="str">
        <f ca="1">IFERROR(__xludf.DUMMYFUNCTION("IFERROR(IF(L46&gt;0, FILTER('VPLData(raw)'!E:E,'VPLData(raw)'!B:B=534,'VPLData(raw)'!A:A=A46), 0),0)"),"0")</f>
        <v>0</v>
      </c>
      <c r="N46" t="str">
        <f ca="1">IFERROR(__xludf.DUMMYFUNCTION("IFERROR(FILTER('VPLData(raw)'!F:F,'VPLData(raw)'!B:B=534,'VPLData(raw)'!A:A=A46),0)"),"0")</f>
        <v>0</v>
      </c>
      <c r="O46" t="str">
        <f ca="1">IFERROR(__xludf.DUMMYFUNCTION("IFERROR(FILTER('VPLData(raw)'!C:C,'VPLData(raw)'!B:B=498,'VPLData(raw)'!A:A=A46),0)"),"1492638819")</f>
        <v>1492638819</v>
      </c>
      <c r="P46" t="str">
        <f ca="1">IFERROR(__xludf.DUMMYFUNCTION("IFERROR(IF(O46&gt;0, FILTER('VPLData(raw)'!E:E,'VPLData(raw)'!B:B=498,'VPLData(raw)'!A:A=A46), 0),0)"),"10")</f>
        <v>10</v>
      </c>
      <c r="Q46" t="str">
        <f ca="1">IFERROR(__xludf.DUMMYFUNCTION("IFERROR(FILTER('VPLData(raw)'!F:F,'VPLData(raw)'!B:B=498,'VPLData(raw)'!A:A=A46),0)"),"991")</f>
        <v>991</v>
      </c>
      <c r="R46" t="str">
        <f ca="1">IFERROR(__xludf.DUMMYFUNCTION("IFERROR(FILTER('VPLData(raw)'!C:C,'VPLData(raw)'!B:B=515,'VPLData(raw)'!A:A=A46),0)"),"1492639168")</f>
        <v>1492639168</v>
      </c>
      <c r="S46" t="str">
        <f ca="1">IFERROR(__xludf.DUMMYFUNCTION("IFERROR(IF(R46&gt;0, FILTER('VPLData(raw)'!E:E,'VPLData(raw)'!B:B=515,'VPLData(raw)'!A:A=A46), 0),0)"),"10")</f>
        <v>10</v>
      </c>
      <c r="T46" t="str">
        <f ca="1">IFERROR(__xludf.DUMMYFUNCTION("IFERROR(FILTER('VPLData(raw)'!F:F,'VPLData(raw)'!B:B=515,'VPLData(raw)'!A:A=A46),0)"),"2437")</f>
        <v>2437</v>
      </c>
      <c r="U46" t="str">
        <f ca="1">IFERROR(__xludf.DUMMYFUNCTION("IFERROR(FILTER('VPLData(raw)'!C:C,'VPLData(raw)'!B:B=528,'VPLData(raw)'!A:A=A46),0)"),"1494522046")</f>
        <v>1494522046</v>
      </c>
      <c r="V46" t="str">
        <f ca="1">IFERROR(__xludf.DUMMYFUNCTION("IFERROR(IF(U46&gt;0, FILTER('VPLData(raw)'!E:E,'VPLData(raw)'!B:B=528,'VPLData(raw)'!A:A=A46), 0),0)"),"10")</f>
        <v>10</v>
      </c>
      <c r="W46" t="str">
        <f ca="1">IFERROR(__xludf.DUMMYFUNCTION("IFERROR(FILTER('VPLData(raw)'!F:F,'VPLData(raw)'!B:B=528,'VPLData(raw)'!A:A=A46),0)"),"2123")</f>
        <v>2123</v>
      </c>
      <c r="X46" t="str">
        <f ca="1">IFERROR(__xludf.DUMMYFUNCTION("IFERROR(FILTER('VPLData(raw)'!C:C,'VPLData(raw)'!B:B=524,'VPLData(raw)'!A:A=A46),0)"),"1494862418")</f>
        <v>1494862418</v>
      </c>
      <c r="Y46" t="str">
        <f ca="1">IFERROR(__xludf.DUMMYFUNCTION("IFERROR(IF(X46&gt;0, FILTER('VPLData(raw)'!E:E,'VPLData(raw)'!B:B=524,'VPLData(raw)'!A:A=A46), 0),0)"),"10")</f>
        <v>10</v>
      </c>
      <c r="Z46" t="str">
        <f ca="1">IFERROR(__xludf.DUMMYFUNCTION("IFERROR(FILTER('VPLData(raw)'!F:F,'VPLData(raw)'!B:B=524,'VPLData(raw)'!A:A=A46),0)"),"1311")</f>
        <v>1311</v>
      </c>
      <c r="AA46" t="str">
        <f ca="1">IFERROR(__xludf.DUMMYFUNCTION("IFERROR(FILTER('VPLData(raw)'!C:C,'VPLData(raw)'!B:B=478,'VPLData(raw)'!A:A=A46),0)"),"1494863890")</f>
        <v>1494863890</v>
      </c>
      <c r="AB46" t="str">
        <f ca="1">IFERROR(__xludf.DUMMYFUNCTION("IFERROR(IF(AA46&gt;0, FILTER('VPLData(raw)'!E:E,'VPLData(raw)'!B:B=478,'VPLData(raw)'!A:A=A46), 0),0)"),"10")</f>
        <v>10</v>
      </c>
      <c r="AC46" t="str">
        <f ca="1">IFERROR(__xludf.DUMMYFUNCTION("IFERROR(FILTER('VPLData(raw)'!F:F,'VPLData(raw)'!B:B=478,'VPLData(raw)'!A:A=A46),0)"),"16178")</f>
        <v>16178</v>
      </c>
      <c r="AD46" t="str">
        <f ca="1">IFERROR(__xludf.DUMMYFUNCTION("IFERROR(FILTER('VPLData(raw)'!C:C,'VPLData(raw)'!B:B=542,'VPLData(raw)'!A:A=A46),0)"),"1497901745")</f>
        <v>1497901745</v>
      </c>
      <c r="AE46" t="str">
        <f ca="1">IFERROR(__xludf.DUMMYFUNCTION("IFERROR(IF(AD46&gt;0, FILTER('VPLData(raw)'!E:E,'VPLData(raw)'!B:B=542,'VPLData(raw)'!A:A=A46), 0),0)"),"10")</f>
        <v>10</v>
      </c>
      <c r="AF46" t="str">
        <f ca="1">IFERROR(__xludf.DUMMYFUNCTION("IFERROR(FILTER('VPLData(raw)'!F:F,'VPLData(raw)'!B:B=542,'VPLData(raw)'!A:A=A46),0)"),"3122")</f>
        <v>3122</v>
      </c>
      <c r="AG46" t="str">
        <f ca="1">IFERROR(__xludf.DUMMYFUNCTION("IFERROR(FILTER('VPLData(raw)'!C:C,'VPLData(raw)'!B:B=544,'VPLData(raw)'!A:A=A46),0)"),"0")</f>
        <v>0</v>
      </c>
      <c r="AH46" t="str">
        <f ca="1">IFERROR(__xludf.DUMMYFUNCTION("IFERROR(IF(AG46&gt;0, FILTER('VPLData(raw)'!E:E,'VPLData(raw)'!B:B=544,'VPLData(raw)'!A:A=A46), 0),0)"),"0")</f>
        <v>0</v>
      </c>
      <c r="AI46" t="str">
        <f ca="1">IFERROR(__xludf.DUMMYFUNCTION("IFERROR(FILTER('VPLData(raw)'!F:F,'VPLData(raw)'!B:B=544,'VPLData(raw)'!A:A=A46),0)"),"0")</f>
        <v>0</v>
      </c>
      <c r="AJ46" t="str">
        <f ca="1">IFERROR(__xludf.DUMMYFUNCTION("IFERROR(FILTER('VPLData(raw)'!C:C,'VPLData(raw)'!B:B=545,'VPLData(raw)'!A:A=A46),0)"),"0")</f>
        <v>0</v>
      </c>
      <c r="AK46" t="str">
        <f ca="1">IFERROR(__xludf.DUMMYFUNCTION("IFERROR(IF(AJ46&gt;0, FILTER('VPLData(raw)'!E:E,'VPLData(raw)'!B:B=545,'VPLData(raw)'!A:A=A46), 0),0)"),"0")</f>
        <v>0</v>
      </c>
      <c r="AL46" t="str">
        <f ca="1">IFERROR(__xludf.DUMMYFUNCTION("IFERROR(FILTER('VPLData(raw)'!F:F,'VPLData(raw)'!B:B=545,'VPLData(raw)'!A:A=A46),0)"),"0")</f>
        <v>0</v>
      </c>
    </row>
    <row r="47" spans="1:38" ht="13" x14ac:dyDescent="0.15">
      <c r="A47" s="2">
        <v>10202</v>
      </c>
      <c r="B47" s="2">
        <v>10277036</v>
      </c>
      <c r="C47" t="str">
        <f ca="1">IFERROR(__xludf.DUMMYFUNCTION("IFERROR(FILTER('VPLData(raw)'!C:C,'VPLData(raw)'!B:B=504,'VPLData(raw)'!A:A=A47),0)"),"1490804478")</f>
        <v>1490804478</v>
      </c>
      <c r="D47" s="3" t="str">
        <f ca="1">IFERROR(__xludf.DUMMYFUNCTION("IFERROR(IF(C47&gt;0, FILTER('VPLData(raw)'!E:E,'VPLData(raw)'!B:B=504,'VPLData(raw)'!A:A=A47), 0),0)"),"10")</f>
        <v>10</v>
      </c>
      <c r="E47" t="str">
        <f ca="1">IFERROR(__xludf.DUMMYFUNCTION("IFERROR(FILTER('VPLData(raw)'!F:F,'VPLData(raw)'!B:B=504,'VPLData(raw)'!A:A=A47),0)"),"6258")</f>
        <v>6258</v>
      </c>
      <c r="F47" t="str">
        <f ca="1">IFERROR(__xludf.DUMMYFUNCTION("IFERROR(FILTER('VPLData(raw)'!C:C,'VPLData(raw)'!B:B=454,'VPLData(raw)'!A:A=A47),0)"),"1491853817")</f>
        <v>1491853817</v>
      </c>
      <c r="G47" t="str">
        <f ca="1">IFERROR(__xludf.DUMMYFUNCTION("IFERROR(IF(F47&gt;0, FILTER('VPLData(raw)'!E:E,'VPLData(raw)'!B:B=454,'VPLData(raw)'!A:A=A47), 0),0)"),"10")</f>
        <v>10</v>
      </c>
      <c r="H47" t="str">
        <f ca="1">IFERROR(__xludf.DUMMYFUNCTION("IFERROR(FILTER('VPLData(raw)'!F:F,'VPLData(raw)'!B:B=454,'VPLData(raw)'!A:A=A47),0)"),"9601")</f>
        <v>9601</v>
      </c>
      <c r="I47" t="str">
        <f ca="1">IFERROR(__xludf.DUMMYFUNCTION("IFERROR(FILTER('VPLData(raw)'!C:C,'VPLData(raw)'!B:B=457,'VPLData(raw)'!A:A=A47),0)"),"1491949270")</f>
        <v>1491949270</v>
      </c>
      <c r="J47" t="str">
        <f ca="1">IFERROR(__xludf.DUMMYFUNCTION("IFERROR(IF(I47&gt;0, FILTER('VPLData(raw)'!E:E,'VPLData(raw)'!B:B=457,'VPLData(raw)'!A:A=A47), 0),0)"),"")</f>
        <v/>
      </c>
      <c r="K47" t="str">
        <f ca="1">IFERROR(__xludf.DUMMYFUNCTION("IFERROR(FILTER('VPLData(raw)'!F:F,'VPLData(raw)'!B:B=457,'VPLData(raw)'!A:A=A47),0)"),"6809")</f>
        <v>6809</v>
      </c>
      <c r="L47" t="str">
        <f ca="1">IFERROR(__xludf.DUMMYFUNCTION("IFERROR(FILTER('VPLData(raw)'!C:C,'VPLData(raw)'!B:B=534,'VPLData(raw)'!A:A=A47),0)"),"0")</f>
        <v>0</v>
      </c>
      <c r="M47" t="str">
        <f ca="1">IFERROR(__xludf.DUMMYFUNCTION("IFERROR(IF(L47&gt;0, FILTER('VPLData(raw)'!E:E,'VPLData(raw)'!B:B=534,'VPLData(raw)'!A:A=A47), 0),0)"),"0")</f>
        <v>0</v>
      </c>
      <c r="N47" t="str">
        <f ca="1">IFERROR(__xludf.DUMMYFUNCTION("IFERROR(FILTER('VPLData(raw)'!F:F,'VPLData(raw)'!B:B=534,'VPLData(raw)'!A:A=A47),0)"),"0")</f>
        <v>0</v>
      </c>
      <c r="O47" t="str">
        <f ca="1">IFERROR(__xludf.DUMMYFUNCTION("IFERROR(FILTER('VPLData(raw)'!C:C,'VPLData(raw)'!B:B=498,'VPLData(raw)'!A:A=A47),0)"),"1499205573")</f>
        <v>1499205573</v>
      </c>
      <c r="P47" t="str">
        <f ca="1">IFERROR(__xludf.DUMMYFUNCTION("IFERROR(IF(O47&gt;0, FILTER('VPLData(raw)'!E:E,'VPLData(raw)'!B:B=498,'VPLData(raw)'!A:A=A47), 0),0)"),"10")</f>
        <v>10</v>
      </c>
      <c r="Q47" t="str">
        <f ca="1">IFERROR(__xludf.DUMMYFUNCTION("IFERROR(FILTER('VPLData(raw)'!F:F,'VPLData(raw)'!B:B=498,'VPLData(raw)'!A:A=A47),0)"),"248")</f>
        <v>248</v>
      </c>
      <c r="R47" t="str">
        <f ca="1">IFERROR(__xludf.DUMMYFUNCTION("IFERROR(FILTER('VPLData(raw)'!C:C,'VPLData(raw)'!B:B=515,'VPLData(raw)'!A:A=A47),0)"),"1499280179")</f>
        <v>1499280179</v>
      </c>
      <c r="S47" t="str">
        <f ca="1">IFERROR(__xludf.DUMMYFUNCTION("IFERROR(IF(R47&gt;0, FILTER('VPLData(raw)'!E:E,'VPLData(raw)'!B:B=515,'VPLData(raw)'!A:A=A47), 0),0)"),"10")</f>
        <v>10</v>
      </c>
      <c r="T47" t="str">
        <f ca="1">IFERROR(__xludf.DUMMYFUNCTION("IFERROR(FILTER('VPLData(raw)'!F:F,'VPLData(raw)'!B:B=515,'VPLData(raw)'!A:A=A47),0)"),"1845")</f>
        <v>1845</v>
      </c>
      <c r="U47" t="str">
        <f ca="1">IFERROR(__xludf.DUMMYFUNCTION("IFERROR(FILTER('VPLData(raw)'!C:C,'VPLData(raw)'!B:B=528,'VPLData(raw)'!A:A=A47),0)"),"1494817462")</f>
        <v>1494817462</v>
      </c>
      <c r="V47" t="str">
        <f ca="1">IFERROR(__xludf.DUMMYFUNCTION("IFERROR(IF(U47&gt;0, FILTER('VPLData(raw)'!E:E,'VPLData(raw)'!B:B=528,'VPLData(raw)'!A:A=A47), 0),0)"),"10")</f>
        <v>10</v>
      </c>
      <c r="W47" t="str">
        <f ca="1">IFERROR(__xludf.DUMMYFUNCTION("IFERROR(FILTER('VPLData(raw)'!F:F,'VPLData(raw)'!B:B=528,'VPLData(raw)'!A:A=A47),0)"),"4431")</f>
        <v>4431</v>
      </c>
      <c r="X47" t="str">
        <f ca="1">IFERROR(__xludf.DUMMYFUNCTION("IFERROR(FILTER('VPLData(raw)'!C:C,'VPLData(raw)'!B:B=524,'VPLData(raw)'!A:A=A47),0)"),"1494853765")</f>
        <v>1494853765</v>
      </c>
      <c r="Y47" t="str">
        <f ca="1">IFERROR(__xludf.DUMMYFUNCTION("IFERROR(IF(X47&gt;0, FILTER('VPLData(raw)'!E:E,'VPLData(raw)'!B:B=524,'VPLData(raw)'!A:A=A47), 0),0)"),"10")</f>
        <v>10</v>
      </c>
      <c r="Z47" t="str">
        <f ca="1">IFERROR(__xludf.DUMMYFUNCTION("IFERROR(FILTER('VPLData(raw)'!F:F,'VPLData(raw)'!B:B=524,'VPLData(raw)'!A:A=A47),0)"),"11879")</f>
        <v>11879</v>
      </c>
      <c r="AA47" t="str">
        <f ca="1">IFERROR(__xludf.DUMMYFUNCTION("IFERROR(FILTER('VPLData(raw)'!C:C,'VPLData(raw)'!B:B=478,'VPLData(raw)'!A:A=A47),0)"),"1499388778")</f>
        <v>1499388778</v>
      </c>
      <c r="AB47" t="str">
        <f ca="1">IFERROR(__xludf.DUMMYFUNCTION("IFERROR(IF(AA47&gt;0, FILTER('VPLData(raw)'!E:E,'VPLData(raw)'!B:B=478,'VPLData(raw)'!A:A=A47), 0),0)"),"10")</f>
        <v>10</v>
      </c>
      <c r="AC47" t="str">
        <f ca="1">IFERROR(__xludf.DUMMYFUNCTION("IFERROR(FILTER('VPLData(raw)'!F:F,'VPLData(raw)'!B:B=478,'VPLData(raw)'!A:A=A47),0)"),"10877")</f>
        <v>10877</v>
      </c>
      <c r="AD47" t="str">
        <f ca="1">IFERROR(__xludf.DUMMYFUNCTION("IFERROR(FILTER('VPLData(raw)'!C:C,'VPLData(raw)'!B:B=542,'VPLData(raw)'!A:A=A47),0)"),"0")</f>
        <v>0</v>
      </c>
      <c r="AE47" t="str">
        <f ca="1">IFERROR(__xludf.DUMMYFUNCTION("IFERROR(IF(AD47&gt;0, FILTER('VPLData(raw)'!E:E,'VPLData(raw)'!B:B=542,'VPLData(raw)'!A:A=A47), 0),0)"),"0")</f>
        <v>0</v>
      </c>
      <c r="AF47" t="str">
        <f ca="1">IFERROR(__xludf.DUMMYFUNCTION("IFERROR(FILTER('VPLData(raw)'!F:F,'VPLData(raw)'!B:B=542,'VPLData(raw)'!A:A=A47),0)"),"0")</f>
        <v>0</v>
      </c>
      <c r="AG47" t="str">
        <f ca="1">IFERROR(__xludf.DUMMYFUNCTION("IFERROR(FILTER('VPLData(raw)'!C:C,'VPLData(raw)'!B:B=544,'VPLData(raw)'!A:A=A47),0)"),"0")</f>
        <v>0</v>
      </c>
      <c r="AH47" t="str">
        <f ca="1">IFERROR(__xludf.DUMMYFUNCTION("IFERROR(IF(AG47&gt;0, FILTER('VPLData(raw)'!E:E,'VPLData(raw)'!B:B=544,'VPLData(raw)'!A:A=A47), 0),0)"),"0")</f>
        <v>0</v>
      </c>
      <c r="AI47" t="str">
        <f ca="1">IFERROR(__xludf.DUMMYFUNCTION("IFERROR(FILTER('VPLData(raw)'!F:F,'VPLData(raw)'!B:B=544,'VPLData(raw)'!A:A=A47),0)"),"0")</f>
        <v>0</v>
      </c>
      <c r="AJ47" t="str">
        <f ca="1">IFERROR(__xludf.DUMMYFUNCTION("IFERROR(FILTER('VPLData(raw)'!C:C,'VPLData(raw)'!B:B=545,'VPLData(raw)'!A:A=A47),0)"),"0")</f>
        <v>0</v>
      </c>
      <c r="AK47" t="str">
        <f ca="1">IFERROR(__xludf.DUMMYFUNCTION("IFERROR(IF(AJ47&gt;0, FILTER('VPLData(raw)'!E:E,'VPLData(raw)'!B:B=545,'VPLData(raw)'!A:A=A47), 0),0)"),"0")</f>
        <v>0</v>
      </c>
      <c r="AL47" t="str">
        <f ca="1">IFERROR(__xludf.DUMMYFUNCTION("IFERROR(FILTER('VPLData(raw)'!F:F,'VPLData(raw)'!B:B=545,'VPLData(raw)'!A:A=A47),0)"),"0")</f>
        <v>0</v>
      </c>
    </row>
    <row r="48" spans="1:38" ht="13" x14ac:dyDescent="0.15">
      <c r="A48" s="2">
        <v>10213</v>
      </c>
      <c r="B48" s="2">
        <v>10277040</v>
      </c>
      <c r="C48" t="str">
        <f ca="1">IFERROR(__xludf.DUMMYFUNCTION("IFERROR(FILTER('VPLData(raw)'!C:C,'VPLData(raw)'!B:B=504,'VPLData(raw)'!A:A=A48),0)"),"0")</f>
        <v>0</v>
      </c>
      <c r="D48" s="3" t="str">
        <f ca="1">IFERROR(__xludf.DUMMYFUNCTION("IFERROR(IF(C48&gt;0, FILTER('VPLData(raw)'!E:E,'VPLData(raw)'!B:B=504,'VPLData(raw)'!A:A=A48), 0),0)"),"0")</f>
        <v>0</v>
      </c>
      <c r="E48" t="str">
        <f ca="1">IFERROR(__xludf.DUMMYFUNCTION("IFERROR(FILTER('VPLData(raw)'!F:F,'VPLData(raw)'!B:B=504,'VPLData(raw)'!A:A=A48),0)"),"0")</f>
        <v>0</v>
      </c>
      <c r="F48" t="str">
        <f ca="1">IFERROR(__xludf.DUMMYFUNCTION("IFERROR(FILTER('VPLData(raw)'!C:C,'VPLData(raw)'!B:B=454,'VPLData(raw)'!A:A=A48),0)"),"1492560683")</f>
        <v>1492560683</v>
      </c>
      <c r="G48" t="str">
        <f ca="1">IFERROR(__xludf.DUMMYFUNCTION("IFERROR(IF(F48&gt;0, FILTER('VPLData(raw)'!E:E,'VPLData(raw)'!B:B=454,'VPLData(raw)'!A:A=A48), 0),0)"),"")</f>
        <v/>
      </c>
      <c r="H48" t="str">
        <f ca="1">IFERROR(__xludf.DUMMYFUNCTION("IFERROR(FILTER('VPLData(raw)'!F:F,'VPLData(raw)'!B:B=454,'VPLData(raw)'!A:A=A48),0)"),"277")</f>
        <v>277</v>
      </c>
      <c r="I48" t="str">
        <f ca="1">IFERROR(__xludf.DUMMYFUNCTION("IFERROR(FILTER('VPLData(raw)'!C:C,'VPLData(raw)'!B:B=457,'VPLData(raw)'!A:A=A48),0)"),"0")</f>
        <v>0</v>
      </c>
      <c r="J48" t="str">
        <f ca="1">IFERROR(__xludf.DUMMYFUNCTION("IFERROR(IF(I48&gt;0, FILTER('VPLData(raw)'!E:E,'VPLData(raw)'!B:B=457,'VPLData(raw)'!A:A=A48), 0),0)"),"0")</f>
        <v>0</v>
      </c>
      <c r="K48" t="str">
        <f ca="1">IFERROR(__xludf.DUMMYFUNCTION("IFERROR(FILTER('VPLData(raw)'!F:F,'VPLData(raw)'!B:B=457,'VPLData(raw)'!A:A=A48),0)"),"0")</f>
        <v>0</v>
      </c>
      <c r="L48" t="str">
        <f ca="1">IFERROR(__xludf.DUMMYFUNCTION("IFERROR(FILTER('VPLData(raw)'!C:C,'VPLData(raw)'!B:B=534,'VPLData(raw)'!A:A=A48),0)"),"0")</f>
        <v>0</v>
      </c>
      <c r="M48" t="str">
        <f ca="1">IFERROR(__xludf.DUMMYFUNCTION("IFERROR(IF(L48&gt;0, FILTER('VPLData(raw)'!E:E,'VPLData(raw)'!B:B=534,'VPLData(raw)'!A:A=A48), 0),0)"),"0")</f>
        <v>0</v>
      </c>
      <c r="N48" t="str">
        <f ca="1">IFERROR(__xludf.DUMMYFUNCTION("IFERROR(FILTER('VPLData(raw)'!F:F,'VPLData(raw)'!B:B=534,'VPLData(raw)'!A:A=A48),0)"),"0")</f>
        <v>0</v>
      </c>
      <c r="O48" t="str">
        <f ca="1">IFERROR(__xludf.DUMMYFUNCTION("IFERROR(FILTER('VPLData(raw)'!C:C,'VPLData(raw)'!B:B=498,'VPLData(raw)'!A:A=A48),0)"),"1492711295")</f>
        <v>1492711295</v>
      </c>
      <c r="P48" t="str">
        <f ca="1">IFERROR(__xludf.DUMMYFUNCTION("IFERROR(IF(O48&gt;0, FILTER('VPLData(raw)'!E:E,'VPLData(raw)'!B:B=498,'VPLData(raw)'!A:A=A48), 0),0)"),"10")</f>
        <v>10</v>
      </c>
      <c r="Q48" t="str">
        <f ca="1">IFERROR(__xludf.DUMMYFUNCTION("IFERROR(FILTER('VPLData(raw)'!F:F,'VPLData(raw)'!B:B=498,'VPLData(raw)'!A:A=A48),0)"),"744")</f>
        <v>744</v>
      </c>
      <c r="R48" t="str">
        <f ca="1">IFERROR(__xludf.DUMMYFUNCTION("IFERROR(FILTER('VPLData(raw)'!C:C,'VPLData(raw)'!B:B=515,'VPLData(raw)'!A:A=A48),0)"),"1493309827")</f>
        <v>1493309827</v>
      </c>
      <c r="S48" t="str">
        <f ca="1">IFERROR(__xludf.DUMMYFUNCTION("IFERROR(IF(R48&gt;0, FILTER('VPLData(raw)'!E:E,'VPLData(raw)'!B:B=515,'VPLData(raw)'!A:A=A48), 0),0)"),"10")</f>
        <v>10</v>
      </c>
      <c r="T48" t="str">
        <f ca="1">IFERROR(__xludf.DUMMYFUNCTION("IFERROR(FILTER('VPLData(raw)'!F:F,'VPLData(raw)'!B:B=515,'VPLData(raw)'!A:A=A48),0)"),"1061")</f>
        <v>1061</v>
      </c>
      <c r="U48" t="str">
        <f ca="1">IFERROR(__xludf.DUMMYFUNCTION("IFERROR(FILTER('VPLData(raw)'!C:C,'VPLData(raw)'!B:B=528,'VPLData(raw)'!A:A=A48),0)"),"1499391541")</f>
        <v>1499391541</v>
      </c>
      <c r="V48" t="str">
        <f ca="1">IFERROR(__xludf.DUMMYFUNCTION("IFERROR(IF(U48&gt;0, FILTER('VPLData(raw)'!E:E,'VPLData(raw)'!B:B=528,'VPLData(raw)'!A:A=A48), 0),0)"),"10")</f>
        <v>10</v>
      </c>
      <c r="W48" t="str">
        <f ca="1">IFERROR(__xludf.DUMMYFUNCTION("IFERROR(FILTER('VPLData(raw)'!F:F,'VPLData(raw)'!B:B=528,'VPLData(raw)'!A:A=A48),0)"),"369")</f>
        <v>369</v>
      </c>
      <c r="X48" t="str">
        <f ca="1">IFERROR(__xludf.DUMMYFUNCTION("IFERROR(FILTER('VPLData(raw)'!C:C,'VPLData(raw)'!B:B=524,'VPLData(raw)'!A:A=A48),0)"),"1499391057")</f>
        <v>1499391057</v>
      </c>
      <c r="Y48" t="str">
        <f ca="1">IFERROR(__xludf.DUMMYFUNCTION("IFERROR(IF(X48&gt;0, FILTER('VPLData(raw)'!E:E,'VPLData(raw)'!B:B=524,'VPLData(raw)'!A:A=A48), 0),0)"),"10")</f>
        <v>10</v>
      </c>
      <c r="Z48" t="str">
        <f ca="1">IFERROR(__xludf.DUMMYFUNCTION("IFERROR(FILTER('VPLData(raw)'!F:F,'VPLData(raw)'!B:B=524,'VPLData(raw)'!A:A=A48),0)"),"371")</f>
        <v>371</v>
      </c>
      <c r="AA48" t="str">
        <f ca="1">IFERROR(__xludf.DUMMYFUNCTION("IFERROR(FILTER('VPLData(raw)'!C:C,'VPLData(raw)'!B:B=478,'VPLData(raw)'!A:A=A48),0)"),"1494813601")</f>
        <v>1494813601</v>
      </c>
      <c r="AB48" t="str">
        <f ca="1">IFERROR(__xludf.DUMMYFUNCTION("IFERROR(IF(AA48&gt;0, FILTER('VPLData(raw)'!E:E,'VPLData(raw)'!B:B=478,'VPLData(raw)'!A:A=A48), 0),0)"),"10")</f>
        <v>10</v>
      </c>
      <c r="AC48" t="str">
        <f ca="1">IFERROR(__xludf.DUMMYFUNCTION("IFERROR(FILTER('VPLData(raw)'!F:F,'VPLData(raw)'!B:B=478,'VPLData(raw)'!A:A=A48),0)"),"1221")</f>
        <v>1221</v>
      </c>
      <c r="AD48" t="str">
        <f ca="1">IFERROR(__xludf.DUMMYFUNCTION("IFERROR(FILTER('VPLData(raw)'!C:C,'VPLData(raw)'!B:B=542,'VPLData(raw)'!A:A=A48),0)"),"1499438872")</f>
        <v>1499438872</v>
      </c>
      <c r="AE48" t="str">
        <f ca="1">IFERROR(__xludf.DUMMYFUNCTION("IFERROR(IF(AD48&gt;0, FILTER('VPLData(raw)'!E:E,'VPLData(raw)'!B:B=542,'VPLData(raw)'!A:A=A48), 0),0)"),"10")</f>
        <v>10</v>
      </c>
      <c r="AF48" t="str">
        <f ca="1">IFERROR(__xludf.DUMMYFUNCTION("IFERROR(FILTER('VPLData(raw)'!F:F,'VPLData(raw)'!B:B=542,'VPLData(raw)'!A:A=A48),0)"),"538")</f>
        <v>538</v>
      </c>
      <c r="AG48" t="str">
        <f ca="1">IFERROR(__xludf.DUMMYFUNCTION("IFERROR(FILTER('VPLData(raw)'!C:C,'VPLData(raw)'!B:B=544,'VPLData(raw)'!A:A=A48),0)"),"1499438722")</f>
        <v>1499438722</v>
      </c>
      <c r="AH48" t="str">
        <f ca="1">IFERROR(__xludf.DUMMYFUNCTION("IFERROR(IF(AG48&gt;0, FILTER('VPLData(raw)'!E:E,'VPLData(raw)'!B:B=544,'VPLData(raw)'!A:A=A48), 0),0)"),"10")</f>
        <v>10</v>
      </c>
      <c r="AI48" t="str">
        <f ca="1">IFERROR(__xludf.DUMMYFUNCTION("IFERROR(FILTER('VPLData(raw)'!F:F,'VPLData(raw)'!B:B=544,'VPLData(raw)'!A:A=A48),0)"),"1202")</f>
        <v>1202</v>
      </c>
      <c r="AJ48" t="str">
        <f ca="1">IFERROR(__xludf.DUMMYFUNCTION("IFERROR(FILTER('VPLData(raw)'!C:C,'VPLData(raw)'!B:B=545,'VPLData(raw)'!A:A=A48),0)"),"1499392169")</f>
        <v>1499392169</v>
      </c>
      <c r="AK48" t="str">
        <f ca="1">IFERROR(__xludf.DUMMYFUNCTION("IFERROR(IF(AJ48&gt;0, FILTER('VPLData(raw)'!E:E,'VPLData(raw)'!B:B=545,'VPLData(raw)'!A:A=A48), 0),0)"),"10")</f>
        <v>10</v>
      </c>
      <c r="AL48" t="str">
        <f ca="1">IFERROR(__xludf.DUMMYFUNCTION("IFERROR(FILTER('VPLData(raw)'!F:F,'VPLData(raw)'!B:B=545,'VPLData(raw)'!A:A=A48),0)"),"844")</f>
        <v>844</v>
      </c>
    </row>
    <row r="49" spans="1:38" ht="13" x14ac:dyDescent="0.15">
      <c r="A49" s="2">
        <v>10226</v>
      </c>
      <c r="B49" s="2">
        <v>10310342</v>
      </c>
      <c r="C49" t="str">
        <f ca="1">IFERROR(__xludf.DUMMYFUNCTION("IFERROR(FILTER('VPLData(raw)'!C:C,'VPLData(raw)'!B:B=504,'VPLData(raw)'!A:A=A49),0)"),"1490835393")</f>
        <v>1490835393</v>
      </c>
      <c r="D49" s="3" t="str">
        <f ca="1">IFERROR(__xludf.DUMMYFUNCTION("IFERROR(IF(C49&gt;0, FILTER('VPLData(raw)'!E:E,'VPLData(raw)'!B:B=504,'VPLData(raw)'!A:A=A49), 0),0)"),"10")</f>
        <v>10</v>
      </c>
      <c r="E49" t="str">
        <f ca="1">IFERROR(__xludf.DUMMYFUNCTION("IFERROR(FILTER('VPLData(raw)'!F:F,'VPLData(raw)'!B:B=504,'VPLData(raw)'!A:A=A49),0)"),"3084")</f>
        <v>3084</v>
      </c>
      <c r="F49" t="str">
        <f ca="1">IFERROR(__xludf.DUMMYFUNCTION("IFERROR(FILTER('VPLData(raw)'!C:C,'VPLData(raw)'!B:B=454,'VPLData(raw)'!A:A=A49),0)"),"0")</f>
        <v>0</v>
      </c>
      <c r="G49" t="str">
        <f ca="1">IFERROR(__xludf.DUMMYFUNCTION("IFERROR(IF(F49&gt;0, FILTER('VPLData(raw)'!E:E,'VPLData(raw)'!B:B=454,'VPLData(raw)'!A:A=A49), 0),0)"),"0")</f>
        <v>0</v>
      </c>
      <c r="H49" t="str">
        <f ca="1">IFERROR(__xludf.DUMMYFUNCTION("IFERROR(FILTER('VPLData(raw)'!F:F,'VPLData(raw)'!B:B=454,'VPLData(raw)'!A:A=A49),0)"),"0")</f>
        <v>0</v>
      </c>
      <c r="I49" t="str">
        <f ca="1">IFERROR(__xludf.DUMMYFUNCTION("IFERROR(FILTER('VPLData(raw)'!C:C,'VPLData(raw)'!B:B=457,'VPLData(raw)'!A:A=A49),0)"),"0")</f>
        <v>0</v>
      </c>
      <c r="J49" t="str">
        <f ca="1">IFERROR(__xludf.DUMMYFUNCTION("IFERROR(IF(I49&gt;0, FILTER('VPLData(raw)'!E:E,'VPLData(raw)'!B:B=457,'VPLData(raw)'!A:A=A49), 0),0)"),"0")</f>
        <v>0</v>
      </c>
      <c r="K49" t="str">
        <f ca="1">IFERROR(__xludf.DUMMYFUNCTION("IFERROR(FILTER('VPLData(raw)'!F:F,'VPLData(raw)'!B:B=457,'VPLData(raw)'!A:A=A49),0)"),"0")</f>
        <v>0</v>
      </c>
      <c r="L49" t="str">
        <f ca="1">IFERROR(__xludf.DUMMYFUNCTION("IFERROR(FILTER('VPLData(raw)'!C:C,'VPLData(raw)'!B:B=534,'VPLData(raw)'!A:A=A49),0)"),"0")</f>
        <v>0</v>
      </c>
      <c r="M49" t="str">
        <f ca="1">IFERROR(__xludf.DUMMYFUNCTION("IFERROR(IF(L49&gt;0, FILTER('VPLData(raw)'!E:E,'VPLData(raw)'!B:B=534,'VPLData(raw)'!A:A=A49), 0),0)"),"0")</f>
        <v>0</v>
      </c>
      <c r="N49" t="str">
        <f ca="1">IFERROR(__xludf.DUMMYFUNCTION("IFERROR(FILTER('VPLData(raw)'!F:F,'VPLData(raw)'!B:B=534,'VPLData(raw)'!A:A=A49),0)"),"0")</f>
        <v>0</v>
      </c>
      <c r="O49" t="str">
        <f ca="1">IFERROR(__xludf.DUMMYFUNCTION("IFERROR(FILTER('VPLData(raw)'!C:C,'VPLData(raw)'!B:B=498,'VPLData(raw)'!A:A=A49),0)"),"1493684339")</f>
        <v>1493684339</v>
      </c>
      <c r="P49" t="str">
        <f ca="1">IFERROR(__xludf.DUMMYFUNCTION("IFERROR(IF(O49&gt;0, FILTER('VPLData(raw)'!E:E,'VPLData(raw)'!B:B=498,'VPLData(raw)'!A:A=A49), 0),0)"),"10")</f>
        <v>10</v>
      </c>
      <c r="Q49" t="str">
        <f ca="1">IFERROR(__xludf.DUMMYFUNCTION("IFERROR(FILTER('VPLData(raw)'!F:F,'VPLData(raw)'!B:B=498,'VPLData(raw)'!A:A=A49),0)"),"941")</f>
        <v>941</v>
      </c>
      <c r="R49" t="str">
        <f ca="1">IFERROR(__xludf.DUMMYFUNCTION("IFERROR(FILTER('VPLData(raw)'!C:C,'VPLData(raw)'!B:B=515,'VPLData(raw)'!A:A=A49),0)"),"1493686469")</f>
        <v>1493686469</v>
      </c>
      <c r="S49" t="str">
        <f ca="1">IFERROR(__xludf.DUMMYFUNCTION("IFERROR(IF(R49&gt;0, FILTER('VPLData(raw)'!E:E,'VPLData(raw)'!B:B=515,'VPLData(raw)'!A:A=A49), 0),0)"),"10")</f>
        <v>10</v>
      </c>
      <c r="T49" t="str">
        <f ca="1">IFERROR(__xludf.DUMMYFUNCTION("IFERROR(FILTER('VPLData(raw)'!F:F,'VPLData(raw)'!B:B=515,'VPLData(raw)'!A:A=A49),0)"),"2992")</f>
        <v>2992</v>
      </c>
      <c r="U49" t="str">
        <f ca="1">IFERROR(__xludf.DUMMYFUNCTION("IFERROR(FILTER('VPLData(raw)'!C:C,'VPLData(raw)'!B:B=528,'VPLData(raw)'!A:A=A49),0)"),"1499449421")</f>
        <v>1499449421</v>
      </c>
      <c r="V49" t="str">
        <f ca="1">IFERROR(__xludf.DUMMYFUNCTION("IFERROR(IF(U49&gt;0, FILTER('VPLData(raw)'!E:E,'VPLData(raw)'!B:B=528,'VPLData(raw)'!A:A=A49), 0),0)"),"10")</f>
        <v>10</v>
      </c>
      <c r="W49" t="str">
        <f ca="1">IFERROR(__xludf.DUMMYFUNCTION("IFERROR(FILTER('VPLData(raw)'!F:F,'VPLData(raw)'!B:B=528,'VPLData(raw)'!A:A=A49),0)"),"727")</f>
        <v>727</v>
      </c>
      <c r="X49" t="str">
        <f ca="1">IFERROR(__xludf.DUMMYFUNCTION("IFERROR(FILTER('VPLData(raw)'!C:C,'VPLData(raw)'!B:B=524,'VPLData(raw)'!A:A=A49),0)"),"1494445675")</f>
        <v>1494445675</v>
      </c>
      <c r="Y49" t="str">
        <f ca="1">IFERROR(__xludf.DUMMYFUNCTION("IFERROR(IF(X49&gt;0, FILTER('VPLData(raw)'!E:E,'VPLData(raw)'!B:B=524,'VPLData(raw)'!A:A=A49), 0),0)"),"10")</f>
        <v>10</v>
      </c>
      <c r="Z49" t="str">
        <f ca="1">IFERROR(__xludf.DUMMYFUNCTION("IFERROR(FILTER('VPLData(raw)'!F:F,'VPLData(raw)'!B:B=524,'VPLData(raw)'!A:A=A49),0)"),"1981")</f>
        <v>1981</v>
      </c>
      <c r="AA49" t="str">
        <f ca="1">IFERROR(__xludf.DUMMYFUNCTION("IFERROR(FILTER('VPLData(raw)'!C:C,'VPLData(raw)'!B:B=478,'VPLData(raw)'!A:A=A49),0)"),"1499450227")</f>
        <v>1499450227</v>
      </c>
      <c r="AB49" t="str">
        <f ca="1">IFERROR(__xludf.DUMMYFUNCTION("IFERROR(IF(AA49&gt;0, FILTER('VPLData(raw)'!E:E,'VPLData(raw)'!B:B=478,'VPLData(raw)'!A:A=A49), 0),0)"),"10")</f>
        <v>10</v>
      </c>
      <c r="AC49" t="str">
        <f ca="1">IFERROR(__xludf.DUMMYFUNCTION("IFERROR(FILTER('VPLData(raw)'!F:F,'VPLData(raw)'!B:B=478,'VPLData(raw)'!A:A=A49),0)"),"880")</f>
        <v>880</v>
      </c>
      <c r="AD49" t="str">
        <f ca="1">IFERROR(__xludf.DUMMYFUNCTION("IFERROR(FILTER('VPLData(raw)'!C:C,'VPLData(raw)'!B:B=542,'VPLData(raw)'!A:A=A49),0)"),"1499482167")</f>
        <v>1499482167</v>
      </c>
      <c r="AE49" t="str">
        <f ca="1">IFERROR(__xludf.DUMMYFUNCTION("IFERROR(IF(AD49&gt;0, FILTER('VPLData(raw)'!E:E,'VPLData(raw)'!B:B=542,'VPLData(raw)'!A:A=A49), 0),0)"),"10")</f>
        <v>10</v>
      </c>
      <c r="AF49" t="str">
        <f ca="1">IFERROR(__xludf.DUMMYFUNCTION("IFERROR(FILTER('VPLData(raw)'!F:F,'VPLData(raw)'!B:B=542,'VPLData(raw)'!A:A=A49),0)"),"549")</f>
        <v>549</v>
      </c>
      <c r="AG49" t="str">
        <f ca="1">IFERROR(__xludf.DUMMYFUNCTION("IFERROR(FILTER('VPLData(raw)'!C:C,'VPLData(raw)'!B:B=544,'VPLData(raw)'!A:A=A49),0)"),"0")</f>
        <v>0</v>
      </c>
      <c r="AH49" t="str">
        <f ca="1">IFERROR(__xludf.DUMMYFUNCTION("IFERROR(IF(AG49&gt;0, FILTER('VPLData(raw)'!E:E,'VPLData(raw)'!B:B=544,'VPLData(raw)'!A:A=A49), 0),0)"),"0")</f>
        <v>0</v>
      </c>
      <c r="AI49" t="str">
        <f ca="1">IFERROR(__xludf.DUMMYFUNCTION("IFERROR(FILTER('VPLData(raw)'!F:F,'VPLData(raw)'!B:B=544,'VPLData(raw)'!A:A=A49),0)"),"0")</f>
        <v>0</v>
      </c>
      <c r="AJ49" t="str">
        <f ca="1">IFERROR(__xludf.DUMMYFUNCTION("IFERROR(FILTER('VPLData(raw)'!C:C,'VPLData(raw)'!B:B=545,'VPLData(raw)'!A:A=A49),0)"),"1499482834")</f>
        <v>1499482834</v>
      </c>
      <c r="AK49" t="str">
        <f ca="1">IFERROR(__xludf.DUMMYFUNCTION("IFERROR(IF(AJ49&gt;0, FILTER('VPLData(raw)'!E:E,'VPLData(raw)'!B:B=545,'VPLData(raw)'!A:A=A49), 0),0)"),"10")</f>
        <v>10</v>
      </c>
      <c r="AL49" t="str">
        <f ca="1">IFERROR(__xludf.DUMMYFUNCTION("IFERROR(FILTER('VPLData(raw)'!F:F,'VPLData(raw)'!B:B=545,'VPLData(raw)'!A:A=A49),0)"),"2386")</f>
        <v>2386</v>
      </c>
    </row>
    <row r="50" spans="1:38" ht="13" x14ac:dyDescent="0.15">
      <c r="A50" s="2">
        <v>10204</v>
      </c>
      <c r="B50" s="2">
        <v>10310471</v>
      </c>
      <c r="C50" t="str">
        <f ca="1">IFERROR(__xludf.DUMMYFUNCTION("IFERROR(FILTER('VPLData(raw)'!C:C,'VPLData(raw)'!B:B=504,'VPLData(raw)'!A:A=A50),0)"),"0")</f>
        <v>0</v>
      </c>
      <c r="D50" s="3" t="str">
        <f ca="1">IFERROR(__xludf.DUMMYFUNCTION("IFERROR(IF(C50&gt;0, FILTER('VPLData(raw)'!E:E,'VPLData(raw)'!B:B=504,'VPLData(raw)'!A:A=A50), 0),0)"),"0")</f>
        <v>0</v>
      </c>
      <c r="E50" t="str">
        <f ca="1">IFERROR(__xludf.DUMMYFUNCTION("IFERROR(FILTER('VPLData(raw)'!F:F,'VPLData(raw)'!B:B=504,'VPLData(raw)'!A:A=A50),0)"),"0")</f>
        <v>0</v>
      </c>
      <c r="F50" t="str">
        <f ca="1">IFERROR(__xludf.DUMMYFUNCTION("IFERROR(FILTER('VPLData(raw)'!C:C,'VPLData(raw)'!B:B=454,'VPLData(raw)'!A:A=A50),0)"),"1491512969")</f>
        <v>1491512969</v>
      </c>
      <c r="G50" t="str">
        <f ca="1">IFERROR(__xludf.DUMMYFUNCTION("IFERROR(IF(F50&gt;0, FILTER('VPLData(raw)'!E:E,'VPLData(raw)'!B:B=454,'VPLData(raw)'!A:A=A50), 0),0)"),"10")</f>
        <v>10</v>
      </c>
      <c r="H50" t="str">
        <f ca="1">IFERROR(__xludf.DUMMYFUNCTION("IFERROR(FILTER('VPLData(raw)'!F:F,'VPLData(raw)'!B:B=454,'VPLData(raw)'!A:A=A50),0)"),"5363")</f>
        <v>5363</v>
      </c>
      <c r="I50" t="str">
        <f ca="1">IFERROR(__xludf.DUMMYFUNCTION("IFERROR(FILTER('VPLData(raw)'!C:C,'VPLData(raw)'!B:B=457,'VPLData(raw)'!A:A=A50),0)"),"1492092350")</f>
        <v>1492092350</v>
      </c>
      <c r="J50" t="str">
        <f ca="1">IFERROR(__xludf.DUMMYFUNCTION("IFERROR(IF(I50&gt;0, FILTER('VPLData(raw)'!E:E,'VPLData(raw)'!B:B=457,'VPLData(raw)'!A:A=A50), 0),0)"),"")</f>
        <v/>
      </c>
      <c r="K50" t="str">
        <f ca="1">IFERROR(__xludf.DUMMYFUNCTION("IFERROR(FILTER('VPLData(raw)'!F:F,'VPLData(raw)'!B:B=457,'VPLData(raw)'!A:A=A50),0)"),"20815")</f>
        <v>20815</v>
      </c>
      <c r="L50" t="str">
        <f ca="1">IFERROR(__xludf.DUMMYFUNCTION("IFERROR(FILTER('VPLData(raw)'!C:C,'VPLData(raw)'!B:B=534,'VPLData(raw)'!A:A=A50),0)"),"1495631033")</f>
        <v>1495631033</v>
      </c>
      <c r="M50" t="str">
        <f ca="1">IFERROR(__xludf.DUMMYFUNCTION("IFERROR(IF(L50&gt;0, FILTER('VPLData(raw)'!E:E,'VPLData(raw)'!B:B=534,'VPLData(raw)'!A:A=A50), 0),0)"),"")</f>
        <v/>
      </c>
      <c r="N50" t="str">
        <f ca="1">IFERROR(__xludf.DUMMYFUNCTION("IFERROR(FILTER('VPLData(raw)'!F:F,'VPLData(raw)'!B:B=534,'VPLData(raw)'!A:A=A50),0)"),"6317")</f>
        <v>6317</v>
      </c>
      <c r="O50" t="str">
        <f ca="1">IFERROR(__xludf.DUMMYFUNCTION("IFERROR(FILTER('VPLData(raw)'!C:C,'VPLData(raw)'!B:B=498,'VPLData(raw)'!A:A=A50),0)"),"1492704342")</f>
        <v>1492704342</v>
      </c>
      <c r="P50" t="str">
        <f ca="1">IFERROR(__xludf.DUMMYFUNCTION("IFERROR(IF(O50&gt;0, FILTER('VPLData(raw)'!E:E,'VPLData(raw)'!B:B=498,'VPLData(raw)'!A:A=A50), 0),0)"),"10")</f>
        <v>10</v>
      </c>
      <c r="Q50" t="str">
        <f ca="1">IFERROR(__xludf.DUMMYFUNCTION("IFERROR(FILTER('VPLData(raw)'!F:F,'VPLData(raw)'!B:B=498,'VPLData(raw)'!A:A=A50),0)"),"1402")</f>
        <v>1402</v>
      </c>
      <c r="R50" t="str">
        <f ca="1">IFERROR(__xludf.DUMMYFUNCTION("IFERROR(FILTER('VPLData(raw)'!C:C,'VPLData(raw)'!B:B=515,'VPLData(raw)'!A:A=A50),0)"),"1492706259")</f>
        <v>1492706259</v>
      </c>
      <c r="S50" t="str">
        <f ca="1">IFERROR(__xludf.DUMMYFUNCTION("IFERROR(IF(R50&gt;0, FILTER('VPLData(raw)'!E:E,'VPLData(raw)'!B:B=515,'VPLData(raw)'!A:A=A50), 0),0)"),"10")</f>
        <v>10</v>
      </c>
      <c r="T50" t="str">
        <f ca="1">IFERROR(__xludf.DUMMYFUNCTION("IFERROR(FILTER('VPLData(raw)'!F:F,'VPLData(raw)'!B:B=515,'VPLData(raw)'!A:A=A50),0)"),"816")</f>
        <v>816</v>
      </c>
      <c r="U50" t="str">
        <f ca="1">IFERROR(__xludf.DUMMYFUNCTION("IFERROR(FILTER('VPLData(raw)'!C:C,'VPLData(raw)'!B:B=528,'VPLData(raw)'!A:A=A50),0)"),"1494514768")</f>
        <v>1494514768</v>
      </c>
      <c r="V50" t="str">
        <f ca="1">IFERROR(__xludf.DUMMYFUNCTION("IFERROR(IF(U50&gt;0, FILTER('VPLData(raw)'!E:E,'VPLData(raw)'!B:B=528,'VPLData(raw)'!A:A=A50), 0),0)"),"10")</f>
        <v>10</v>
      </c>
      <c r="W50" t="str">
        <f ca="1">IFERROR(__xludf.DUMMYFUNCTION("IFERROR(FILTER('VPLData(raw)'!F:F,'VPLData(raw)'!B:B=528,'VPLData(raw)'!A:A=A50),0)"),"3937")</f>
        <v>3937</v>
      </c>
      <c r="X50" t="str">
        <f ca="1">IFERROR(__xludf.DUMMYFUNCTION("IFERROR(FILTER('VPLData(raw)'!C:C,'VPLData(raw)'!B:B=524,'VPLData(raw)'!A:A=A50),0)"),"1495137271")</f>
        <v>1495137271</v>
      </c>
      <c r="Y50" t="str">
        <f ca="1">IFERROR(__xludf.DUMMYFUNCTION("IFERROR(IF(X50&gt;0, FILTER('VPLData(raw)'!E:E,'VPLData(raw)'!B:B=524,'VPLData(raw)'!A:A=A50), 0),0)"),"10")</f>
        <v>10</v>
      </c>
      <c r="Z50" t="str">
        <f ca="1">IFERROR(__xludf.DUMMYFUNCTION("IFERROR(FILTER('VPLData(raw)'!F:F,'VPLData(raw)'!B:B=524,'VPLData(raw)'!A:A=A50),0)"),"700")</f>
        <v>700</v>
      </c>
      <c r="AA50" t="str">
        <f ca="1">IFERROR(__xludf.DUMMYFUNCTION("IFERROR(FILTER('VPLData(raw)'!C:C,'VPLData(raw)'!B:B=478,'VPLData(raw)'!A:A=A50),0)"),"1495109875")</f>
        <v>1495109875</v>
      </c>
      <c r="AB50" t="str">
        <f ca="1">IFERROR(__xludf.DUMMYFUNCTION("IFERROR(IF(AA50&gt;0, FILTER('VPLData(raw)'!E:E,'VPLData(raw)'!B:B=478,'VPLData(raw)'!A:A=A50), 0),0)"),"10")</f>
        <v>10</v>
      </c>
      <c r="AC50" t="str">
        <f ca="1">IFERROR(__xludf.DUMMYFUNCTION("IFERROR(FILTER('VPLData(raw)'!F:F,'VPLData(raw)'!B:B=478,'VPLData(raw)'!A:A=A50),0)"),"6921")</f>
        <v>6921</v>
      </c>
      <c r="AD50" t="str">
        <f ca="1">IFERROR(__xludf.DUMMYFUNCTION("IFERROR(FILTER('VPLData(raw)'!C:C,'VPLData(raw)'!B:B=542,'VPLData(raw)'!A:A=A50),0)"),"1499476660")</f>
        <v>1499476660</v>
      </c>
      <c r="AE50" t="str">
        <f ca="1">IFERROR(__xludf.DUMMYFUNCTION("IFERROR(IF(AD50&gt;0, FILTER('VPLData(raw)'!E:E,'VPLData(raw)'!B:B=542,'VPLData(raw)'!A:A=A50), 0),0)"),"10")</f>
        <v>10</v>
      </c>
      <c r="AF50" t="str">
        <f ca="1">IFERROR(__xludf.DUMMYFUNCTION("IFERROR(FILTER('VPLData(raw)'!F:F,'VPLData(raw)'!B:B=542,'VPLData(raw)'!A:A=A50),0)"),"1209")</f>
        <v>1209</v>
      </c>
      <c r="AG50" t="str">
        <f ca="1">IFERROR(__xludf.DUMMYFUNCTION("IFERROR(FILTER('VPLData(raw)'!C:C,'VPLData(raw)'!B:B=544,'VPLData(raw)'!A:A=A50),0)"),"1499477961")</f>
        <v>1499477961</v>
      </c>
      <c r="AH50" t="str">
        <f ca="1">IFERROR(__xludf.DUMMYFUNCTION("IFERROR(IF(AG50&gt;0, FILTER('VPLData(raw)'!E:E,'VPLData(raw)'!B:B=544,'VPLData(raw)'!A:A=A50), 0),0)"),"10")</f>
        <v>10</v>
      </c>
      <c r="AI50" t="str">
        <f ca="1">IFERROR(__xludf.DUMMYFUNCTION("IFERROR(FILTER('VPLData(raw)'!F:F,'VPLData(raw)'!B:B=544,'VPLData(raw)'!A:A=A50),0)"),"2517")</f>
        <v>2517</v>
      </c>
      <c r="AJ50" t="str">
        <f ca="1">IFERROR(__xludf.DUMMYFUNCTION("IFERROR(FILTER('VPLData(raw)'!C:C,'VPLData(raw)'!B:B=545,'VPLData(raw)'!A:A=A50),0)"),"1499384809")</f>
        <v>1499384809</v>
      </c>
      <c r="AK50" t="str">
        <f ca="1">IFERROR(__xludf.DUMMYFUNCTION("IFERROR(IF(AJ50&gt;0, FILTER('VPLData(raw)'!E:E,'VPLData(raw)'!B:B=545,'VPLData(raw)'!A:A=A50), 0),0)"),"10")</f>
        <v>10</v>
      </c>
      <c r="AL50" t="str">
        <f ca="1">IFERROR(__xludf.DUMMYFUNCTION("IFERROR(FILTER('VPLData(raw)'!F:F,'VPLData(raw)'!B:B=545,'VPLData(raw)'!A:A=A50),0)"),"1649")</f>
        <v>1649</v>
      </c>
    </row>
    <row r="51" spans="1:38" ht="13" x14ac:dyDescent="0.15">
      <c r="A51" s="2">
        <v>10228</v>
      </c>
      <c r="B51" s="2">
        <v>10310492</v>
      </c>
      <c r="C51" t="str">
        <f ca="1">IFERROR(__xludf.DUMMYFUNCTION("IFERROR(FILTER('VPLData(raw)'!C:C,'VPLData(raw)'!B:B=504,'VPLData(raw)'!A:A=A51),0)"),"0")</f>
        <v>0</v>
      </c>
      <c r="D51" s="3" t="str">
        <f ca="1">IFERROR(__xludf.DUMMYFUNCTION("IFERROR(IF(C51&gt;0, FILTER('VPLData(raw)'!E:E,'VPLData(raw)'!B:B=504,'VPLData(raw)'!A:A=A51), 0),0)"),"0")</f>
        <v>0</v>
      </c>
      <c r="E51" t="str">
        <f ca="1">IFERROR(__xludf.DUMMYFUNCTION("IFERROR(FILTER('VPLData(raw)'!F:F,'VPLData(raw)'!B:B=504,'VPLData(raw)'!A:A=A51),0)"),"0")</f>
        <v>0</v>
      </c>
      <c r="F51" t="str">
        <f ca="1">IFERROR(__xludf.DUMMYFUNCTION("IFERROR(FILTER('VPLData(raw)'!C:C,'VPLData(raw)'!B:B=454,'VPLData(raw)'!A:A=A51),0)"),"0")</f>
        <v>0</v>
      </c>
      <c r="G51" t="str">
        <f ca="1">IFERROR(__xludf.DUMMYFUNCTION("IFERROR(IF(F51&gt;0, FILTER('VPLData(raw)'!E:E,'VPLData(raw)'!B:B=454,'VPLData(raw)'!A:A=A51), 0),0)"),"0")</f>
        <v>0</v>
      </c>
      <c r="H51" t="str">
        <f ca="1">IFERROR(__xludf.DUMMYFUNCTION("IFERROR(FILTER('VPLData(raw)'!F:F,'VPLData(raw)'!B:B=454,'VPLData(raw)'!A:A=A51),0)"),"0")</f>
        <v>0</v>
      </c>
      <c r="I51" t="str">
        <f ca="1">IFERROR(__xludf.DUMMYFUNCTION("IFERROR(FILTER('VPLData(raw)'!C:C,'VPLData(raw)'!B:B=457,'VPLData(raw)'!A:A=A51),0)"),"0")</f>
        <v>0</v>
      </c>
      <c r="J51" t="str">
        <f ca="1">IFERROR(__xludf.DUMMYFUNCTION("IFERROR(IF(I51&gt;0, FILTER('VPLData(raw)'!E:E,'VPLData(raw)'!B:B=457,'VPLData(raw)'!A:A=A51), 0),0)"),"0")</f>
        <v>0</v>
      </c>
      <c r="K51" t="str">
        <f ca="1">IFERROR(__xludf.DUMMYFUNCTION("IFERROR(FILTER('VPLData(raw)'!F:F,'VPLData(raw)'!B:B=457,'VPLData(raw)'!A:A=A51),0)"),"0")</f>
        <v>0</v>
      </c>
      <c r="L51" t="str">
        <f ca="1">IFERROR(__xludf.DUMMYFUNCTION("IFERROR(FILTER('VPLData(raw)'!C:C,'VPLData(raw)'!B:B=534,'VPLData(raw)'!A:A=A51),0)"),"0")</f>
        <v>0</v>
      </c>
      <c r="M51" t="str">
        <f ca="1">IFERROR(__xludf.DUMMYFUNCTION("IFERROR(IF(L51&gt;0, FILTER('VPLData(raw)'!E:E,'VPLData(raw)'!B:B=534,'VPLData(raw)'!A:A=A51), 0),0)"),"0")</f>
        <v>0</v>
      </c>
      <c r="N51" t="str">
        <f ca="1">IFERROR(__xludf.DUMMYFUNCTION("IFERROR(FILTER('VPLData(raw)'!F:F,'VPLData(raw)'!B:B=534,'VPLData(raw)'!A:A=A51),0)"),"0")</f>
        <v>0</v>
      </c>
      <c r="O51" t="str">
        <f ca="1">IFERROR(__xludf.DUMMYFUNCTION("IFERROR(FILTER('VPLData(raw)'!C:C,'VPLData(raw)'!B:B=498,'VPLData(raw)'!A:A=A51),0)"),"1498947652")</f>
        <v>1498947652</v>
      </c>
      <c r="P51" t="str">
        <f ca="1">IFERROR(__xludf.DUMMYFUNCTION("IFERROR(IF(O51&gt;0, FILTER('VPLData(raw)'!E:E,'VPLData(raw)'!B:B=498,'VPLData(raw)'!A:A=A51), 0),0)"),"10")</f>
        <v>10</v>
      </c>
      <c r="Q51" t="str">
        <f ca="1">IFERROR(__xludf.DUMMYFUNCTION("IFERROR(FILTER('VPLData(raw)'!F:F,'VPLData(raw)'!B:B=498,'VPLData(raw)'!A:A=A51),0)"),"1683")</f>
        <v>1683</v>
      </c>
      <c r="R51" t="str">
        <f ca="1">IFERROR(__xludf.DUMMYFUNCTION("IFERROR(FILTER('VPLData(raw)'!C:C,'VPLData(raw)'!B:B=515,'VPLData(raw)'!A:A=A51),0)"),"1499393588")</f>
        <v>1499393588</v>
      </c>
      <c r="S51" t="str">
        <f ca="1">IFERROR(__xludf.DUMMYFUNCTION("IFERROR(IF(R51&gt;0, FILTER('VPLData(raw)'!E:E,'VPLData(raw)'!B:B=515,'VPLData(raw)'!A:A=A51), 0),0)"),"10")</f>
        <v>10</v>
      </c>
      <c r="T51" t="str">
        <f ca="1">IFERROR(__xludf.DUMMYFUNCTION("IFERROR(FILTER('VPLData(raw)'!F:F,'VPLData(raw)'!B:B=515,'VPLData(raw)'!A:A=A51),0)"),"891")</f>
        <v>891</v>
      </c>
      <c r="U51" t="str">
        <f ca="1">IFERROR(__xludf.DUMMYFUNCTION("IFERROR(FILTER('VPLData(raw)'!C:C,'VPLData(raw)'!B:B=528,'VPLData(raw)'!A:A=A51),0)"),"1499398227")</f>
        <v>1499398227</v>
      </c>
      <c r="V51" t="str">
        <f ca="1">IFERROR(__xludf.DUMMYFUNCTION("IFERROR(IF(U51&gt;0, FILTER('VPLData(raw)'!E:E,'VPLData(raw)'!B:B=528,'VPLData(raw)'!A:A=A51), 0),0)"),"10")</f>
        <v>10</v>
      </c>
      <c r="W51" t="str">
        <f ca="1">IFERROR(__xludf.DUMMYFUNCTION("IFERROR(FILTER('VPLData(raw)'!F:F,'VPLData(raw)'!B:B=528,'VPLData(raw)'!A:A=A51),0)"),"228")</f>
        <v>228</v>
      </c>
      <c r="X51" t="str">
        <f ca="1">IFERROR(__xludf.DUMMYFUNCTION("IFERROR(FILTER('VPLData(raw)'!C:C,'VPLData(raw)'!B:B=524,'VPLData(raw)'!A:A=A51),0)"),"1499398589")</f>
        <v>1499398589</v>
      </c>
      <c r="Y51" t="str">
        <f ca="1">IFERROR(__xludf.DUMMYFUNCTION("IFERROR(IF(X51&gt;0, FILTER('VPLData(raw)'!E:E,'VPLData(raw)'!B:B=524,'VPLData(raw)'!A:A=A51), 0),0)"),"10")</f>
        <v>10</v>
      </c>
      <c r="Z51" t="str">
        <f ca="1">IFERROR(__xludf.DUMMYFUNCTION("IFERROR(FILTER('VPLData(raw)'!F:F,'VPLData(raw)'!B:B=524,'VPLData(raw)'!A:A=A51),0)"),"284")</f>
        <v>284</v>
      </c>
      <c r="AA51" t="str">
        <f ca="1">IFERROR(__xludf.DUMMYFUNCTION("IFERROR(FILTER('VPLData(raw)'!C:C,'VPLData(raw)'!B:B=478,'VPLData(raw)'!A:A=A51),0)"),"1499386874")</f>
        <v>1499386874</v>
      </c>
      <c r="AB51" t="str">
        <f ca="1">IFERROR(__xludf.DUMMYFUNCTION("IFERROR(IF(AA51&gt;0, FILTER('VPLData(raw)'!E:E,'VPLData(raw)'!B:B=478,'VPLData(raw)'!A:A=A51), 0),0)"),"10")</f>
        <v>10</v>
      </c>
      <c r="AC51" t="str">
        <f ca="1">IFERROR(__xludf.DUMMYFUNCTION("IFERROR(FILTER('VPLData(raw)'!F:F,'VPLData(raw)'!B:B=478,'VPLData(raw)'!A:A=A51),0)"),"3025")</f>
        <v>3025</v>
      </c>
      <c r="AD51" t="str">
        <f ca="1">IFERROR(__xludf.DUMMYFUNCTION("IFERROR(FILTER('VPLData(raw)'!C:C,'VPLData(raw)'!B:B=542,'VPLData(raw)'!A:A=A51),0)"),"1499402767")</f>
        <v>1499402767</v>
      </c>
      <c r="AE51" t="str">
        <f ca="1">IFERROR(__xludf.DUMMYFUNCTION("IFERROR(IF(AD51&gt;0, FILTER('VPLData(raw)'!E:E,'VPLData(raw)'!B:B=542,'VPLData(raw)'!A:A=A51), 0),0)"),"10")</f>
        <v>10</v>
      </c>
      <c r="AF51" t="str">
        <f ca="1">IFERROR(__xludf.DUMMYFUNCTION("IFERROR(FILTER('VPLData(raw)'!F:F,'VPLData(raw)'!B:B=542,'VPLData(raw)'!A:A=A51),0)"),"996")</f>
        <v>996</v>
      </c>
      <c r="AG51" t="str">
        <f ca="1">IFERROR(__xludf.DUMMYFUNCTION("IFERROR(FILTER('VPLData(raw)'!C:C,'VPLData(raw)'!B:B=544,'VPLData(raw)'!A:A=A51),0)"),"0")</f>
        <v>0</v>
      </c>
      <c r="AH51" t="str">
        <f ca="1">IFERROR(__xludf.DUMMYFUNCTION("IFERROR(IF(AG51&gt;0, FILTER('VPLData(raw)'!E:E,'VPLData(raw)'!B:B=544,'VPLData(raw)'!A:A=A51), 0),0)"),"0")</f>
        <v>0</v>
      </c>
      <c r="AI51" t="str">
        <f ca="1">IFERROR(__xludf.DUMMYFUNCTION("IFERROR(FILTER('VPLData(raw)'!F:F,'VPLData(raw)'!B:B=544,'VPLData(raw)'!A:A=A51),0)"),"0")</f>
        <v>0</v>
      </c>
      <c r="AJ51" t="str">
        <f ca="1">IFERROR(__xludf.DUMMYFUNCTION("IFERROR(FILTER('VPLData(raw)'!C:C,'VPLData(raw)'!B:B=545,'VPLData(raw)'!A:A=A51),0)"),"0")</f>
        <v>0</v>
      </c>
      <c r="AK51" t="str">
        <f ca="1">IFERROR(__xludf.DUMMYFUNCTION("IFERROR(IF(AJ51&gt;0, FILTER('VPLData(raw)'!E:E,'VPLData(raw)'!B:B=545,'VPLData(raw)'!A:A=A51), 0),0)"),"0")</f>
        <v>0</v>
      </c>
      <c r="AL51" t="str">
        <f ca="1">IFERROR(__xludf.DUMMYFUNCTION("IFERROR(FILTER('VPLData(raw)'!F:F,'VPLData(raw)'!B:B=545,'VPLData(raw)'!A:A=A51),0)"),"0")</f>
        <v>0</v>
      </c>
    </row>
    <row r="52" spans="1:38" ht="13" x14ac:dyDescent="0.15">
      <c r="A52" s="2">
        <v>10186</v>
      </c>
      <c r="B52" s="2">
        <v>10310551</v>
      </c>
      <c r="C52" t="str">
        <f ca="1">IFERROR(__xludf.DUMMYFUNCTION("IFERROR(FILTER('VPLData(raw)'!C:C,'VPLData(raw)'!B:B=504,'VPLData(raw)'!A:A=A52),0)"),"0")</f>
        <v>0</v>
      </c>
      <c r="D52" s="3" t="str">
        <f ca="1">IFERROR(__xludf.DUMMYFUNCTION("IFERROR(IF(C52&gt;0, FILTER('VPLData(raw)'!E:E,'VPLData(raw)'!B:B=504,'VPLData(raw)'!A:A=A52), 0),0)"),"0")</f>
        <v>0</v>
      </c>
      <c r="E52" t="str">
        <f ca="1">IFERROR(__xludf.DUMMYFUNCTION("IFERROR(FILTER('VPLData(raw)'!F:F,'VPLData(raw)'!B:B=504,'VPLData(raw)'!A:A=A52),0)"),"0")</f>
        <v>0</v>
      </c>
      <c r="F52" t="str">
        <f ca="1">IFERROR(__xludf.DUMMYFUNCTION("IFERROR(FILTER('VPLData(raw)'!C:C,'VPLData(raw)'!B:B=454,'VPLData(raw)'!A:A=A52),0)"),"0")</f>
        <v>0</v>
      </c>
      <c r="G52" t="str">
        <f ca="1">IFERROR(__xludf.DUMMYFUNCTION("IFERROR(IF(F52&gt;0, FILTER('VPLData(raw)'!E:E,'VPLData(raw)'!B:B=454,'VPLData(raw)'!A:A=A52), 0),0)"),"0")</f>
        <v>0</v>
      </c>
      <c r="H52" t="str">
        <f ca="1">IFERROR(__xludf.DUMMYFUNCTION("IFERROR(FILTER('VPLData(raw)'!F:F,'VPLData(raw)'!B:B=454,'VPLData(raw)'!A:A=A52),0)"),"0")</f>
        <v>0</v>
      </c>
      <c r="I52" t="str">
        <f ca="1">IFERROR(__xludf.DUMMYFUNCTION("IFERROR(FILTER('VPLData(raw)'!C:C,'VPLData(raw)'!B:B=457,'VPLData(raw)'!A:A=A52),0)"),"0")</f>
        <v>0</v>
      </c>
      <c r="J52" t="str">
        <f ca="1">IFERROR(__xludf.DUMMYFUNCTION("IFERROR(IF(I52&gt;0, FILTER('VPLData(raw)'!E:E,'VPLData(raw)'!B:B=457,'VPLData(raw)'!A:A=A52), 0),0)"),"0")</f>
        <v>0</v>
      </c>
      <c r="K52" t="str">
        <f ca="1">IFERROR(__xludf.DUMMYFUNCTION("IFERROR(FILTER('VPLData(raw)'!F:F,'VPLData(raw)'!B:B=457,'VPLData(raw)'!A:A=A52),0)"),"0")</f>
        <v>0</v>
      </c>
      <c r="L52" t="str">
        <f ca="1">IFERROR(__xludf.DUMMYFUNCTION("IFERROR(FILTER('VPLData(raw)'!C:C,'VPLData(raw)'!B:B=534,'VPLData(raw)'!A:A=A52),0)"),"0")</f>
        <v>0</v>
      </c>
      <c r="M52" t="str">
        <f ca="1">IFERROR(__xludf.DUMMYFUNCTION("IFERROR(IF(L52&gt;0, FILTER('VPLData(raw)'!E:E,'VPLData(raw)'!B:B=534,'VPLData(raw)'!A:A=A52), 0),0)"),"0")</f>
        <v>0</v>
      </c>
      <c r="N52" t="str">
        <f ca="1">IFERROR(__xludf.DUMMYFUNCTION("IFERROR(FILTER('VPLData(raw)'!F:F,'VPLData(raw)'!B:B=534,'VPLData(raw)'!A:A=A52),0)"),"0")</f>
        <v>0</v>
      </c>
      <c r="O52" t="str">
        <f ca="1">IFERROR(__xludf.DUMMYFUNCTION("IFERROR(FILTER('VPLData(raw)'!C:C,'VPLData(raw)'!B:B=498,'VPLData(raw)'!A:A=A52),0)"),"1494204928")</f>
        <v>1494204928</v>
      </c>
      <c r="P52" t="str">
        <f ca="1">IFERROR(__xludf.DUMMYFUNCTION("IFERROR(IF(O52&gt;0, FILTER('VPLData(raw)'!E:E,'VPLData(raw)'!B:B=498,'VPLData(raw)'!A:A=A52), 0),0)"),"10")</f>
        <v>10</v>
      </c>
      <c r="Q52" t="str">
        <f ca="1">IFERROR(__xludf.DUMMYFUNCTION("IFERROR(FILTER('VPLData(raw)'!F:F,'VPLData(raw)'!B:B=498,'VPLData(raw)'!A:A=A52),0)"),"670")</f>
        <v>670</v>
      </c>
      <c r="R52" t="str">
        <f ca="1">IFERROR(__xludf.DUMMYFUNCTION("IFERROR(FILTER('VPLData(raw)'!C:C,'VPLData(raw)'!B:B=515,'VPLData(raw)'!A:A=A52),0)"),"1494206528")</f>
        <v>1494206528</v>
      </c>
      <c r="S52" t="str">
        <f ca="1">IFERROR(__xludf.DUMMYFUNCTION("IFERROR(IF(R52&gt;0, FILTER('VPLData(raw)'!E:E,'VPLData(raw)'!B:B=515,'VPLData(raw)'!A:A=A52), 0),0)"),"10")</f>
        <v>10</v>
      </c>
      <c r="T52" t="str">
        <f ca="1">IFERROR(__xludf.DUMMYFUNCTION("IFERROR(FILTER('VPLData(raw)'!F:F,'VPLData(raw)'!B:B=515,'VPLData(raw)'!A:A=A52),0)"),"1246")</f>
        <v>1246</v>
      </c>
      <c r="U52" t="str">
        <f ca="1">IFERROR(__xludf.DUMMYFUNCTION("IFERROR(FILTER('VPLData(raw)'!C:C,'VPLData(raw)'!B:B=528,'VPLData(raw)'!A:A=A52),0)"),"1498952935")</f>
        <v>1498952935</v>
      </c>
      <c r="V52" t="str">
        <f ca="1">IFERROR(__xludf.DUMMYFUNCTION("IFERROR(IF(U52&gt;0, FILTER('VPLData(raw)'!E:E,'VPLData(raw)'!B:B=528,'VPLData(raw)'!A:A=A52), 0),0)"),"10")</f>
        <v>10</v>
      </c>
      <c r="W52" t="str">
        <f ca="1">IFERROR(__xludf.DUMMYFUNCTION("IFERROR(FILTER('VPLData(raw)'!F:F,'VPLData(raw)'!B:B=528,'VPLData(raw)'!A:A=A52),0)"),"1360")</f>
        <v>1360</v>
      </c>
      <c r="X52" t="str">
        <f ca="1">IFERROR(__xludf.DUMMYFUNCTION("IFERROR(FILTER('VPLData(raw)'!C:C,'VPLData(raw)'!B:B=524,'VPLData(raw)'!A:A=A52),0)"),"1499385625")</f>
        <v>1499385625</v>
      </c>
      <c r="Y52" t="str">
        <f ca="1">IFERROR(__xludf.DUMMYFUNCTION("IFERROR(IF(X52&gt;0, FILTER('VPLData(raw)'!E:E,'VPLData(raw)'!B:B=524,'VPLData(raw)'!A:A=A52), 0),0)"),"10")</f>
        <v>10</v>
      </c>
      <c r="Z52" t="str">
        <f ca="1">IFERROR(__xludf.DUMMYFUNCTION("IFERROR(FILTER('VPLData(raw)'!F:F,'VPLData(raw)'!B:B=524,'VPLData(raw)'!A:A=A52),0)"),"4333")</f>
        <v>4333</v>
      </c>
      <c r="AA52" t="str">
        <f ca="1">IFERROR(__xludf.DUMMYFUNCTION("IFERROR(FILTER('VPLData(raw)'!C:C,'VPLData(raw)'!B:B=478,'VPLData(raw)'!A:A=A52),0)"),"1499385644")</f>
        <v>1499385644</v>
      </c>
      <c r="AB52" t="str">
        <f ca="1">IFERROR(__xludf.DUMMYFUNCTION("IFERROR(IF(AA52&gt;0, FILTER('VPLData(raw)'!E:E,'VPLData(raw)'!B:B=478,'VPLData(raw)'!A:A=A52), 0),0)"),"10")</f>
        <v>10</v>
      </c>
      <c r="AC52" t="str">
        <f ca="1">IFERROR(__xludf.DUMMYFUNCTION("IFERROR(FILTER('VPLData(raw)'!F:F,'VPLData(raw)'!B:B=478,'VPLData(raw)'!A:A=A52),0)"),"706")</f>
        <v>706</v>
      </c>
      <c r="AD52" t="str">
        <f ca="1">IFERROR(__xludf.DUMMYFUNCTION("IFERROR(FILTER('VPLData(raw)'!C:C,'VPLData(raw)'!B:B=542,'VPLData(raw)'!A:A=A52),0)"),"1499390861")</f>
        <v>1499390861</v>
      </c>
      <c r="AE52" t="str">
        <f ca="1">IFERROR(__xludf.DUMMYFUNCTION("IFERROR(IF(AD52&gt;0, FILTER('VPLData(raw)'!E:E,'VPLData(raw)'!B:B=542,'VPLData(raw)'!A:A=A52), 0),0)"),"10")</f>
        <v>10</v>
      </c>
      <c r="AF52" t="str">
        <f ca="1">IFERROR(__xludf.DUMMYFUNCTION("IFERROR(FILTER('VPLData(raw)'!F:F,'VPLData(raw)'!B:B=542,'VPLData(raw)'!A:A=A52),0)"),"339")</f>
        <v>339</v>
      </c>
      <c r="AG52" t="str">
        <f ca="1">IFERROR(__xludf.DUMMYFUNCTION("IFERROR(FILTER('VPLData(raw)'!C:C,'VPLData(raw)'!B:B=544,'VPLData(raw)'!A:A=A52),0)"),"1499458121")</f>
        <v>1499458121</v>
      </c>
      <c r="AH52" t="str">
        <f ca="1">IFERROR(__xludf.DUMMYFUNCTION("IFERROR(IF(AG52&gt;0, FILTER('VPLData(raw)'!E:E,'VPLData(raw)'!B:B=544,'VPLData(raw)'!A:A=A52), 0),0)"),"10")</f>
        <v>10</v>
      </c>
      <c r="AI52" t="str">
        <f ca="1">IFERROR(__xludf.DUMMYFUNCTION("IFERROR(FILTER('VPLData(raw)'!F:F,'VPLData(raw)'!B:B=544,'VPLData(raw)'!A:A=A52),0)"),"776")</f>
        <v>776</v>
      </c>
      <c r="AJ52" t="str">
        <f ca="1">IFERROR(__xludf.DUMMYFUNCTION("IFERROR(FILTER('VPLData(raw)'!C:C,'VPLData(raw)'!B:B=545,'VPLData(raw)'!A:A=A52),0)"),"1499459069")</f>
        <v>1499459069</v>
      </c>
      <c r="AK52" t="str">
        <f ca="1">IFERROR(__xludf.DUMMYFUNCTION("IFERROR(IF(AJ52&gt;0, FILTER('VPLData(raw)'!E:E,'VPLData(raw)'!B:B=545,'VPLData(raw)'!A:A=A52), 0),0)"),"10")</f>
        <v>10</v>
      </c>
      <c r="AL52" t="str">
        <f ca="1">IFERROR(__xludf.DUMMYFUNCTION("IFERROR(FILTER('VPLData(raw)'!F:F,'VPLData(raw)'!B:B=545,'VPLData(raw)'!A:A=A52),0)"),"438")</f>
        <v>438</v>
      </c>
    </row>
    <row r="53" spans="1:38" ht="13" x14ac:dyDescent="0.15">
      <c r="A53" s="2">
        <v>10196</v>
      </c>
      <c r="B53" s="2">
        <v>10310655</v>
      </c>
      <c r="C53" t="str">
        <f ca="1">IFERROR(__xludf.DUMMYFUNCTION("IFERROR(FILTER('VPLData(raw)'!C:C,'VPLData(raw)'!B:B=504,'VPLData(raw)'!A:A=A53),0)"),"1490836901")</f>
        <v>1490836901</v>
      </c>
      <c r="D53" s="3" t="str">
        <f ca="1">IFERROR(__xludf.DUMMYFUNCTION("IFERROR(IF(C53&gt;0, FILTER('VPLData(raw)'!E:E,'VPLData(raw)'!B:B=504,'VPLData(raw)'!A:A=A53), 0),0)"),"10")</f>
        <v>10</v>
      </c>
      <c r="E53" t="str">
        <f ca="1">IFERROR(__xludf.DUMMYFUNCTION("IFERROR(FILTER('VPLData(raw)'!F:F,'VPLData(raw)'!B:B=504,'VPLData(raw)'!A:A=A53),0)"),"2136")</f>
        <v>2136</v>
      </c>
      <c r="F53" t="str">
        <f ca="1">IFERROR(__xludf.DUMMYFUNCTION("IFERROR(FILTER('VPLData(raw)'!C:C,'VPLData(raw)'!B:B=454,'VPLData(raw)'!A:A=A53),0)"),"1491443969")</f>
        <v>1491443969</v>
      </c>
      <c r="G53" t="str">
        <f ca="1">IFERROR(__xludf.DUMMYFUNCTION("IFERROR(IF(F53&gt;0, FILTER('VPLData(raw)'!E:E,'VPLData(raw)'!B:B=454,'VPLData(raw)'!A:A=A53), 0),0)"),"10")</f>
        <v>10</v>
      </c>
      <c r="H53" t="str">
        <f ca="1">IFERROR(__xludf.DUMMYFUNCTION("IFERROR(FILTER('VPLData(raw)'!F:F,'VPLData(raw)'!B:B=454,'VPLData(raw)'!A:A=A53),0)"),"1996")</f>
        <v>1996</v>
      </c>
      <c r="I53" t="str">
        <f ca="1">IFERROR(__xludf.DUMMYFUNCTION("IFERROR(FILTER('VPLData(raw)'!C:C,'VPLData(raw)'!B:B=457,'VPLData(raw)'!A:A=A53),0)"),"1492475522")</f>
        <v>1492475522</v>
      </c>
      <c r="J53" t="str">
        <f ca="1">IFERROR(__xludf.DUMMYFUNCTION("IFERROR(IF(I53&gt;0, FILTER('VPLData(raw)'!E:E,'VPLData(raw)'!B:B=457,'VPLData(raw)'!A:A=A53), 0),0)"),"10")</f>
        <v>10</v>
      </c>
      <c r="K53" t="str">
        <f ca="1">IFERROR(__xludf.DUMMYFUNCTION("IFERROR(FILTER('VPLData(raw)'!F:F,'VPLData(raw)'!B:B=457,'VPLData(raw)'!A:A=A53),0)"),"533")</f>
        <v>533</v>
      </c>
      <c r="L53" t="str">
        <f ca="1">IFERROR(__xludf.DUMMYFUNCTION("IFERROR(FILTER('VPLData(raw)'!C:C,'VPLData(raw)'!B:B=534,'VPLData(raw)'!A:A=A53),0)"),"0")</f>
        <v>0</v>
      </c>
      <c r="M53" t="str">
        <f ca="1">IFERROR(__xludf.DUMMYFUNCTION("IFERROR(IF(L53&gt;0, FILTER('VPLData(raw)'!E:E,'VPLData(raw)'!B:B=534,'VPLData(raw)'!A:A=A53), 0),0)"),"0")</f>
        <v>0</v>
      </c>
      <c r="N53" t="str">
        <f ca="1">IFERROR(__xludf.DUMMYFUNCTION("IFERROR(FILTER('VPLData(raw)'!F:F,'VPLData(raw)'!B:B=534,'VPLData(raw)'!A:A=A53),0)"),"0")</f>
        <v>0</v>
      </c>
      <c r="O53" t="str">
        <f ca="1">IFERROR(__xludf.DUMMYFUNCTION("IFERROR(FILTER('VPLData(raw)'!C:C,'VPLData(raw)'!B:B=498,'VPLData(raw)'!A:A=A53),0)"),"1492476160")</f>
        <v>1492476160</v>
      </c>
      <c r="P53" t="str">
        <f ca="1">IFERROR(__xludf.DUMMYFUNCTION("IFERROR(IF(O53&gt;0, FILTER('VPLData(raw)'!E:E,'VPLData(raw)'!B:B=498,'VPLData(raw)'!A:A=A53), 0),0)"),"10")</f>
        <v>10</v>
      </c>
      <c r="Q53" t="str">
        <f ca="1">IFERROR(__xludf.DUMMYFUNCTION("IFERROR(FILTER('VPLData(raw)'!F:F,'VPLData(raw)'!B:B=498,'VPLData(raw)'!A:A=A53),0)"),"1830")</f>
        <v>1830</v>
      </c>
      <c r="R53" t="str">
        <f ca="1">IFERROR(__xludf.DUMMYFUNCTION("IFERROR(FILTER('VPLData(raw)'!C:C,'VPLData(raw)'!B:B=515,'VPLData(raw)'!A:A=A53),0)"),"1492477301")</f>
        <v>1492477301</v>
      </c>
      <c r="S53" t="str">
        <f ca="1">IFERROR(__xludf.DUMMYFUNCTION("IFERROR(IF(R53&gt;0, FILTER('VPLData(raw)'!E:E,'VPLData(raw)'!B:B=515,'VPLData(raw)'!A:A=A53), 0),0)"),"10")</f>
        <v>10</v>
      </c>
      <c r="T53" t="str">
        <f ca="1">IFERROR(__xludf.DUMMYFUNCTION("IFERROR(FILTER('VPLData(raw)'!F:F,'VPLData(raw)'!B:B=515,'VPLData(raw)'!A:A=A53),0)"),"1547")</f>
        <v>1547</v>
      </c>
      <c r="U53" t="str">
        <f ca="1">IFERROR(__xludf.DUMMYFUNCTION("IFERROR(FILTER('VPLData(raw)'!C:C,'VPLData(raw)'!B:B=528,'VPLData(raw)'!A:A=A53),0)"),"1494887088")</f>
        <v>1494887088</v>
      </c>
      <c r="V53" t="str">
        <f ca="1">IFERROR(__xludf.DUMMYFUNCTION("IFERROR(IF(U53&gt;0, FILTER('VPLData(raw)'!E:E,'VPLData(raw)'!B:B=528,'VPLData(raw)'!A:A=A53), 0),0)"),"10")</f>
        <v>10</v>
      </c>
      <c r="W53" t="str">
        <f ca="1">IFERROR(__xludf.DUMMYFUNCTION("IFERROR(FILTER('VPLData(raw)'!F:F,'VPLData(raw)'!B:B=528,'VPLData(raw)'!A:A=A53),0)"),"531")</f>
        <v>531</v>
      </c>
      <c r="X53" t="str">
        <f ca="1">IFERROR(__xludf.DUMMYFUNCTION("IFERROR(FILTER('VPLData(raw)'!C:C,'VPLData(raw)'!B:B=524,'VPLData(raw)'!A:A=A53),0)"),"1494888210")</f>
        <v>1494888210</v>
      </c>
      <c r="Y53" t="str">
        <f ca="1">IFERROR(__xludf.DUMMYFUNCTION("IFERROR(IF(X53&gt;0, FILTER('VPLData(raw)'!E:E,'VPLData(raw)'!B:B=524,'VPLData(raw)'!A:A=A53), 0),0)"),"10")</f>
        <v>10</v>
      </c>
      <c r="Z53" t="str">
        <f ca="1">IFERROR(__xludf.DUMMYFUNCTION("IFERROR(FILTER('VPLData(raw)'!F:F,'VPLData(raw)'!B:B=524,'VPLData(raw)'!A:A=A53),0)"),"2781")</f>
        <v>2781</v>
      </c>
      <c r="AA53" t="str">
        <f ca="1">IFERROR(__xludf.DUMMYFUNCTION("IFERROR(FILTER('VPLData(raw)'!C:C,'VPLData(raw)'!B:B=478,'VPLData(raw)'!A:A=A53),0)"),"1497192299")</f>
        <v>1497192299</v>
      </c>
      <c r="AB53" t="str">
        <f ca="1">IFERROR(__xludf.DUMMYFUNCTION("IFERROR(IF(AA53&gt;0, FILTER('VPLData(raw)'!E:E,'VPLData(raw)'!B:B=478,'VPLData(raw)'!A:A=A53), 0),0)"),"10")</f>
        <v>10</v>
      </c>
      <c r="AC53" t="str">
        <f ca="1">IFERROR(__xludf.DUMMYFUNCTION("IFERROR(FILTER('VPLData(raw)'!F:F,'VPLData(raw)'!B:B=478,'VPLData(raw)'!A:A=A53),0)"),"0")</f>
        <v>0</v>
      </c>
      <c r="AD53" t="str">
        <f ca="1">IFERROR(__xludf.DUMMYFUNCTION("IFERROR(FILTER('VPLData(raw)'!C:C,'VPLData(raw)'!B:B=542,'VPLData(raw)'!A:A=A53),0)"),"0")</f>
        <v>0</v>
      </c>
      <c r="AE53" t="str">
        <f ca="1">IFERROR(__xludf.DUMMYFUNCTION("IFERROR(IF(AD53&gt;0, FILTER('VPLData(raw)'!E:E,'VPLData(raw)'!B:B=542,'VPLData(raw)'!A:A=A53), 0),0)"),"0")</f>
        <v>0</v>
      </c>
      <c r="AF53" t="str">
        <f ca="1">IFERROR(__xludf.DUMMYFUNCTION("IFERROR(FILTER('VPLData(raw)'!F:F,'VPLData(raw)'!B:B=542,'VPLData(raw)'!A:A=A53),0)"),"0")</f>
        <v>0</v>
      </c>
      <c r="AG53" t="str">
        <f ca="1">IFERROR(__xludf.DUMMYFUNCTION("IFERROR(FILTER('VPLData(raw)'!C:C,'VPLData(raw)'!B:B=544,'VPLData(raw)'!A:A=A53),0)"),"1499472635")</f>
        <v>1499472635</v>
      </c>
      <c r="AH53" t="str">
        <f ca="1">IFERROR(__xludf.DUMMYFUNCTION("IFERROR(IF(AG53&gt;0, FILTER('VPLData(raw)'!E:E,'VPLData(raw)'!B:B=544,'VPLData(raw)'!A:A=A53), 0),0)"),"10")</f>
        <v>10</v>
      </c>
      <c r="AI53" t="str">
        <f ca="1">IFERROR(__xludf.DUMMYFUNCTION("IFERROR(FILTER('VPLData(raw)'!F:F,'VPLData(raw)'!B:B=544,'VPLData(raw)'!A:A=A53),0)"),"1137")</f>
        <v>1137</v>
      </c>
      <c r="AJ53" t="str">
        <f ca="1">IFERROR(__xludf.DUMMYFUNCTION("IFERROR(FILTER('VPLData(raw)'!C:C,'VPLData(raw)'!B:B=545,'VPLData(raw)'!A:A=A53),0)"),"1499474089")</f>
        <v>1499474089</v>
      </c>
      <c r="AK53" t="str">
        <f ca="1">IFERROR(__xludf.DUMMYFUNCTION("IFERROR(IF(AJ53&gt;0, FILTER('VPLData(raw)'!E:E,'VPLData(raw)'!B:B=545,'VPLData(raw)'!A:A=A53), 0),0)"),"10")</f>
        <v>10</v>
      </c>
      <c r="AL53" t="str">
        <f ca="1">IFERROR(__xludf.DUMMYFUNCTION("IFERROR(FILTER('VPLData(raw)'!F:F,'VPLData(raw)'!B:B=545,'VPLData(raw)'!A:A=A53),0)"),"878")</f>
        <v>878</v>
      </c>
    </row>
    <row r="54" spans="1:38" ht="13" x14ac:dyDescent="0.15">
      <c r="A54" s="2">
        <v>10234</v>
      </c>
      <c r="B54" s="2">
        <v>10310676</v>
      </c>
      <c r="C54" t="str">
        <f ca="1">IFERROR(__xludf.DUMMYFUNCTION("IFERROR(FILTER('VPLData(raw)'!C:C,'VPLData(raw)'!B:B=504,'VPLData(raw)'!A:A=A54),0)"),"0")</f>
        <v>0</v>
      </c>
      <c r="D54" s="3" t="str">
        <f ca="1">IFERROR(__xludf.DUMMYFUNCTION("IFERROR(IF(C54&gt;0, FILTER('VPLData(raw)'!E:E,'VPLData(raw)'!B:B=504,'VPLData(raw)'!A:A=A54), 0),0)"),"0")</f>
        <v>0</v>
      </c>
      <c r="E54" t="str">
        <f ca="1">IFERROR(__xludf.DUMMYFUNCTION("IFERROR(FILTER('VPLData(raw)'!F:F,'VPLData(raw)'!B:B=504,'VPLData(raw)'!A:A=A54),0)"),"0")</f>
        <v>0</v>
      </c>
      <c r="F54" t="str">
        <f ca="1">IFERROR(__xludf.DUMMYFUNCTION("IFERROR(FILTER('VPLData(raw)'!C:C,'VPLData(raw)'!B:B=454,'VPLData(raw)'!A:A=A54),0)"),"0")</f>
        <v>0</v>
      </c>
      <c r="G54" t="str">
        <f ca="1">IFERROR(__xludf.DUMMYFUNCTION("IFERROR(IF(F54&gt;0, FILTER('VPLData(raw)'!E:E,'VPLData(raw)'!B:B=454,'VPLData(raw)'!A:A=A54), 0),0)"),"0")</f>
        <v>0</v>
      </c>
      <c r="H54" t="str">
        <f ca="1">IFERROR(__xludf.DUMMYFUNCTION("IFERROR(FILTER('VPLData(raw)'!F:F,'VPLData(raw)'!B:B=454,'VPLData(raw)'!A:A=A54),0)"),"0")</f>
        <v>0</v>
      </c>
      <c r="I54" t="str">
        <f ca="1">IFERROR(__xludf.DUMMYFUNCTION("IFERROR(FILTER('VPLData(raw)'!C:C,'VPLData(raw)'!B:B=457,'VPLData(raw)'!A:A=A54),0)"),"0")</f>
        <v>0</v>
      </c>
      <c r="J54" t="str">
        <f ca="1">IFERROR(__xludf.DUMMYFUNCTION("IFERROR(IF(I54&gt;0, FILTER('VPLData(raw)'!E:E,'VPLData(raw)'!B:B=457,'VPLData(raw)'!A:A=A54), 0),0)"),"0")</f>
        <v>0</v>
      </c>
      <c r="K54" t="str">
        <f ca="1">IFERROR(__xludf.DUMMYFUNCTION("IFERROR(FILTER('VPLData(raw)'!F:F,'VPLData(raw)'!B:B=457,'VPLData(raw)'!A:A=A54),0)"),"0")</f>
        <v>0</v>
      </c>
      <c r="L54" t="str">
        <f ca="1">IFERROR(__xludf.DUMMYFUNCTION("IFERROR(FILTER('VPLData(raw)'!C:C,'VPLData(raw)'!B:B=534,'VPLData(raw)'!A:A=A54),0)"),"0")</f>
        <v>0</v>
      </c>
      <c r="M54" t="str">
        <f ca="1">IFERROR(__xludf.DUMMYFUNCTION("IFERROR(IF(L54&gt;0, FILTER('VPLData(raw)'!E:E,'VPLData(raw)'!B:B=534,'VPLData(raw)'!A:A=A54), 0),0)"),"0")</f>
        <v>0</v>
      </c>
      <c r="N54" t="str">
        <f ca="1">IFERROR(__xludf.DUMMYFUNCTION("IFERROR(FILTER('VPLData(raw)'!F:F,'VPLData(raw)'!B:B=534,'VPLData(raw)'!A:A=A54),0)"),"0")</f>
        <v>0</v>
      </c>
      <c r="O54" t="str">
        <f ca="1">IFERROR(__xludf.DUMMYFUNCTION("IFERROR(FILTER('VPLData(raw)'!C:C,'VPLData(raw)'!B:B=498,'VPLData(raw)'!A:A=A54),0)"),"1494096855")</f>
        <v>1494096855</v>
      </c>
      <c r="P54" t="str">
        <f ca="1">IFERROR(__xludf.DUMMYFUNCTION("IFERROR(IF(O54&gt;0, FILTER('VPLData(raw)'!E:E,'VPLData(raw)'!B:B=498,'VPLData(raw)'!A:A=A54), 0),0)"),"10")</f>
        <v>10</v>
      </c>
      <c r="Q54" t="str">
        <f ca="1">IFERROR(__xludf.DUMMYFUNCTION("IFERROR(FILTER('VPLData(raw)'!F:F,'VPLData(raw)'!B:B=498,'VPLData(raw)'!A:A=A54),0)"),"654")</f>
        <v>654</v>
      </c>
      <c r="R54" t="str">
        <f ca="1">IFERROR(__xludf.DUMMYFUNCTION("IFERROR(FILTER('VPLData(raw)'!C:C,'VPLData(raw)'!B:B=515,'VPLData(raw)'!A:A=A54),0)"),"1494097940")</f>
        <v>1494097940</v>
      </c>
      <c r="S54" t="str">
        <f ca="1">IFERROR(__xludf.DUMMYFUNCTION("IFERROR(IF(R54&gt;0, FILTER('VPLData(raw)'!E:E,'VPLData(raw)'!B:B=515,'VPLData(raw)'!A:A=A54), 0),0)"),"10")</f>
        <v>10</v>
      </c>
      <c r="T54" t="str">
        <f ca="1">IFERROR(__xludf.DUMMYFUNCTION("IFERROR(FILTER('VPLData(raw)'!F:F,'VPLData(raw)'!B:B=515,'VPLData(raw)'!A:A=A54),0)"),"2157")</f>
        <v>2157</v>
      </c>
      <c r="U54" t="str">
        <f ca="1">IFERROR(__xludf.DUMMYFUNCTION("IFERROR(FILTER('VPLData(raw)'!C:C,'VPLData(raw)'!B:B=528,'VPLData(raw)'!A:A=A54),0)"),"1497149432")</f>
        <v>1497149432</v>
      </c>
      <c r="V54" t="str">
        <f ca="1">IFERROR(__xludf.DUMMYFUNCTION("IFERROR(IF(U54&gt;0, FILTER('VPLData(raw)'!E:E,'VPLData(raw)'!B:B=528,'VPLData(raw)'!A:A=A54), 0),0)"),"10")</f>
        <v>10</v>
      </c>
      <c r="W54" t="str">
        <f ca="1">IFERROR(__xludf.DUMMYFUNCTION("IFERROR(FILTER('VPLData(raw)'!F:F,'VPLData(raw)'!B:B=528,'VPLData(raw)'!A:A=A54),0)"),"382")</f>
        <v>382</v>
      </c>
      <c r="X54" t="str">
        <f ca="1">IFERROR(__xludf.DUMMYFUNCTION("IFERROR(FILTER('VPLData(raw)'!C:C,'VPLData(raw)'!B:B=524,'VPLData(raw)'!A:A=A54),0)"),"1497151510")</f>
        <v>1497151510</v>
      </c>
      <c r="Y54" t="str">
        <f ca="1">IFERROR(__xludf.DUMMYFUNCTION("IFERROR(IF(X54&gt;0, FILTER('VPLData(raw)'!E:E,'VPLData(raw)'!B:B=524,'VPLData(raw)'!A:A=A54), 0),0)"),"10")</f>
        <v>10</v>
      </c>
      <c r="Z54" t="str">
        <f ca="1">IFERROR(__xludf.DUMMYFUNCTION("IFERROR(FILTER('VPLData(raw)'!F:F,'VPLData(raw)'!B:B=524,'VPLData(raw)'!A:A=A54),0)"),"374")</f>
        <v>374</v>
      </c>
      <c r="AA54" t="str">
        <f ca="1">IFERROR(__xludf.DUMMYFUNCTION("IFERROR(FILTER('VPLData(raw)'!C:C,'VPLData(raw)'!B:B=478,'VPLData(raw)'!A:A=A54),0)"),"1499306442")</f>
        <v>1499306442</v>
      </c>
      <c r="AB54" t="str">
        <f ca="1">IFERROR(__xludf.DUMMYFUNCTION("IFERROR(IF(AA54&gt;0, FILTER('VPLData(raw)'!E:E,'VPLData(raw)'!B:B=478,'VPLData(raw)'!A:A=A54), 0),0)"),"10")</f>
        <v>10</v>
      </c>
      <c r="AC54" t="str">
        <f ca="1">IFERROR(__xludf.DUMMYFUNCTION("IFERROR(FILTER('VPLData(raw)'!F:F,'VPLData(raw)'!B:B=478,'VPLData(raw)'!A:A=A54),0)"),"470")</f>
        <v>470</v>
      </c>
      <c r="AD54" t="str">
        <f ca="1">IFERROR(__xludf.DUMMYFUNCTION("IFERROR(FILTER('VPLData(raw)'!C:C,'VPLData(raw)'!B:B=542,'VPLData(raw)'!A:A=A54),0)"),"1499305258")</f>
        <v>1499305258</v>
      </c>
      <c r="AE54" t="str">
        <f ca="1">IFERROR(__xludf.DUMMYFUNCTION("IFERROR(IF(AD54&gt;0, FILTER('VPLData(raw)'!E:E,'VPLData(raw)'!B:B=542,'VPLData(raw)'!A:A=A54), 0),0)"),"10")</f>
        <v>10</v>
      </c>
      <c r="AF54" t="str">
        <f ca="1">IFERROR(__xludf.DUMMYFUNCTION("IFERROR(FILTER('VPLData(raw)'!F:F,'VPLData(raw)'!B:B=542,'VPLData(raw)'!A:A=A54),0)"),"1433")</f>
        <v>1433</v>
      </c>
      <c r="AG54" t="str">
        <f ca="1">IFERROR(__xludf.DUMMYFUNCTION("IFERROR(FILTER('VPLData(raw)'!C:C,'VPLData(raw)'!B:B=544,'VPLData(raw)'!A:A=A54),0)"),"1499458895")</f>
        <v>1499458895</v>
      </c>
      <c r="AH54" t="str">
        <f ca="1">IFERROR(__xludf.DUMMYFUNCTION("IFERROR(IF(AG54&gt;0, FILTER('VPLData(raw)'!E:E,'VPLData(raw)'!B:B=544,'VPLData(raw)'!A:A=A54), 0),0)"),"10")</f>
        <v>10</v>
      </c>
      <c r="AI54" t="str">
        <f ca="1">IFERROR(__xludf.DUMMYFUNCTION("IFERROR(FILTER('VPLData(raw)'!F:F,'VPLData(raw)'!B:B=544,'VPLData(raw)'!A:A=A54),0)"),"2743")</f>
        <v>2743</v>
      </c>
      <c r="AJ54" t="str">
        <f ca="1">IFERROR(__xludf.DUMMYFUNCTION("IFERROR(FILTER('VPLData(raw)'!C:C,'VPLData(raw)'!B:B=545,'VPLData(raw)'!A:A=A54),0)"),"1499460110")</f>
        <v>1499460110</v>
      </c>
      <c r="AK54" t="str">
        <f ca="1">IFERROR(__xludf.DUMMYFUNCTION("IFERROR(IF(AJ54&gt;0, FILTER('VPLData(raw)'!E:E,'VPLData(raw)'!B:B=545,'VPLData(raw)'!A:A=A54), 0),0)"),"10")</f>
        <v>10</v>
      </c>
      <c r="AL54" t="str">
        <f ca="1">IFERROR(__xludf.DUMMYFUNCTION("IFERROR(FILTER('VPLData(raw)'!F:F,'VPLData(raw)'!B:B=545,'VPLData(raw)'!A:A=A54),0)"),"531")</f>
        <v>531</v>
      </c>
    </row>
    <row r="55" spans="1:38" ht="13" x14ac:dyDescent="0.15">
      <c r="A55" s="2">
        <v>10175</v>
      </c>
      <c r="B55" s="2">
        <v>10310700</v>
      </c>
      <c r="C55" t="str">
        <f ca="1">IFERROR(__xludf.DUMMYFUNCTION("IFERROR(FILTER('VPLData(raw)'!C:C,'VPLData(raw)'!B:B=504,'VPLData(raw)'!A:A=A55),0)"),"0")</f>
        <v>0</v>
      </c>
      <c r="D55" s="3" t="str">
        <f ca="1">IFERROR(__xludf.DUMMYFUNCTION("IFERROR(IF(C55&gt;0, FILTER('VPLData(raw)'!E:E,'VPLData(raw)'!B:B=504,'VPLData(raw)'!A:A=A55), 0),0)"),"0")</f>
        <v>0</v>
      </c>
      <c r="E55" t="str">
        <f ca="1">IFERROR(__xludf.DUMMYFUNCTION("IFERROR(FILTER('VPLData(raw)'!F:F,'VPLData(raw)'!B:B=504,'VPLData(raw)'!A:A=A55),0)"),"0")</f>
        <v>0</v>
      </c>
      <c r="F55" t="str">
        <f ca="1">IFERROR(__xludf.DUMMYFUNCTION("IFERROR(FILTER('VPLData(raw)'!C:C,'VPLData(raw)'!B:B=454,'VPLData(raw)'!A:A=A55),0)"),"1491429675")</f>
        <v>1491429675</v>
      </c>
      <c r="G55" t="str">
        <f ca="1">IFERROR(__xludf.DUMMYFUNCTION("IFERROR(IF(F55&gt;0, FILTER('VPLData(raw)'!E:E,'VPLData(raw)'!B:B=454,'VPLData(raw)'!A:A=A55), 0),0)"),"10")</f>
        <v>10</v>
      </c>
      <c r="H55" t="str">
        <f ca="1">IFERROR(__xludf.DUMMYFUNCTION("IFERROR(FILTER('VPLData(raw)'!F:F,'VPLData(raw)'!B:B=454,'VPLData(raw)'!A:A=A55),0)"),"1303")</f>
        <v>1303</v>
      </c>
      <c r="I55" t="str">
        <f ca="1">IFERROR(__xludf.DUMMYFUNCTION("IFERROR(FILTER('VPLData(raw)'!C:C,'VPLData(raw)'!B:B=457,'VPLData(raw)'!A:A=A55),0)"),"1491949515")</f>
        <v>1491949515</v>
      </c>
      <c r="J55" t="str">
        <f ca="1">IFERROR(__xludf.DUMMYFUNCTION("IFERROR(IF(I55&gt;0, FILTER('VPLData(raw)'!E:E,'VPLData(raw)'!B:B=457,'VPLData(raw)'!A:A=A55), 0),0)"),"10")</f>
        <v>10</v>
      </c>
      <c r="K55" t="str">
        <f ca="1">IFERROR(__xludf.DUMMYFUNCTION("IFERROR(FILTER('VPLData(raw)'!F:F,'VPLData(raw)'!B:B=457,'VPLData(raw)'!A:A=A55),0)"),"537")</f>
        <v>537</v>
      </c>
      <c r="L55" t="str">
        <f ca="1">IFERROR(__xludf.DUMMYFUNCTION("IFERROR(FILTER('VPLData(raw)'!C:C,'VPLData(raw)'!B:B=534,'VPLData(raw)'!A:A=A55),0)"),"0")</f>
        <v>0</v>
      </c>
      <c r="M55" t="str">
        <f ca="1">IFERROR(__xludf.DUMMYFUNCTION("IFERROR(IF(L55&gt;0, FILTER('VPLData(raw)'!E:E,'VPLData(raw)'!B:B=534,'VPLData(raw)'!A:A=A55), 0),0)"),"0")</f>
        <v>0</v>
      </c>
      <c r="N55" t="str">
        <f ca="1">IFERROR(__xludf.DUMMYFUNCTION("IFERROR(FILTER('VPLData(raw)'!F:F,'VPLData(raw)'!B:B=534,'VPLData(raw)'!A:A=A55),0)"),"0")</f>
        <v>0</v>
      </c>
      <c r="O55" t="str">
        <f ca="1">IFERROR(__xludf.DUMMYFUNCTION("IFERROR(FILTER('VPLData(raw)'!C:C,'VPLData(raw)'!B:B=498,'VPLData(raw)'!A:A=A55),0)"),"1492984716")</f>
        <v>1492984716</v>
      </c>
      <c r="P55" t="str">
        <f ca="1">IFERROR(__xludf.DUMMYFUNCTION("IFERROR(IF(O55&gt;0, FILTER('VPLData(raw)'!E:E,'VPLData(raw)'!B:B=498,'VPLData(raw)'!A:A=A55), 0),0)"),"10")</f>
        <v>10</v>
      </c>
      <c r="Q55" t="str">
        <f ca="1">IFERROR(__xludf.DUMMYFUNCTION("IFERROR(FILTER('VPLData(raw)'!F:F,'VPLData(raw)'!B:B=498,'VPLData(raw)'!A:A=A55),0)"),"496")</f>
        <v>496</v>
      </c>
      <c r="R55" t="str">
        <f ca="1">IFERROR(__xludf.DUMMYFUNCTION("IFERROR(FILTER('VPLData(raw)'!C:C,'VPLData(raw)'!B:B=515,'VPLData(raw)'!A:A=A55),0)"),"1492985291")</f>
        <v>1492985291</v>
      </c>
      <c r="S55" t="str">
        <f ca="1">IFERROR(__xludf.DUMMYFUNCTION("IFERROR(IF(R55&gt;0, FILTER('VPLData(raw)'!E:E,'VPLData(raw)'!B:B=515,'VPLData(raw)'!A:A=A55), 0),0)"),"10")</f>
        <v>10</v>
      </c>
      <c r="T55" t="str">
        <f ca="1">IFERROR(__xludf.DUMMYFUNCTION("IFERROR(FILTER('VPLData(raw)'!F:F,'VPLData(raw)'!B:B=515,'VPLData(raw)'!A:A=A55),0)"),"724")</f>
        <v>724</v>
      </c>
      <c r="U55" t="str">
        <f ca="1">IFERROR(__xludf.DUMMYFUNCTION("IFERROR(FILTER('VPLData(raw)'!C:C,'VPLData(raw)'!B:B=528,'VPLData(raw)'!A:A=A55),0)"),"1494442932")</f>
        <v>1494442932</v>
      </c>
      <c r="V55" t="str">
        <f ca="1">IFERROR(__xludf.DUMMYFUNCTION("IFERROR(IF(U55&gt;0, FILTER('VPLData(raw)'!E:E,'VPLData(raw)'!B:B=528,'VPLData(raw)'!A:A=A55), 0),0)"),"10")</f>
        <v>10</v>
      </c>
      <c r="W55" t="str">
        <f ca="1">IFERROR(__xludf.DUMMYFUNCTION("IFERROR(FILTER('VPLData(raw)'!F:F,'VPLData(raw)'!B:B=528,'VPLData(raw)'!A:A=A55),0)"),"642")</f>
        <v>642</v>
      </c>
      <c r="X55" t="str">
        <f ca="1">IFERROR(__xludf.DUMMYFUNCTION("IFERROR(FILTER('VPLData(raw)'!C:C,'VPLData(raw)'!B:B=524,'VPLData(raw)'!A:A=A55),0)"),"1494443473")</f>
        <v>1494443473</v>
      </c>
      <c r="Y55" t="str">
        <f ca="1">IFERROR(__xludf.DUMMYFUNCTION("IFERROR(IF(X55&gt;0, FILTER('VPLData(raw)'!E:E,'VPLData(raw)'!B:B=524,'VPLData(raw)'!A:A=A55), 0),0)"),"10")</f>
        <v>10</v>
      </c>
      <c r="Z55" t="str">
        <f ca="1">IFERROR(__xludf.DUMMYFUNCTION("IFERROR(FILTER('VPLData(raw)'!F:F,'VPLData(raw)'!B:B=524,'VPLData(raw)'!A:A=A55),0)"),"1070")</f>
        <v>1070</v>
      </c>
      <c r="AA55" t="str">
        <f ca="1">IFERROR(__xludf.DUMMYFUNCTION("IFERROR(FILTER('VPLData(raw)'!C:C,'VPLData(raw)'!B:B=478,'VPLData(raw)'!A:A=A55),0)"),"1494445164")</f>
        <v>1494445164</v>
      </c>
      <c r="AB55" t="str">
        <f ca="1">IFERROR(__xludf.DUMMYFUNCTION("IFERROR(IF(AA55&gt;0, FILTER('VPLData(raw)'!E:E,'VPLData(raw)'!B:B=478,'VPLData(raw)'!A:A=A55), 0),0)"),"10")</f>
        <v>10</v>
      </c>
      <c r="AC55" t="str">
        <f ca="1">IFERROR(__xludf.DUMMYFUNCTION("IFERROR(FILTER('VPLData(raw)'!F:F,'VPLData(raw)'!B:B=478,'VPLData(raw)'!A:A=A55),0)"),"28934")</f>
        <v>28934</v>
      </c>
      <c r="AD55" t="str">
        <f ca="1">IFERROR(__xludf.DUMMYFUNCTION("IFERROR(FILTER('VPLData(raw)'!C:C,'VPLData(raw)'!B:B=542,'VPLData(raw)'!A:A=A55),0)"),"1497729459")</f>
        <v>1497729459</v>
      </c>
      <c r="AE55" t="str">
        <f ca="1">IFERROR(__xludf.DUMMYFUNCTION("IFERROR(IF(AD55&gt;0, FILTER('VPLData(raw)'!E:E,'VPLData(raw)'!B:B=542,'VPLData(raw)'!A:A=A55), 0),0)"),"10")</f>
        <v>10</v>
      </c>
      <c r="AF55" t="str">
        <f ca="1">IFERROR(__xludf.DUMMYFUNCTION("IFERROR(FILTER('VPLData(raw)'!F:F,'VPLData(raw)'!B:B=542,'VPLData(raw)'!A:A=A55),0)"),"1872")</f>
        <v>1872</v>
      </c>
      <c r="AG55" t="str">
        <f ca="1">IFERROR(__xludf.DUMMYFUNCTION("IFERROR(FILTER('VPLData(raw)'!C:C,'VPLData(raw)'!B:B=544,'VPLData(raw)'!A:A=A55),0)"),"1497731423")</f>
        <v>1497731423</v>
      </c>
      <c r="AH55" t="str">
        <f ca="1">IFERROR(__xludf.DUMMYFUNCTION("IFERROR(IF(AG55&gt;0, FILTER('VPLData(raw)'!E:E,'VPLData(raw)'!B:B=544,'VPLData(raw)'!A:A=A55), 0),0)"),"10")</f>
        <v>10</v>
      </c>
      <c r="AI55" t="str">
        <f ca="1">IFERROR(__xludf.DUMMYFUNCTION("IFERROR(FILTER('VPLData(raw)'!F:F,'VPLData(raw)'!B:B=544,'VPLData(raw)'!A:A=A55),0)"),"2980")</f>
        <v>2980</v>
      </c>
      <c r="AJ55" t="str">
        <f ca="1">IFERROR(__xludf.DUMMYFUNCTION("IFERROR(FILTER('VPLData(raw)'!C:C,'VPLData(raw)'!B:B=545,'VPLData(raw)'!A:A=A55),0)"),"1498015440")</f>
        <v>1498015440</v>
      </c>
      <c r="AK55" t="str">
        <f ca="1">IFERROR(__xludf.DUMMYFUNCTION("IFERROR(IF(AJ55&gt;0, FILTER('VPLData(raw)'!E:E,'VPLData(raw)'!B:B=545,'VPLData(raw)'!A:A=A55), 0),0)"),"10")</f>
        <v>10</v>
      </c>
      <c r="AL55" t="str">
        <f ca="1">IFERROR(__xludf.DUMMYFUNCTION("IFERROR(FILTER('VPLData(raw)'!F:F,'VPLData(raw)'!B:B=545,'VPLData(raw)'!A:A=A55),0)"),"2226")</f>
        <v>2226</v>
      </c>
    </row>
    <row r="56" spans="1:38" ht="13" x14ac:dyDescent="0.15">
      <c r="A56" s="2">
        <v>10206</v>
      </c>
      <c r="B56" s="2">
        <v>10310721</v>
      </c>
      <c r="C56" t="str">
        <f ca="1">IFERROR(__xludf.DUMMYFUNCTION("IFERROR(FILTER('VPLData(raw)'!C:C,'VPLData(raw)'!B:B=504,'VPLData(raw)'!A:A=A56),0)"),"1490752209")</f>
        <v>1490752209</v>
      </c>
      <c r="D56" s="3" t="str">
        <f ca="1">IFERROR(__xludf.DUMMYFUNCTION("IFERROR(IF(C56&gt;0, FILTER('VPLData(raw)'!E:E,'VPLData(raw)'!B:B=504,'VPLData(raw)'!A:A=A56), 0),0)"),"10")</f>
        <v>10</v>
      </c>
      <c r="E56" t="str">
        <f ca="1">IFERROR(__xludf.DUMMYFUNCTION("IFERROR(FILTER('VPLData(raw)'!F:F,'VPLData(raw)'!B:B=504,'VPLData(raw)'!A:A=A56),0)"),"988")</f>
        <v>988</v>
      </c>
      <c r="F56" t="str">
        <f ca="1">IFERROR(__xludf.DUMMYFUNCTION("IFERROR(FILTER('VPLData(raw)'!C:C,'VPLData(raw)'!B:B=454,'VPLData(raw)'!A:A=A56),0)"),"1491704884")</f>
        <v>1491704884</v>
      </c>
      <c r="G56" t="str">
        <f ca="1">IFERROR(__xludf.DUMMYFUNCTION("IFERROR(IF(F56&gt;0, FILTER('VPLData(raw)'!E:E,'VPLData(raw)'!B:B=454,'VPLData(raw)'!A:A=A56), 0),0)"),"10")</f>
        <v>10</v>
      </c>
      <c r="H56" t="str">
        <f ca="1">IFERROR(__xludf.DUMMYFUNCTION("IFERROR(FILTER('VPLData(raw)'!F:F,'VPLData(raw)'!B:B=454,'VPLData(raw)'!A:A=A56),0)"),"898")</f>
        <v>898</v>
      </c>
      <c r="I56" t="str">
        <f ca="1">IFERROR(__xludf.DUMMYFUNCTION("IFERROR(FILTER('VPLData(raw)'!C:C,'VPLData(raw)'!B:B=457,'VPLData(raw)'!A:A=A56),0)"),"1491955471")</f>
        <v>1491955471</v>
      </c>
      <c r="J56" t="str">
        <f ca="1">IFERROR(__xludf.DUMMYFUNCTION("IFERROR(IF(I56&gt;0, FILTER('VPLData(raw)'!E:E,'VPLData(raw)'!B:B=457,'VPLData(raw)'!A:A=A56), 0),0)"),"10")</f>
        <v>10</v>
      </c>
      <c r="K56" t="str">
        <f ca="1">IFERROR(__xludf.DUMMYFUNCTION("IFERROR(FILTER('VPLData(raw)'!F:F,'VPLData(raw)'!B:B=457,'VPLData(raw)'!A:A=A56),0)"),"470")</f>
        <v>470</v>
      </c>
      <c r="L56" t="str">
        <f ca="1">IFERROR(__xludf.DUMMYFUNCTION("IFERROR(FILTER('VPLData(raw)'!C:C,'VPLData(raw)'!B:B=534,'VPLData(raw)'!A:A=A56),0)"),"0")</f>
        <v>0</v>
      </c>
      <c r="M56" t="str">
        <f ca="1">IFERROR(__xludf.DUMMYFUNCTION("IFERROR(IF(L56&gt;0, FILTER('VPLData(raw)'!E:E,'VPLData(raw)'!B:B=534,'VPLData(raw)'!A:A=A56), 0),0)"),"0")</f>
        <v>0</v>
      </c>
      <c r="N56" t="str">
        <f ca="1">IFERROR(__xludf.DUMMYFUNCTION("IFERROR(FILTER('VPLData(raw)'!F:F,'VPLData(raw)'!B:B=534,'VPLData(raw)'!A:A=A56),0)"),"0")</f>
        <v>0</v>
      </c>
      <c r="O56" t="str">
        <f ca="1">IFERROR(__xludf.DUMMYFUNCTION("IFERROR(FILTER('VPLData(raw)'!C:C,'VPLData(raw)'!B:B=498,'VPLData(raw)'!A:A=A56),0)"),"1492474909")</f>
        <v>1492474909</v>
      </c>
      <c r="P56" t="str">
        <f ca="1">IFERROR(__xludf.DUMMYFUNCTION("IFERROR(IF(O56&gt;0, FILTER('VPLData(raw)'!E:E,'VPLData(raw)'!B:B=498,'VPLData(raw)'!A:A=A56), 0),0)"),"10")</f>
        <v>10</v>
      </c>
      <c r="Q56" t="str">
        <f ca="1">IFERROR(__xludf.DUMMYFUNCTION("IFERROR(FILTER('VPLData(raw)'!F:F,'VPLData(raw)'!B:B=498,'VPLData(raw)'!A:A=A56),0)"),"244")</f>
        <v>244</v>
      </c>
      <c r="R56" t="str">
        <f ca="1">IFERROR(__xludf.DUMMYFUNCTION("IFERROR(FILTER('VPLData(raw)'!C:C,'VPLData(raw)'!B:B=515,'VPLData(raw)'!A:A=A56),0)"),"1492476383")</f>
        <v>1492476383</v>
      </c>
      <c r="S56" t="str">
        <f ca="1">IFERROR(__xludf.DUMMYFUNCTION("IFERROR(IF(R56&gt;0, FILTER('VPLData(raw)'!E:E,'VPLData(raw)'!B:B=515,'VPLData(raw)'!A:A=A56), 0),0)"),"10")</f>
        <v>10</v>
      </c>
      <c r="T56" t="str">
        <f ca="1">IFERROR(__xludf.DUMMYFUNCTION("IFERROR(FILTER('VPLData(raw)'!F:F,'VPLData(raw)'!B:B=515,'VPLData(raw)'!A:A=A56),0)"),"555")</f>
        <v>555</v>
      </c>
      <c r="U56" t="str">
        <f ca="1">IFERROR(__xludf.DUMMYFUNCTION("IFERROR(FILTER('VPLData(raw)'!C:C,'VPLData(raw)'!B:B=528,'VPLData(raw)'!A:A=A56),0)"),"1494444735")</f>
        <v>1494444735</v>
      </c>
      <c r="V56" t="str">
        <f ca="1">IFERROR(__xludf.DUMMYFUNCTION("IFERROR(IF(U56&gt;0, FILTER('VPLData(raw)'!E:E,'VPLData(raw)'!B:B=528,'VPLData(raw)'!A:A=A56), 0),0)"),"10")</f>
        <v>10</v>
      </c>
      <c r="W56" t="str">
        <f ca="1">IFERROR(__xludf.DUMMYFUNCTION("IFERROR(FILTER('VPLData(raw)'!F:F,'VPLData(raw)'!B:B=528,'VPLData(raw)'!A:A=A56),0)"),"618")</f>
        <v>618</v>
      </c>
      <c r="X56" t="str">
        <f ca="1">IFERROR(__xludf.DUMMYFUNCTION("IFERROR(FILTER('VPLData(raw)'!C:C,'VPLData(raw)'!B:B=524,'VPLData(raw)'!A:A=A56),0)"),"1494897883")</f>
        <v>1494897883</v>
      </c>
      <c r="Y56" t="str">
        <f ca="1">IFERROR(__xludf.DUMMYFUNCTION("IFERROR(IF(X56&gt;0, FILTER('VPLData(raw)'!E:E,'VPLData(raw)'!B:B=524,'VPLData(raw)'!A:A=A56), 0),0)"),"10")</f>
        <v>10</v>
      </c>
      <c r="Z56" t="str">
        <f ca="1">IFERROR(__xludf.DUMMYFUNCTION("IFERROR(FILTER('VPLData(raw)'!F:F,'VPLData(raw)'!B:B=524,'VPLData(raw)'!A:A=A56),0)"),"274")</f>
        <v>274</v>
      </c>
      <c r="AA56" t="str">
        <f ca="1">IFERROR(__xludf.DUMMYFUNCTION("IFERROR(FILTER('VPLData(raw)'!C:C,'VPLData(raw)'!B:B=478,'VPLData(raw)'!A:A=A56),0)"),"1494897880")</f>
        <v>1494897880</v>
      </c>
      <c r="AB56" t="str">
        <f ca="1">IFERROR(__xludf.DUMMYFUNCTION("IFERROR(IF(AA56&gt;0, FILTER('VPLData(raw)'!E:E,'VPLData(raw)'!B:B=478,'VPLData(raw)'!A:A=A56), 0),0)"),"10")</f>
        <v>10</v>
      </c>
      <c r="AC56" t="str">
        <f ca="1">IFERROR(__xludf.DUMMYFUNCTION("IFERROR(FILTER('VPLData(raw)'!F:F,'VPLData(raw)'!B:B=478,'VPLData(raw)'!A:A=A56),0)"),"36546")</f>
        <v>36546</v>
      </c>
      <c r="AD56" t="str">
        <f ca="1">IFERROR(__xludf.DUMMYFUNCTION("IFERROR(FILTER('VPLData(raw)'!C:C,'VPLData(raw)'!B:B=542,'VPLData(raw)'!A:A=A56),0)"),"1498128966")</f>
        <v>1498128966</v>
      </c>
      <c r="AE56" t="str">
        <f ca="1">IFERROR(__xludf.DUMMYFUNCTION("IFERROR(IF(AD56&gt;0, FILTER('VPLData(raw)'!E:E,'VPLData(raw)'!B:B=542,'VPLData(raw)'!A:A=A56), 0),0)"),"10")</f>
        <v>10</v>
      </c>
      <c r="AF56" t="str">
        <f ca="1">IFERROR(__xludf.DUMMYFUNCTION("IFERROR(FILTER('VPLData(raw)'!F:F,'VPLData(raw)'!B:B=542,'VPLData(raw)'!A:A=A56),0)"),"1969")</f>
        <v>1969</v>
      </c>
      <c r="AG56" t="str">
        <f ca="1">IFERROR(__xludf.DUMMYFUNCTION("IFERROR(FILTER('VPLData(raw)'!C:C,'VPLData(raw)'!B:B=544,'VPLData(raw)'!A:A=A56),0)"),"1498092283")</f>
        <v>1498092283</v>
      </c>
      <c r="AH56" t="str">
        <f ca="1">IFERROR(__xludf.DUMMYFUNCTION("IFERROR(IF(AG56&gt;0, FILTER('VPLData(raw)'!E:E,'VPLData(raw)'!B:B=544,'VPLData(raw)'!A:A=A56), 0),0)"),"10")</f>
        <v>10</v>
      </c>
      <c r="AI56" t="str">
        <f ca="1">IFERROR(__xludf.DUMMYFUNCTION("IFERROR(FILTER('VPLData(raw)'!F:F,'VPLData(raw)'!B:B=544,'VPLData(raw)'!A:A=A56),0)"),"3314")</f>
        <v>3314</v>
      </c>
      <c r="AJ56" t="str">
        <f ca="1">IFERROR(__xludf.DUMMYFUNCTION("IFERROR(FILTER('VPLData(raw)'!C:C,'VPLData(raw)'!B:B=545,'VPLData(raw)'!A:A=A56),0)"),"1499300529")</f>
        <v>1499300529</v>
      </c>
      <c r="AK56" t="str">
        <f ca="1">IFERROR(__xludf.DUMMYFUNCTION("IFERROR(IF(AJ56&gt;0, FILTER('VPLData(raw)'!E:E,'VPLData(raw)'!B:B=545,'VPLData(raw)'!A:A=A56), 0),0)"),"10")</f>
        <v>10</v>
      </c>
      <c r="AL56" t="str">
        <f ca="1">IFERROR(__xludf.DUMMYFUNCTION("IFERROR(FILTER('VPLData(raw)'!F:F,'VPLData(raw)'!B:B=545,'VPLData(raw)'!A:A=A56),0)"),"2064")</f>
        <v>2064</v>
      </c>
    </row>
    <row r="57" spans="1:38" ht="13" x14ac:dyDescent="0.15">
      <c r="A57" s="2">
        <v>10179</v>
      </c>
      <c r="B57" s="2">
        <v>10310759</v>
      </c>
      <c r="C57" t="str">
        <f ca="1">IFERROR(__xludf.DUMMYFUNCTION("IFERROR(FILTER('VPLData(raw)'!C:C,'VPLData(raw)'!B:B=504,'VPLData(raw)'!A:A=A57),0)"),"0")</f>
        <v>0</v>
      </c>
      <c r="D57" s="3" t="str">
        <f ca="1">IFERROR(__xludf.DUMMYFUNCTION("IFERROR(IF(C57&gt;0, FILTER('VPLData(raw)'!E:E,'VPLData(raw)'!B:B=504,'VPLData(raw)'!A:A=A57), 0),0)"),"0")</f>
        <v>0</v>
      </c>
      <c r="E57" t="str">
        <f ca="1">IFERROR(__xludf.DUMMYFUNCTION("IFERROR(FILTER('VPLData(raw)'!F:F,'VPLData(raw)'!B:B=504,'VPLData(raw)'!A:A=A57),0)"),"0")</f>
        <v>0</v>
      </c>
      <c r="F57" t="str">
        <f ca="1">IFERROR(__xludf.DUMMYFUNCTION("IFERROR(FILTER('VPLData(raw)'!C:C,'VPLData(raw)'!B:B=454,'VPLData(raw)'!A:A=A57),0)"),"0")</f>
        <v>0</v>
      </c>
      <c r="G57" t="str">
        <f ca="1">IFERROR(__xludf.DUMMYFUNCTION("IFERROR(IF(F57&gt;0, FILTER('VPLData(raw)'!E:E,'VPLData(raw)'!B:B=454,'VPLData(raw)'!A:A=A57), 0),0)"),"0")</f>
        <v>0</v>
      </c>
      <c r="H57" t="str">
        <f ca="1">IFERROR(__xludf.DUMMYFUNCTION("IFERROR(FILTER('VPLData(raw)'!F:F,'VPLData(raw)'!B:B=454,'VPLData(raw)'!A:A=A57),0)"),"0")</f>
        <v>0</v>
      </c>
      <c r="I57" t="str">
        <f ca="1">IFERROR(__xludf.DUMMYFUNCTION("IFERROR(FILTER('VPLData(raw)'!C:C,'VPLData(raw)'!B:B=457,'VPLData(raw)'!A:A=A57),0)"),"0")</f>
        <v>0</v>
      </c>
      <c r="J57" t="str">
        <f ca="1">IFERROR(__xludf.DUMMYFUNCTION("IFERROR(IF(I57&gt;0, FILTER('VPLData(raw)'!E:E,'VPLData(raw)'!B:B=457,'VPLData(raw)'!A:A=A57), 0),0)"),"0")</f>
        <v>0</v>
      </c>
      <c r="K57" t="str">
        <f ca="1">IFERROR(__xludf.DUMMYFUNCTION("IFERROR(FILTER('VPLData(raw)'!F:F,'VPLData(raw)'!B:B=457,'VPLData(raw)'!A:A=A57),0)"),"0")</f>
        <v>0</v>
      </c>
      <c r="L57" t="str">
        <f ca="1">IFERROR(__xludf.DUMMYFUNCTION("IFERROR(FILTER('VPLData(raw)'!C:C,'VPLData(raw)'!B:B=534,'VPLData(raw)'!A:A=A57),0)"),"0")</f>
        <v>0</v>
      </c>
      <c r="M57" t="str">
        <f ca="1">IFERROR(__xludf.DUMMYFUNCTION("IFERROR(IF(L57&gt;0, FILTER('VPLData(raw)'!E:E,'VPLData(raw)'!B:B=534,'VPLData(raw)'!A:A=A57), 0),0)"),"0")</f>
        <v>0</v>
      </c>
      <c r="N57" t="str">
        <f ca="1">IFERROR(__xludf.DUMMYFUNCTION("IFERROR(FILTER('VPLData(raw)'!F:F,'VPLData(raw)'!B:B=534,'VPLData(raw)'!A:A=A57),0)"),"0")</f>
        <v>0</v>
      </c>
      <c r="O57" t="str">
        <f ca="1">IFERROR(__xludf.DUMMYFUNCTION("IFERROR(FILTER('VPLData(raw)'!C:C,'VPLData(raw)'!B:B=498,'VPLData(raw)'!A:A=A57),0)"),"1499406361")</f>
        <v>1499406361</v>
      </c>
      <c r="P57" t="str">
        <f ca="1">IFERROR(__xludf.DUMMYFUNCTION("IFERROR(IF(O57&gt;0, FILTER('VPLData(raw)'!E:E,'VPLData(raw)'!B:B=498,'VPLData(raw)'!A:A=A57), 0),0)"),"10")</f>
        <v>10</v>
      </c>
      <c r="Q57" t="str">
        <f ca="1">IFERROR(__xludf.DUMMYFUNCTION("IFERROR(FILTER('VPLData(raw)'!F:F,'VPLData(raw)'!B:B=498,'VPLData(raw)'!A:A=A57),0)"),"420")</f>
        <v>420</v>
      </c>
      <c r="R57" t="str">
        <f ca="1">IFERROR(__xludf.DUMMYFUNCTION("IFERROR(FILTER('VPLData(raw)'!C:C,'VPLData(raw)'!B:B=515,'VPLData(raw)'!A:A=A57),0)"),"1499406360")</f>
        <v>1499406360</v>
      </c>
      <c r="S57" t="str">
        <f ca="1">IFERROR(__xludf.DUMMYFUNCTION("IFERROR(IF(R57&gt;0, FILTER('VPLData(raw)'!E:E,'VPLData(raw)'!B:B=515,'VPLData(raw)'!A:A=A57), 0),0)"),"10")</f>
        <v>10</v>
      </c>
      <c r="T57" t="str">
        <f ca="1">IFERROR(__xludf.DUMMYFUNCTION("IFERROR(FILTER('VPLData(raw)'!F:F,'VPLData(raw)'!B:B=515,'VPLData(raw)'!A:A=A57),0)"),"946")</f>
        <v>946</v>
      </c>
      <c r="U57" t="str">
        <f ca="1">IFERROR(__xludf.DUMMYFUNCTION("IFERROR(FILTER('VPLData(raw)'!C:C,'VPLData(raw)'!B:B=528,'VPLData(raw)'!A:A=A57),0)"),"1499400646")</f>
        <v>1499400646</v>
      </c>
      <c r="V57" t="str">
        <f ca="1">IFERROR(__xludf.DUMMYFUNCTION("IFERROR(IF(U57&gt;0, FILTER('VPLData(raw)'!E:E,'VPLData(raw)'!B:B=528,'VPLData(raw)'!A:A=A57), 0),0)"),"10")</f>
        <v>10</v>
      </c>
      <c r="W57" t="str">
        <f ca="1">IFERROR(__xludf.DUMMYFUNCTION("IFERROR(FILTER('VPLData(raw)'!F:F,'VPLData(raw)'!B:B=528,'VPLData(raw)'!A:A=A57),0)"),"87")</f>
        <v>87</v>
      </c>
      <c r="X57" t="str">
        <f ca="1">IFERROR(__xludf.DUMMYFUNCTION("IFERROR(FILTER('VPLData(raw)'!C:C,'VPLData(raw)'!B:B=524,'VPLData(raw)'!A:A=A57),0)"),"1499400613")</f>
        <v>1499400613</v>
      </c>
      <c r="Y57" t="str">
        <f ca="1">IFERROR(__xludf.DUMMYFUNCTION("IFERROR(IF(X57&gt;0, FILTER('VPLData(raw)'!E:E,'VPLData(raw)'!B:B=524,'VPLData(raw)'!A:A=A57), 0),0)"),"10")</f>
        <v>10</v>
      </c>
      <c r="Z57" t="str">
        <f ca="1">IFERROR(__xludf.DUMMYFUNCTION("IFERROR(FILTER('VPLData(raw)'!F:F,'VPLData(raw)'!B:B=524,'VPLData(raw)'!A:A=A57),0)"),"320")</f>
        <v>320</v>
      </c>
      <c r="AA57" t="str">
        <f ca="1">IFERROR(__xludf.DUMMYFUNCTION("IFERROR(FILTER('VPLData(raw)'!C:C,'VPLData(raw)'!B:B=478,'VPLData(raw)'!A:A=A57),0)"),"1499410156")</f>
        <v>1499410156</v>
      </c>
      <c r="AB57" t="str">
        <f ca="1">IFERROR(__xludf.DUMMYFUNCTION("IFERROR(IF(AA57&gt;0, FILTER('VPLData(raw)'!E:E,'VPLData(raw)'!B:B=478,'VPLData(raw)'!A:A=A57), 0),0)"),"10")</f>
        <v>10</v>
      </c>
      <c r="AC57" t="str">
        <f ca="1">IFERROR(__xludf.DUMMYFUNCTION("IFERROR(FILTER('VPLData(raw)'!F:F,'VPLData(raw)'!B:B=478,'VPLData(raw)'!A:A=A57),0)"),"2037")</f>
        <v>2037</v>
      </c>
      <c r="AD57" t="str">
        <f ca="1">IFERROR(__xludf.DUMMYFUNCTION("IFERROR(FILTER('VPLData(raw)'!C:C,'VPLData(raw)'!B:B=542,'VPLData(raw)'!A:A=A57),0)"),"1499402582")</f>
        <v>1499402582</v>
      </c>
      <c r="AE57" t="str">
        <f ca="1">IFERROR(__xludf.DUMMYFUNCTION("IFERROR(IF(AD57&gt;0, FILTER('VPLData(raw)'!E:E,'VPLData(raw)'!B:B=542,'VPLData(raw)'!A:A=A57), 0),0)"),"10")</f>
        <v>10</v>
      </c>
      <c r="AF57" t="str">
        <f ca="1">IFERROR(__xludf.DUMMYFUNCTION("IFERROR(FILTER('VPLData(raw)'!F:F,'VPLData(raw)'!B:B=542,'VPLData(raw)'!A:A=A57),0)"),"1572")</f>
        <v>1572</v>
      </c>
      <c r="AG57" t="str">
        <f ca="1">IFERROR(__xludf.DUMMYFUNCTION("IFERROR(FILTER('VPLData(raw)'!C:C,'VPLData(raw)'!B:B=544,'VPLData(raw)'!A:A=A57),0)"),"0")</f>
        <v>0</v>
      </c>
      <c r="AH57" t="str">
        <f ca="1">IFERROR(__xludf.DUMMYFUNCTION("IFERROR(IF(AG57&gt;0, FILTER('VPLData(raw)'!E:E,'VPLData(raw)'!B:B=544,'VPLData(raw)'!A:A=A57), 0),0)"),"0")</f>
        <v>0</v>
      </c>
      <c r="AI57" t="str">
        <f ca="1">IFERROR(__xludf.DUMMYFUNCTION("IFERROR(FILTER('VPLData(raw)'!F:F,'VPLData(raw)'!B:B=544,'VPLData(raw)'!A:A=A57),0)"),"0")</f>
        <v>0</v>
      </c>
      <c r="AJ57" t="str">
        <f ca="1">IFERROR(__xludf.DUMMYFUNCTION("IFERROR(FILTER('VPLData(raw)'!C:C,'VPLData(raw)'!B:B=545,'VPLData(raw)'!A:A=A57),0)"),"0")</f>
        <v>0</v>
      </c>
      <c r="AK57" t="str">
        <f ca="1">IFERROR(__xludf.DUMMYFUNCTION("IFERROR(IF(AJ57&gt;0, FILTER('VPLData(raw)'!E:E,'VPLData(raw)'!B:B=545,'VPLData(raw)'!A:A=A57), 0),0)"),"0")</f>
        <v>0</v>
      </c>
      <c r="AL57" t="str">
        <f ca="1">IFERROR(__xludf.DUMMYFUNCTION("IFERROR(FILTER('VPLData(raw)'!F:F,'VPLData(raw)'!B:B=545,'VPLData(raw)'!A:A=A57),0)"),"0")</f>
        <v>0</v>
      </c>
    </row>
    <row r="58" spans="1:38" ht="13" x14ac:dyDescent="0.15">
      <c r="A58" s="2">
        <v>10198</v>
      </c>
      <c r="B58" s="2">
        <v>10310888</v>
      </c>
      <c r="C58" t="str">
        <f ca="1">IFERROR(__xludf.DUMMYFUNCTION("IFERROR(FILTER('VPLData(raw)'!C:C,'VPLData(raw)'!B:B=504,'VPLData(raw)'!A:A=A58),0)"),"1490866590")</f>
        <v>1490866590</v>
      </c>
      <c r="D58" s="3" t="str">
        <f ca="1">IFERROR(__xludf.DUMMYFUNCTION("IFERROR(IF(C58&gt;0, FILTER('VPLData(raw)'!E:E,'VPLData(raw)'!B:B=504,'VPLData(raw)'!A:A=A58), 0),0)"),"10")</f>
        <v>10</v>
      </c>
      <c r="E58" t="str">
        <f ca="1">IFERROR(__xludf.DUMMYFUNCTION("IFERROR(FILTER('VPLData(raw)'!F:F,'VPLData(raw)'!B:B=504,'VPLData(raw)'!A:A=A58),0)"),"11162")</f>
        <v>11162</v>
      </c>
      <c r="F58" t="str">
        <f ca="1">IFERROR(__xludf.DUMMYFUNCTION("IFERROR(FILTER('VPLData(raw)'!C:C,'VPLData(raw)'!B:B=454,'VPLData(raw)'!A:A=A58),0)"),"1491776964")</f>
        <v>1491776964</v>
      </c>
      <c r="G58" t="str">
        <f ca="1">IFERROR(__xludf.DUMMYFUNCTION("IFERROR(IF(F58&gt;0, FILTER('VPLData(raw)'!E:E,'VPLData(raw)'!B:B=454,'VPLData(raw)'!A:A=A58), 0),0)"),"10")</f>
        <v>10</v>
      </c>
      <c r="H58" t="str">
        <f ca="1">IFERROR(__xludf.DUMMYFUNCTION("IFERROR(FILTER('VPLData(raw)'!F:F,'VPLData(raw)'!B:B=454,'VPLData(raw)'!A:A=A58),0)"),"4116")</f>
        <v>4116</v>
      </c>
      <c r="I58" t="str">
        <f ca="1">IFERROR(__xludf.DUMMYFUNCTION("IFERROR(FILTER('VPLData(raw)'!C:C,'VPLData(raw)'!B:B=457,'VPLData(raw)'!A:A=A58),0)"),"1492193254")</f>
        <v>1492193254</v>
      </c>
      <c r="J58" t="str">
        <f ca="1">IFERROR(__xludf.DUMMYFUNCTION("IFERROR(IF(I58&gt;0, FILTER('VPLData(raw)'!E:E,'VPLData(raw)'!B:B=457,'VPLData(raw)'!A:A=A58), 0),0)"),"10")</f>
        <v>10</v>
      </c>
      <c r="K58" t="str">
        <f ca="1">IFERROR(__xludf.DUMMYFUNCTION("IFERROR(FILTER('VPLData(raw)'!F:F,'VPLData(raw)'!B:B=457,'VPLData(raw)'!A:A=A58),0)"),"8488")</f>
        <v>8488</v>
      </c>
      <c r="L58" t="str">
        <f ca="1">IFERROR(__xludf.DUMMYFUNCTION("IFERROR(FILTER('VPLData(raw)'!C:C,'VPLData(raw)'!B:B=534,'VPLData(raw)'!A:A=A58),0)"),"0")</f>
        <v>0</v>
      </c>
      <c r="M58" t="str">
        <f ca="1">IFERROR(__xludf.DUMMYFUNCTION("IFERROR(IF(L58&gt;0, FILTER('VPLData(raw)'!E:E,'VPLData(raw)'!B:B=534,'VPLData(raw)'!A:A=A58), 0),0)"),"0")</f>
        <v>0</v>
      </c>
      <c r="N58" t="str">
        <f ca="1">IFERROR(__xludf.DUMMYFUNCTION("IFERROR(FILTER('VPLData(raw)'!F:F,'VPLData(raw)'!B:B=534,'VPLData(raw)'!A:A=A58),0)"),"0")</f>
        <v>0</v>
      </c>
      <c r="O58" t="str">
        <f ca="1">IFERROR(__xludf.DUMMYFUNCTION("IFERROR(FILTER('VPLData(raw)'!C:C,'VPLData(raw)'!B:B=498,'VPLData(raw)'!A:A=A58),0)"),"1493071247")</f>
        <v>1493071247</v>
      </c>
      <c r="P58" t="str">
        <f ca="1">IFERROR(__xludf.DUMMYFUNCTION("IFERROR(IF(O58&gt;0, FILTER('VPLData(raw)'!E:E,'VPLData(raw)'!B:B=498,'VPLData(raw)'!A:A=A58), 0),0)"),"10")</f>
        <v>10</v>
      </c>
      <c r="Q58" t="str">
        <f ca="1">IFERROR(__xludf.DUMMYFUNCTION("IFERROR(FILTER('VPLData(raw)'!F:F,'VPLData(raw)'!B:B=498,'VPLData(raw)'!A:A=A58),0)"),"1344")</f>
        <v>1344</v>
      </c>
      <c r="R58" t="str">
        <f ca="1">IFERROR(__xludf.DUMMYFUNCTION("IFERROR(FILTER('VPLData(raw)'!C:C,'VPLData(raw)'!B:B=515,'VPLData(raw)'!A:A=A58),0)"),"1493559664")</f>
        <v>1493559664</v>
      </c>
      <c r="S58" t="str">
        <f ca="1">IFERROR(__xludf.DUMMYFUNCTION("IFERROR(IF(R58&gt;0, FILTER('VPLData(raw)'!E:E,'VPLData(raw)'!B:B=515,'VPLData(raw)'!A:A=A58), 0),0)"),"10")</f>
        <v>10</v>
      </c>
      <c r="T58" t="str">
        <f ca="1">IFERROR(__xludf.DUMMYFUNCTION("IFERROR(FILTER('VPLData(raw)'!F:F,'VPLData(raw)'!B:B=515,'VPLData(raw)'!A:A=A58),0)"),"4322")</f>
        <v>4322</v>
      </c>
      <c r="U58" t="str">
        <f ca="1">IFERROR(__xludf.DUMMYFUNCTION("IFERROR(FILTER('VPLData(raw)'!C:C,'VPLData(raw)'!B:B=528,'VPLData(raw)'!A:A=A58),0)"),"1494708227")</f>
        <v>1494708227</v>
      </c>
      <c r="V58" t="str">
        <f ca="1">IFERROR(__xludf.DUMMYFUNCTION("IFERROR(IF(U58&gt;0, FILTER('VPLData(raw)'!E:E,'VPLData(raw)'!B:B=528,'VPLData(raw)'!A:A=A58), 0),0)"),"10")</f>
        <v>10</v>
      </c>
      <c r="W58" t="str">
        <f ca="1">IFERROR(__xludf.DUMMYFUNCTION("IFERROR(FILTER('VPLData(raw)'!F:F,'VPLData(raw)'!B:B=528,'VPLData(raw)'!A:A=A58),0)"),"1405")</f>
        <v>1405</v>
      </c>
      <c r="X58" t="str">
        <f ca="1">IFERROR(__xludf.DUMMYFUNCTION("IFERROR(FILTER('VPLData(raw)'!C:C,'VPLData(raw)'!B:B=524,'VPLData(raw)'!A:A=A58),0)"),"1494709639")</f>
        <v>1494709639</v>
      </c>
      <c r="Y58" t="str">
        <f ca="1">IFERROR(__xludf.DUMMYFUNCTION("IFERROR(IF(X58&gt;0, FILTER('VPLData(raw)'!E:E,'VPLData(raw)'!B:B=524,'VPLData(raw)'!A:A=A58), 0),0)"),"10")</f>
        <v>10</v>
      </c>
      <c r="Z58" t="str">
        <f ca="1">IFERROR(__xludf.DUMMYFUNCTION("IFERROR(FILTER('VPLData(raw)'!F:F,'VPLData(raw)'!B:B=524,'VPLData(raw)'!A:A=A58),0)"),"5387")</f>
        <v>5387</v>
      </c>
      <c r="AA58" t="str">
        <f ca="1">IFERROR(__xludf.DUMMYFUNCTION("IFERROR(FILTER('VPLData(raw)'!C:C,'VPLData(raw)'!B:B=478,'VPLData(raw)'!A:A=A58),0)"),"1495994429")</f>
        <v>1495994429</v>
      </c>
      <c r="AB58" t="str">
        <f ca="1">IFERROR(__xludf.DUMMYFUNCTION("IFERROR(IF(AA58&gt;0, FILTER('VPLData(raw)'!E:E,'VPLData(raw)'!B:B=478,'VPLData(raw)'!A:A=A58), 0),0)"),"10")</f>
        <v>10</v>
      </c>
      <c r="AC58" t="str">
        <f ca="1">IFERROR(__xludf.DUMMYFUNCTION("IFERROR(FILTER('VPLData(raw)'!F:F,'VPLData(raw)'!B:B=478,'VPLData(raw)'!A:A=A58),0)"),"1321")</f>
        <v>1321</v>
      </c>
      <c r="AD58" t="str">
        <f ca="1">IFERROR(__xludf.DUMMYFUNCTION("IFERROR(FILTER('VPLData(raw)'!C:C,'VPLData(raw)'!B:B=542,'VPLData(raw)'!A:A=A58),0)"),"1498358079")</f>
        <v>1498358079</v>
      </c>
      <c r="AE58" t="str">
        <f ca="1">IFERROR(__xludf.DUMMYFUNCTION("IFERROR(IF(AD58&gt;0, FILTER('VPLData(raw)'!E:E,'VPLData(raw)'!B:B=542,'VPLData(raw)'!A:A=A58), 0),0)"),"10")</f>
        <v>10</v>
      </c>
      <c r="AF58" t="str">
        <f ca="1">IFERROR(__xludf.DUMMYFUNCTION("IFERROR(FILTER('VPLData(raw)'!F:F,'VPLData(raw)'!B:B=542,'VPLData(raw)'!A:A=A58),0)"),"2420")</f>
        <v>2420</v>
      </c>
      <c r="AG58" t="str">
        <f ca="1">IFERROR(__xludf.DUMMYFUNCTION("IFERROR(FILTER('VPLData(raw)'!C:C,'VPLData(raw)'!B:B=544,'VPLData(raw)'!A:A=A58),0)"),"1498074935")</f>
        <v>1498074935</v>
      </c>
      <c r="AH58" t="str">
        <f ca="1">IFERROR(__xludf.DUMMYFUNCTION("IFERROR(IF(AG58&gt;0, FILTER('VPLData(raw)'!E:E,'VPLData(raw)'!B:B=544,'VPLData(raw)'!A:A=A58), 0),0)"),"10")</f>
        <v>10</v>
      </c>
      <c r="AI58" t="str">
        <f ca="1">IFERROR(__xludf.DUMMYFUNCTION("IFERROR(FILTER('VPLData(raw)'!F:F,'VPLData(raw)'!B:B=544,'VPLData(raw)'!A:A=A58),0)"),"2795")</f>
        <v>2795</v>
      </c>
      <c r="AJ58" t="str">
        <f ca="1">IFERROR(__xludf.DUMMYFUNCTION("IFERROR(FILTER('VPLData(raw)'!C:C,'VPLData(raw)'!B:B=545,'VPLData(raw)'!A:A=A58),0)"),"1499481813")</f>
        <v>1499481813</v>
      </c>
      <c r="AK58" t="str">
        <f ca="1">IFERROR(__xludf.DUMMYFUNCTION("IFERROR(IF(AJ58&gt;0, FILTER('VPLData(raw)'!E:E,'VPLData(raw)'!B:B=545,'VPLData(raw)'!A:A=A58), 0),0)"),"10")</f>
        <v>10</v>
      </c>
      <c r="AL58" t="str">
        <f ca="1">IFERROR(__xludf.DUMMYFUNCTION("IFERROR(FILTER('VPLData(raw)'!F:F,'VPLData(raw)'!B:B=545,'VPLData(raw)'!A:A=A58),0)"),"2427")</f>
        <v>2427</v>
      </c>
    </row>
    <row r="59" spans="1:38" ht="13" x14ac:dyDescent="0.15">
      <c r="A59" s="2">
        <v>10195</v>
      </c>
      <c r="B59" s="2">
        <v>10351971</v>
      </c>
      <c r="C59" t="str">
        <f ca="1">IFERROR(__xludf.DUMMYFUNCTION("IFERROR(FILTER('VPLData(raw)'!C:C,'VPLData(raw)'!B:B=504,'VPLData(raw)'!A:A=A59),0)"),"0")</f>
        <v>0</v>
      </c>
      <c r="D59" s="3" t="str">
        <f ca="1">IFERROR(__xludf.DUMMYFUNCTION("IFERROR(IF(C59&gt;0, FILTER('VPLData(raw)'!E:E,'VPLData(raw)'!B:B=504,'VPLData(raw)'!A:A=A59), 0),0)"),"0")</f>
        <v>0</v>
      </c>
      <c r="E59" t="str">
        <f ca="1">IFERROR(__xludf.DUMMYFUNCTION("IFERROR(FILTER('VPLData(raw)'!F:F,'VPLData(raw)'!B:B=504,'VPLData(raw)'!A:A=A59),0)"),"0")</f>
        <v>0</v>
      </c>
      <c r="F59" t="str">
        <f ca="1">IFERROR(__xludf.DUMMYFUNCTION("IFERROR(FILTER('VPLData(raw)'!C:C,'VPLData(raw)'!B:B=454,'VPLData(raw)'!A:A=A59),0)"),"0")</f>
        <v>0</v>
      </c>
      <c r="G59" t="str">
        <f ca="1">IFERROR(__xludf.DUMMYFUNCTION("IFERROR(IF(F59&gt;0, FILTER('VPLData(raw)'!E:E,'VPLData(raw)'!B:B=454,'VPLData(raw)'!A:A=A59), 0),0)"),"0")</f>
        <v>0</v>
      </c>
      <c r="H59" t="str">
        <f ca="1">IFERROR(__xludf.DUMMYFUNCTION("IFERROR(FILTER('VPLData(raw)'!F:F,'VPLData(raw)'!B:B=454,'VPLData(raw)'!A:A=A59),0)"),"0")</f>
        <v>0</v>
      </c>
      <c r="I59" t="str">
        <f ca="1">IFERROR(__xludf.DUMMYFUNCTION("IFERROR(FILTER('VPLData(raw)'!C:C,'VPLData(raw)'!B:B=457,'VPLData(raw)'!A:A=A59),0)"),"0")</f>
        <v>0</v>
      </c>
      <c r="J59" t="str">
        <f ca="1">IFERROR(__xludf.DUMMYFUNCTION("IFERROR(IF(I59&gt;0, FILTER('VPLData(raw)'!E:E,'VPLData(raw)'!B:B=457,'VPLData(raw)'!A:A=A59), 0),0)"),"0")</f>
        <v>0</v>
      </c>
      <c r="K59" t="str">
        <f ca="1">IFERROR(__xludf.DUMMYFUNCTION("IFERROR(FILTER('VPLData(raw)'!F:F,'VPLData(raw)'!B:B=457,'VPLData(raw)'!A:A=A59),0)"),"0")</f>
        <v>0</v>
      </c>
      <c r="L59" t="str">
        <f ca="1">IFERROR(__xludf.DUMMYFUNCTION("IFERROR(FILTER('VPLData(raw)'!C:C,'VPLData(raw)'!B:B=534,'VPLData(raw)'!A:A=A59),0)"),"0")</f>
        <v>0</v>
      </c>
      <c r="M59" t="str">
        <f ca="1">IFERROR(__xludf.DUMMYFUNCTION("IFERROR(IF(L59&gt;0, FILTER('VPLData(raw)'!E:E,'VPLData(raw)'!B:B=534,'VPLData(raw)'!A:A=A59), 0),0)"),"0")</f>
        <v>0</v>
      </c>
      <c r="N59" t="str">
        <f ca="1">IFERROR(__xludf.DUMMYFUNCTION("IFERROR(FILTER('VPLData(raw)'!F:F,'VPLData(raw)'!B:B=534,'VPLData(raw)'!A:A=A59),0)"),"0")</f>
        <v>0</v>
      </c>
      <c r="O59" t="str">
        <f ca="1">IFERROR(__xludf.DUMMYFUNCTION("IFERROR(FILTER('VPLData(raw)'!C:C,'VPLData(raw)'!B:B=498,'VPLData(raw)'!A:A=A59),0)"),"1492469565")</f>
        <v>1492469565</v>
      </c>
      <c r="P59" t="str">
        <f ca="1">IFERROR(__xludf.DUMMYFUNCTION("IFERROR(IF(O59&gt;0, FILTER('VPLData(raw)'!E:E,'VPLData(raw)'!B:B=498,'VPLData(raw)'!A:A=A59), 0),0)"),"10")</f>
        <v>10</v>
      </c>
      <c r="Q59" t="str">
        <f ca="1">IFERROR(__xludf.DUMMYFUNCTION("IFERROR(FILTER('VPLData(raw)'!F:F,'VPLData(raw)'!B:B=498,'VPLData(raw)'!A:A=A59),0)"),"1626")</f>
        <v>1626</v>
      </c>
      <c r="R59" t="str">
        <f ca="1">IFERROR(__xludf.DUMMYFUNCTION("IFERROR(FILTER('VPLData(raw)'!C:C,'VPLData(raw)'!B:B=515,'VPLData(raw)'!A:A=A59),0)"),"1492473514")</f>
        <v>1492473514</v>
      </c>
      <c r="S59" t="str">
        <f ca="1">IFERROR(__xludf.DUMMYFUNCTION("IFERROR(IF(R59&gt;0, FILTER('VPLData(raw)'!E:E,'VPLData(raw)'!B:B=515,'VPLData(raw)'!A:A=A59), 0),0)"),"")</f>
        <v/>
      </c>
      <c r="T59" t="str">
        <f ca="1">IFERROR(__xludf.DUMMYFUNCTION("IFERROR(FILTER('VPLData(raw)'!F:F,'VPLData(raw)'!B:B=515,'VPLData(raw)'!A:A=A59),0)"),"1855")</f>
        <v>1855</v>
      </c>
      <c r="U59" t="str">
        <f ca="1">IFERROR(__xludf.DUMMYFUNCTION("IFERROR(FILTER('VPLData(raw)'!C:C,'VPLData(raw)'!B:B=528,'VPLData(raw)'!A:A=A59),0)"),"0")</f>
        <v>0</v>
      </c>
      <c r="V59" t="str">
        <f ca="1">IFERROR(__xludf.DUMMYFUNCTION("IFERROR(IF(U59&gt;0, FILTER('VPLData(raw)'!E:E,'VPLData(raw)'!B:B=528,'VPLData(raw)'!A:A=A59), 0),0)"),"0")</f>
        <v>0</v>
      </c>
      <c r="W59" t="str">
        <f ca="1">IFERROR(__xludf.DUMMYFUNCTION("IFERROR(FILTER('VPLData(raw)'!F:F,'VPLData(raw)'!B:B=528,'VPLData(raw)'!A:A=A59),0)"),"0")</f>
        <v>0</v>
      </c>
      <c r="X59" t="str">
        <f ca="1">IFERROR(__xludf.DUMMYFUNCTION("IFERROR(FILTER('VPLData(raw)'!C:C,'VPLData(raw)'!B:B=524,'VPLData(raw)'!A:A=A59),0)"),"0")</f>
        <v>0</v>
      </c>
      <c r="Y59" t="str">
        <f ca="1">IFERROR(__xludf.DUMMYFUNCTION("IFERROR(IF(X59&gt;0, FILTER('VPLData(raw)'!E:E,'VPLData(raw)'!B:B=524,'VPLData(raw)'!A:A=A59), 0),0)"),"0")</f>
        <v>0</v>
      </c>
      <c r="Z59" t="str">
        <f ca="1">IFERROR(__xludf.DUMMYFUNCTION("IFERROR(FILTER('VPLData(raw)'!F:F,'VPLData(raw)'!B:B=524,'VPLData(raw)'!A:A=A59),0)"),"0")</f>
        <v>0</v>
      </c>
      <c r="AA59" t="str">
        <f ca="1">IFERROR(__xludf.DUMMYFUNCTION("IFERROR(FILTER('VPLData(raw)'!C:C,'VPLData(raw)'!B:B=478,'VPLData(raw)'!A:A=A59),0)"),"0")</f>
        <v>0</v>
      </c>
      <c r="AB59" t="str">
        <f ca="1">IFERROR(__xludf.DUMMYFUNCTION("IFERROR(IF(AA59&gt;0, FILTER('VPLData(raw)'!E:E,'VPLData(raw)'!B:B=478,'VPLData(raw)'!A:A=A59), 0),0)"),"0")</f>
        <v>0</v>
      </c>
      <c r="AC59" t="str">
        <f ca="1">IFERROR(__xludf.DUMMYFUNCTION("IFERROR(FILTER('VPLData(raw)'!F:F,'VPLData(raw)'!B:B=478,'VPLData(raw)'!A:A=A59),0)"),"0")</f>
        <v>0</v>
      </c>
      <c r="AD59" t="str">
        <f ca="1">IFERROR(__xludf.DUMMYFUNCTION("IFERROR(FILTER('VPLData(raw)'!C:C,'VPLData(raw)'!B:B=542,'VPLData(raw)'!A:A=A59),0)"),"0")</f>
        <v>0</v>
      </c>
      <c r="AE59" t="str">
        <f ca="1">IFERROR(__xludf.DUMMYFUNCTION("IFERROR(IF(AD59&gt;0, FILTER('VPLData(raw)'!E:E,'VPLData(raw)'!B:B=542,'VPLData(raw)'!A:A=A59), 0),0)"),"0")</f>
        <v>0</v>
      </c>
      <c r="AF59" t="str">
        <f ca="1">IFERROR(__xludf.DUMMYFUNCTION("IFERROR(FILTER('VPLData(raw)'!F:F,'VPLData(raw)'!B:B=542,'VPLData(raw)'!A:A=A59),0)"),"0")</f>
        <v>0</v>
      </c>
      <c r="AG59" t="str">
        <f ca="1">IFERROR(__xludf.DUMMYFUNCTION("IFERROR(FILTER('VPLData(raw)'!C:C,'VPLData(raw)'!B:B=544,'VPLData(raw)'!A:A=A59),0)"),"0")</f>
        <v>0</v>
      </c>
      <c r="AH59" t="str">
        <f ca="1">IFERROR(__xludf.DUMMYFUNCTION("IFERROR(IF(AG59&gt;0, FILTER('VPLData(raw)'!E:E,'VPLData(raw)'!B:B=544,'VPLData(raw)'!A:A=A59), 0),0)"),"0")</f>
        <v>0</v>
      </c>
      <c r="AI59" t="str">
        <f ca="1">IFERROR(__xludf.DUMMYFUNCTION("IFERROR(FILTER('VPLData(raw)'!F:F,'VPLData(raw)'!B:B=544,'VPLData(raw)'!A:A=A59),0)"),"0")</f>
        <v>0</v>
      </c>
      <c r="AJ59" t="str">
        <f ca="1">IFERROR(__xludf.DUMMYFUNCTION("IFERROR(FILTER('VPLData(raw)'!C:C,'VPLData(raw)'!B:B=545,'VPLData(raw)'!A:A=A59),0)"),"0")</f>
        <v>0</v>
      </c>
      <c r="AK59" t="str">
        <f ca="1">IFERROR(__xludf.DUMMYFUNCTION("IFERROR(IF(AJ59&gt;0, FILTER('VPLData(raw)'!E:E,'VPLData(raw)'!B:B=545,'VPLData(raw)'!A:A=A59), 0),0)"),"0")</f>
        <v>0</v>
      </c>
      <c r="AL59" t="str">
        <f ca="1">IFERROR(__xludf.DUMMYFUNCTION("IFERROR(FILTER('VPLData(raw)'!F:F,'VPLData(raw)'!B:B=545,'VPLData(raw)'!A:A=A59),0)"),"0")</f>
        <v>0</v>
      </c>
    </row>
    <row r="60" spans="1:38" ht="13" x14ac:dyDescent="0.15">
      <c r="A60" s="2">
        <v>10230</v>
      </c>
      <c r="B60" s="2">
        <v>10351992</v>
      </c>
      <c r="C60" t="str">
        <f ca="1">IFERROR(__xludf.DUMMYFUNCTION("IFERROR(FILTER('VPLData(raw)'!C:C,'VPLData(raw)'!B:B=504,'VPLData(raw)'!A:A=A60),0)"),"0")</f>
        <v>0</v>
      </c>
      <c r="D60" s="3" t="str">
        <f ca="1">IFERROR(__xludf.DUMMYFUNCTION("IFERROR(IF(C60&gt;0, FILTER('VPLData(raw)'!E:E,'VPLData(raw)'!B:B=504,'VPLData(raw)'!A:A=A60), 0),0)"),"0")</f>
        <v>0</v>
      </c>
      <c r="E60" t="str">
        <f ca="1">IFERROR(__xludf.DUMMYFUNCTION("IFERROR(FILTER('VPLData(raw)'!F:F,'VPLData(raw)'!B:B=504,'VPLData(raw)'!A:A=A60),0)"),"0")</f>
        <v>0</v>
      </c>
      <c r="F60" t="str">
        <f ca="1">IFERROR(__xludf.DUMMYFUNCTION("IFERROR(FILTER('VPLData(raw)'!C:C,'VPLData(raw)'!B:B=454,'VPLData(raw)'!A:A=A60),0)"),"0")</f>
        <v>0</v>
      </c>
      <c r="G60" t="str">
        <f ca="1">IFERROR(__xludf.DUMMYFUNCTION("IFERROR(IF(F60&gt;0, FILTER('VPLData(raw)'!E:E,'VPLData(raw)'!B:B=454,'VPLData(raw)'!A:A=A60), 0),0)"),"0")</f>
        <v>0</v>
      </c>
      <c r="H60" t="str">
        <f ca="1">IFERROR(__xludf.DUMMYFUNCTION("IFERROR(FILTER('VPLData(raw)'!F:F,'VPLData(raw)'!B:B=454,'VPLData(raw)'!A:A=A60),0)"),"0")</f>
        <v>0</v>
      </c>
      <c r="I60" t="str">
        <f ca="1">IFERROR(__xludf.DUMMYFUNCTION("IFERROR(FILTER('VPLData(raw)'!C:C,'VPLData(raw)'!B:B=457,'VPLData(raw)'!A:A=A60),0)"),"0")</f>
        <v>0</v>
      </c>
      <c r="J60" t="str">
        <f ca="1">IFERROR(__xludf.DUMMYFUNCTION("IFERROR(IF(I60&gt;0, FILTER('VPLData(raw)'!E:E,'VPLData(raw)'!B:B=457,'VPLData(raw)'!A:A=A60), 0),0)"),"0")</f>
        <v>0</v>
      </c>
      <c r="K60" t="str">
        <f ca="1">IFERROR(__xludf.DUMMYFUNCTION("IFERROR(FILTER('VPLData(raw)'!F:F,'VPLData(raw)'!B:B=457,'VPLData(raw)'!A:A=A60),0)"),"0")</f>
        <v>0</v>
      </c>
      <c r="L60" t="str">
        <f ca="1">IFERROR(__xludf.DUMMYFUNCTION("IFERROR(FILTER('VPLData(raw)'!C:C,'VPLData(raw)'!B:B=534,'VPLData(raw)'!A:A=A60),0)"),"0")</f>
        <v>0</v>
      </c>
      <c r="M60" t="str">
        <f ca="1">IFERROR(__xludf.DUMMYFUNCTION("IFERROR(IF(L60&gt;0, FILTER('VPLData(raw)'!E:E,'VPLData(raw)'!B:B=534,'VPLData(raw)'!A:A=A60), 0),0)"),"0")</f>
        <v>0</v>
      </c>
      <c r="N60" t="str">
        <f ca="1">IFERROR(__xludf.DUMMYFUNCTION("IFERROR(FILTER('VPLData(raw)'!F:F,'VPLData(raw)'!B:B=534,'VPLData(raw)'!A:A=A60),0)"),"0")</f>
        <v>0</v>
      </c>
      <c r="O60" t="str">
        <f ca="1">IFERROR(__xludf.DUMMYFUNCTION("IFERROR(FILTER('VPLData(raw)'!C:C,'VPLData(raw)'!B:B=498,'VPLData(raw)'!A:A=A60),0)"),"1493311143")</f>
        <v>1493311143</v>
      </c>
      <c r="P60" t="str">
        <f ca="1">IFERROR(__xludf.DUMMYFUNCTION("IFERROR(IF(O60&gt;0, FILTER('VPLData(raw)'!E:E,'VPLData(raw)'!B:B=498,'VPLData(raw)'!A:A=A60), 0),0)"),"10")</f>
        <v>10</v>
      </c>
      <c r="Q60" t="str">
        <f ca="1">IFERROR(__xludf.DUMMYFUNCTION("IFERROR(FILTER('VPLData(raw)'!F:F,'VPLData(raw)'!B:B=498,'VPLData(raw)'!A:A=A60),0)"),"318")</f>
        <v>318</v>
      </c>
      <c r="R60" t="str">
        <f ca="1">IFERROR(__xludf.DUMMYFUNCTION("IFERROR(FILTER('VPLData(raw)'!C:C,'VPLData(raw)'!B:B=515,'VPLData(raw)'!A:A=A60),0)"),"1493403212")</f>
        <v>1493403212</v>
      </c>
      <c r="S60" t="str">
        <f ca="1">IFERROR(__xludf.DUMMYFUNCTION("IFERROR(IF(R60&gt;0, FILTER('VPLData(raw)'!E:E,'VPLData(raw)'!B:B=515,'VPLData(raw)'!A:A=A60), 0),0)"),"10")</f>
        <v>10</v>
      </c>
      <c r="T60" t="str">
        <f ca="1">IFERROR(__xludf.DUMMYFUNCTION("IFERROR(FILTER('VPLData(raw)'!F:F,'VPLData(raw)'!B:B=515,'VPLData(raw)'!A:A=A60),0)"),"1128")</f>
        <v>1128</v>
      </c>
      <c r="U60" t="str">
        <f ca="1">IFERROR(__xludf.DUMMYFUNCTION("IFERROR(FILTER('VPLData(raw)'!C:C,'VPLData(raw)'!B:B=528,'VPLData(raw)'!A:A=A60),0)"),"1494882547")</f>
        <v>1494882547</v>
      </c>
      <c r="V60" t="str">
        <f ca="1">IFERROR(__xludf.DUMMYFUNCTION("IFERROR(IF(U60&gt;0, FILTER('VPLData(raw)'!E:E,'VPLData(raw)'!B:B=528,'VPLData(raw)'!A:A=A60), 0),0)"),"10")</f>
        <v>10</v>
      </c>
      <c r="W60" t="str">
        <f ca="1">IFERROR(__xludf.DUMMYFUNCTION("IFERROR(FILTER('VPLData(raw)'!F:F,'VPLData(raw)'!B:B=528,'VPLData(raw)'!A:A=A60),0)"),"351")</f>
        <v>351</v>
      </c>
      <c r="X60" t="str">
        <f ca="1">IFERROR(__xludf.DUMMYFUNCTION("IFERROR(FILTER('VPLData(raw)'!C:C,'VPLData(raw)'!B:B=524,'VPLData(raw)'!A:A=A60),0)"),"1494883329")</f>
        <v>1494883329</v>
      </c>
      <c r="Y60" t="str">
        <f ca="1">IFERROR(__xludf.DUMMYFUNCTION("IFERROR(IF(X60&gt;0, FILTER('VPLData(raw)'!E:E,'VPLData(raw)'!B:B=524,'VPLData(raw)'!A:A=A60), 0),0)"),"10")</f>
        <v>10</v>
      </c>
      <c r="Z60" t="str">
        <f ca="1">IFERROR(__xludf.DUMMYFUNCTION("IFERROR(FILTER('VPLData(raw)'!F:F,'VPLData(raw)'!B:B=524,'VPLData(raw)'!A:A=A60),0)"),"1506")</f>
        <v>1506</v>
      </c>
      <c r="AA60" t="str">
        <f ca="1">IFERROR(__xludf.DUMMYFUNCTION("IFERROR(FILTER('VPLData(raw)'!C:C,'VPLData(raw)'!B:B=478,'VPLData(raw)'!A:A=A60),0)"),"1494887688")</f>
        <v>1494887688</v>
      </c>
      <c r="AB60" t="str">
        <f ca="1">IFERROR(__xludf.DUMMYFUNCTION("IFERROR(IF(AA60&gt;0, FILTER('VPLData(raw)'!E:E,'VPLData(raw)'!B:B=478,'VPLData(raw)'!A:A=A60), 0),0)"),"10")</f>
        <v>10</v>
      </c>
      <c r="AC60" t="str">
        <f ca="1">IFERROR(__xludf.DUMMYFUNCTION("IFERROR(FILTER('VPLData(raw)'!F:F,'VPLData(raw)'!B:B=478,'VPLData(raw)'!A:A=A60),0)"),"20980")</f>
        <v>20980</v>
      </c>
      <c r="AD60" t="str">
        <f ca="1">IFERROR(__xludf.DUMMYFUNCTION("IFERROR(FILTER('VPLData(raw)'!C:C,'VPLData(raw)'!B:B=542,'VPLData(raw)'!A:A=A60),0)"),"1498447348")</f>
        <v>1498447348</v>
      </c>
      <c r="AE60" t="str">
        <f ca="1">IFERROR(__xludf.DUMMYFUNCTION("IFERROR(IF(AD60&gt;0, FILTER('VPLData(raw)'!E:E,'VPLData(raw)'!B:B=542,'VPLData(raw)'!A:A=A60), 0),0)"),"")</f>
        <v/>
      </c>
      <c r="AF60" t="str">
        <f ca="1">IFERROR(__xludf.DUMMYFUNCTION("IFERROR(FILTER('VPLData(raw)'!F:F,'VPLData(raw)'!B:B=542,'VPLData(raw)'!A:A=A60),0)"),"9368")</f>
        <v>9368</v>
      </c>
      <c r="AG60" t="str">
        <f ca="1">IFERROR(__xludf.DUMMYFUNCTION("IFERROR(FILTER('VPLData(raw)'!C:C,'VPLData(raw)'!B:B=544,'VPLData(raw)'!A:A=A60),0)"),"0")</f>
        <v>0</v>
      </c>
      <c r="AH60" t="str">
        <f ca="1">IFERROR(__xludf.DUMMYFUNCTION("IFERROR(IF(AG60&gt;0, FILTER('VPLData(raw)'!E:E,'VPLData(raw)'!B:B=544,'VPLData(raw)'!A:A=A60), 0),0)"),"0")</f>
        <v>0</v>
      </c>
      <c r="AI60" t="str">
        <f ca="1">IFERROR(__xludf.DUMMYFUNCTION("IFERROR(FILTER('VPLData(raw)'!F:F,'VPLData(raw)'!B:B=544,'VPLData(raw)'!A:A=A60),0)"),"0")</f>
        <v>0</v>
      </c>
      <c r="AJ60" t="str">
        <f ca="1">IFERROR(__xludf.DUMMYFUNCTION("IFERROR(FILTER('VPLData(raw)'!C:C,'VPLData(raw)'!B:B=545,'VPLData(raw)'!A:A=A60),0)"),"0")</f>
        <v>0</v>
      </c>
      <c r="AK60" t="str">
        <f ca="1">IFERROR(__xludf.DUMMYFUNCTION("IFERROR(IF(AJ60&gt;0, FILTER('VPLData(raw)'!E:E,'VPLData(raw)'!B:B=545,'VPLData(raw)'!A:A=A60), 0),0)"),"0")</f>
        <v>0</v>
      </c>
      <c r="AL60" t="str">
        <f ca="1">IFERROR(__xludf.DUMMYFUNCTION("IFERROR(FILTER('VPLData(raw)'!F:F,'VPLData(raw)'!B:B=545,'VPLData(raw)'!A:A=A60),0)"),"0")</f>
        <v>0</v>
      </c>
    </row>
    <row r="61" spans="1:38" ht="13" x14ac:dyDescent="0.15">
      <c r="A61" s="2">
        <v>10183</v>
      </c>
      <c r="B61" s="2">
        <v>10352030</v>
      </c>
      <c r="C61" t="str">
        <f ca="1">IFERROR(__xludf.DUMMYFUNCTION("IFERROR(FILTER('VPLData(raw)'!C:C,'VPLData(raw)'!B:B=504,'VPLData(raw)'!A:A=A61),0)"),"1490831070")</f>
        <v>1490831070</v>
      </c>
      <c r="D61" s="3" t="str">
        <f ca="1">IFERROR(__xludf.DUMMYFUNCTION("IFERROR(IF(C61&gt;0, FILTER('VPLData(raw)'!E:E,'VPLData(raw)'!B:B=504,'VPLData(raw)'!A:A=A61), 0),0)"),"10")</f>
        <v>10</v>
      </c>
      <c r="E61" t="str">
        <f ca="1">IFERROR(__xludf.DUMMYFUNCTION("IFERROR(FILTER('VPLData(raw)'!F:F,'VPLData(raw)'!B:B=504,'VPLData(raw)'!A:A=A61),0)"),"4343")</f>
        <v>4343</v>
      </c>
      <c r="F61" t="str">
        <f ca="1">IFERROR(__xludf.DUMMYFUNCTION("IFERROR(FILTER('VPLData(raw)'!C:C,'VPLData(raw)'!B:B=454,'VPLData(raw)'!A:A=A61),0)"),"0")</f>
        <v>0</v>
      </c>
      <c r="G61" t="str">
        <f ca="1">IFERROR(__xludf.DUMMYFUNCTION("IFERROR(IF(F61&gt;0, FILTER('VPLData(raw)'!E:E,'VPLData(raw)'!B:B=454,'VPLData(raw)'!A:A=A61), 0),0)"),"0")</f>
        <v>0</v>
      </c>
      <c r="H61" t="str">
        <f ca="1">IFERROR(__xludf.DUMMYFUNCTION("IFERROR(FILTER('VPLData(raw)'!F:F,'VPLData(raw)'!B:B=454,'VPLData(raw)'!A:A=A61),0)"),"0")</f>
        <v>0</v>
      </c>
      <c r="I61" t="str">
        <f ca="1">IFERROR(__xludf.DUMMYFUNCTION("IFERROR(FILTER('VPLData(raw)'!C:C,'VPLData(raw)'!B:B=457,'VPLData(raw)'!A:A=A61),0)"),"0")</f>
        <v>0</v>
      </c>
      <c r="J61" t="str">
        <f ca="1">IFERROR(__xludf.DUMMYFUNCTION("IFERROR(IF(I61&gt;0, FILTER('VPLData(raw)'!E:E,'VPLData(raw)'!B:B=457,'VPLData(raw)'!A:A=A61), 0),0)"),"0")</f>
        <v>0</v>
      </c>
      <c r="K61" t="str">
        <f ca="1">IFERROR(__xludf.DUMMYFUNCTION("IFERROR(FILTER('VPLData(raw)'!F:F,'VPLData(raw)'!B:B=457,'VPLData(raw)'!A:A=A61),0)"),"0")</f>
        <v>0</v>
      </c>
      <c r="L61" t="str">
        <f ca="1">IFERROR(__xludf.DUMMYFUNCTION("IFERROR(FILTER('VPLData(raw)'!C:C,'VPLData(raw)'!B:B=534,'VPLData(raw)'!A:A=A61),0)"),"0")</f>
        <v>0</v>
      </c>
      <c r="M61" t="str">
        <f ca="1">IFERROR(__xludf.DUMMYFUNCTION("IFERROR(IF(L61&gt;0, FILTER('VPLData(raw)'!E:E,'VPLData(raw)'!B:B=534,'VPLData(raw)'!A:A=A61), 0),0)"),"0")</f>
        <v>0</v>
      </c>
      <c r="N61" t="str">
        <f ca="1">IFERROR(__xludf.DUMMYFUNCTION("IFERROR(FILTER('VPLData(raw)'!F:F,'VPLData(raw)'!B:B=534,'VPLData(raw)'!A:A=A61),0)"),"0")</f>
        <v>0</v>
      </c>
      <c r="O61" t="str">
        <f ca="1">IFERROR(__xludf.DUMMYFUNCTION("IFERROR(FILTER('VPLData(raw)'!C:C,'VPLData(raw)'!B:B=498,'VPLData(raw)'!A:A=A61),0)"),"1492557006")</f>
        <v>1492557006</v>
      </c>
      <c r="P61" t="str">
        <f ca="1">IFERROR(__xludf.DUMMYFUNCTION("IFERROR(IF(O61&gt;0, FILTER('VPLData(raw)'!E:E,'VPLData(raw)'!B:B=498,'VPLData(raw)'!A:A=A61), 0),0)"),"10")</f>
        <v>10</v>
      </c>
      <c r="Q61" t="str">
        <f ca="1">IFERROR(__xludf.DUMMYFUNCTION("IFERROR(FILTER('VPLData(raw)'!F:F,'VPLData(raw)'!B:B=498,'VPLData(raw)'!A:A=A61),0)"),"555")</f>
        <v>555</v>
      </c>
      <c r="R61" t="str">
        <f ca="1">IFERROR(__xludf.DUMMYFUNCTION("IFERROR(FILTER('VPLData(raw)'!C:C,'VPLData(raw)'!B:B=515,'VPLData(raw)'!A:A=A61),0)"),"1492558298")</f>
        <v>1492558298</v>
      </c>
      <c r="S61" t="str">
        <f ca="1">IFERROR(__xludf.DUMMYFUNCTION("IFERROR(IF(R61&gt;0, FILTER('VPLData(raw)'!E:E,'VPLData(raw)'!B:B=515,'VPLData(raw)'!A:A=A61), 0),0)"),"10")</f>
        <v>10</v>
      </c>
      <c r="T61" t="str">
        <f ca="1">IFERROR(__xludf.DUMMYFUNCTION("IFERROR(FILTER('VPLData(raw)'!F:F,'VPLData(raw)'!B:B=515,'VPLData(raw)'!A:A=A61),0)"),"1231")</f>
        <v>1231</v>
      </c>
      <c r="U61" t="str">
        <f ca="1">IFERROR(__xludf.DUMMYFUNCTION("IFERROR(FILTER('VPLData(raw)'!C:C,'VPLData(raw)'!B:B=528,'VPLData(raw)'!A:A=A61),0)"),"1494374899")</f>
        <v>1494374899</v>
      </c>
      <c r="V61" t="str">
        <f ca="1">IFERROR(__xludf.DUMMYFUNCTION("IFERROR(IF(U61&gt;0, FILTER('VPLData(raw)'!E:E,'VPLData(raw)'!B:B=528,'VPLData(raw)'!A:A=A61), 0),0)"),"10")</f>
        <v>10</v>
      </c>
      <c r="W61" t="str">
        <f ca="1">IFERROR(__xludf.DUMMYFUNCTION("IFERROR(FILTER('VPLData(raw)'!F:F,'VPLData(raw)'!B:B=528,'VPLData(raw)'!A:A=A61),0)"),"3834")</f>
        <v>3834</v>
      </c>
      <c r="X61" t="str">
        <f ca="1">IFERROR(__xludf.DUMMYFUNCTION("IFERROR(FILTER('VPLData(raw)'!C:C,'VPLData(raw)'!B:B=524,'VPLData(raw)'!A:A=A61),0)"),"1494960349")</f>
        <v>1494960349</v>
      </c>
      <c r="Y61" t="str">
        <f ca="1">IFERROR(__xludf.DUMMYFUNCTION("IFERROR(IF(X61&gt;0, FILTER('VPLData(raw)'!E:E,'VPLData(raw)'!B:B=524,'VPLData(raw)'!A:A=A61), 0),0)"),"10")</f>
        <v>10</v>
      </c>
      <c r="Z61" t="str">
        <f ca="1">IFERROR(__xludf.DUMMYFUNCTION("IFERROR(FILTER('VPLData(raw)'!F:F,'VPLData(raw)'!B:B=524,'VPLData(raw)'!A:A=A61),0)"),"309")</f>
        <v>309</v>
      </c>
      <c r="AA61" t="str">
        <f ca="1">IFERROR(__xludf.DUMMYFUNCTION("IFERROR(FILTER('VPLData(raw)'!C:C,'VPLData(raw)'!B:B=478,'VPLData(raw)'!A:A=A61),0)"),"1494958592")</f>
        <v>1494958592</v>
      </c>
      <c r="AB61" t="str">
        <f ca="1">IFERROR(__xludf.DUMMYFUNCTION("IFERROR(IF(AA61&gt;0, FILTER('VPLData(raw)'!E:E,'VPLData(raw)'!B:B=478,'VPLData(raw)'!A:A=A61), 0),0)"),"10")</f>
        <v>10</v>
      </c>
      <c r="AC61" t="str">
        <f ca="1">IFERROR(__xludf.DUMMYFUNCTION("IFERROR(FILTER('VPLData(raw)'!F:F,'VPLData(raw)'!B:B=478,'VPLData(raw)'!A:A=A61),0)"),"202")</f>
        <v>202</v>
      </c>
      <c r="AD61" t="str">
        <f ca="1">IFERROR(__xludf.DUMMYFUNCTION("IFERROR(FILTER('VPLData(raw)'!C:C,'VPLData(raw)'!B:B=542,'VPLData(raw)'!A:A=A61),0)"),"0")</f>
        <v>0</v>
      </c>
      <c r="AE61" t="str">
        <f ca="1">IFERROR(__xludf.DUMMYFUNCTION("IFERROR(IF(AD61&gt;0, FILTER('VPLData(raw)'!E:E,'VPLData(raw)'!B:B=542,'VPLData(raw)'!A:A=A61), 0),0)"),"0")</f>
        <v>0</v>
      </c>
      <c r="AF61" t="str">
        <f ca="1">IFERROR(__xludf.DUMMYFUNCTION("IFERROR(FILTER('VPLData(raw)'!F:F,'VPLData(raw)'!B:B=542,'VPLData(raw)'!A:A=A61),0)"),"0")</f>
        <v>0</v>
      </c>
      <c r="AG61" t="str">
        <f ca="1">IFERROR(__xludf.DUMMYFUNCTION("IFERROR(FILTER('VPLData(raw)'!C:C,'VPLData(raw)'!B:B=544,'VPLData(raw)'!A:A=A61),0)"),"0")</f>
        <v>0</v>
      </c>
      <c r="AH61" t="str">
        <f ca="1">IFERROR(__xludf.DUMMYFUNCTION("IFERROR(IF(AG61&gt;0, FILTER('VPLData(raw)'!E:E,'VPLData(raw)'!B:B=544,'VPLData(raw)'!A:A=A61), 0),0)"),"0")</f>
        <v>0</v>
      </c>
      <c r="AI61" t="str">
        <f ca="1">IFERROR(__xludf.DUMMYFUNCTION("IFERROR(FILTER('VPLData(raw)'!F:F,'VPLData(raw)'!B:B=544,'VPLData(raw)'!A:A=A61),0)"),"0")</f>
        <v>0</v>
      </c>
      <c r="AJ61" t="str">
        <f ca="1">IFERROR(__xludf.DUMMYFUNCTION("IFERROR(FILTER('VPLData(raw)'!C:C,'VPLData(raw)'!B:B=545,'VPLData(raw)'!A:A=A61),0)"),"0")</f>
        <v>0</v>
      </c>
      <c r="AK61" t="str">
        <f ca="1">IFERROR(__xludf.DUMMYFUNCTION("IFERROR(IF(AJ61&gt;0, FILTER('VPLData(raw)'!E:E,'VPLData(raw)'!B:B=545,'VPLData(raw)'!A:A=A61), 0),0)"),"0")</f>
        <v>0</v>
      </c>
      <c r="AL61" t="str">
        <f ca="1">IFERROR(__xludf.DUMMYFUNCTION("IFERROR(FILTER('VPLData(raw)'!F:F,'VPLData(raw)'!B:B=545,'VPLData(raw)'!A:A=A61),0)"),"0")</f>
        <v>0</v>
      </c>
    </row>
    <row r="62" spans="1:38" ht="13" x14ac:dyDescent="0.15">
      <c r="A62" s="2">
        <v>10169</v>
      </c>
      <c r="B62" s="2">
        <v>10377538</v>
      </c>
      <c r="C62" t="str">
        <f ca="1">IFERROR(__xludf.DUMMYFUNCTION("IFERROR(FILTER('VPLData(raw)'!C:C,'VPLData(raw)'!B:B=504,'VPLData(raw)'!A:A=A62),0)"),"0")</f>
        <v>0</v>
      </c>
      <c r="D62" s="3" t="str">
        <f ca="1">IFERROR(__xludf.DUMMYFUNCTION("IFERROR(IF(C62&gt;0, FILTER('VPLData(raw)'!E:E,'VPLData(raw)'!B:B=504,'VPLData(raw)'!A:A=A62), 0),0)"),"0")</f>
        <v>0</v>
      </c>
      <c r="E62" t="str">
        <f ca="1">IFERROR(__xludf.DUMMYFUNCTION("IFERROR(FILTER('VPLData(raw)'!F:F,'VPLData(raw)'!B:B=504,'VPLData(raw)'!A:A=A62),0)"),"0")</f>
        <v>0</v>
      </c>
      <c r="F62" t="str">
        <f ca="1">IFERROR(__xludf.DUMMYFUNCTION("IFERROR(FILTER('VPLData(raw)'!C:C,'VPLData(raw)'!B:B=454,'VPLData(raw)'!A:A=A62),0)"),"1492709550")</f>
        <v>1492709550</v>
      </c>
      <c r="G62" t="str">
        <f ca="1">IFERROR(__xludf.DUMMYFUNCTION("IFERROR(IF(F62&gt;0, FILTER('VPLData(raw)'!E:E,'VPLData(raw)'!B:B=454,'VPLData(raw)'!A:A=A62), 0),0)"),"10")</f>
        <v>10</v>
      </c>
      <c r="H62" t="str">
        <f ca="1">IFERROR(__xludf.DUMMYFUNCTION("IFERROR(FILTER('VPLData(raw)'!F:F,'VPLData(raw)'!B:B=454,'VPLData(raw)'!A:A=A62),0)"),"1367")</f>
        <v>1367</v>
      </c>
      <c r="I62" t="str">
        <f ca="1">IFERROR(__xludf.DUMMYFUNCTION("IFERROR(FILTER('VPLData(raw)'!C:C,'VPLData(raw)'!B:B=457,'VPLData(raw)'!A:A=A62),0)"),"1492711780")</f>
        <v>1492711780</v>
      </c>
      <c r="J62" t="str">
        <f ca="1">IFERROR(__xludf.DUMMYFUNCTION("IFERROR(IF(I62&gt;0, FILTER('VPLData(raw)'!E:E,'VPLData(raw)'!B:B=457,'VPLData(raw)'!A:A=A62), 0),0)"),"")</f>
        <v/>
      </c>
      <c r="K62" t="str">
        <f ca="1">IFERROR(__xludf.DUMMYFUNCTION("IFERROR(FILTER('VPLData(raw)'!F:F,'VPLData(raw)'!B:B=457,'VPLData(raw)'!A:A=A62),0)"),"3530")</f>
        <v>3530</v>
      </c>
      <c r="L62" t="str">
        <f ca="1">IFERROR(__xludf.DUMMYFUNCTION("IFERROR(FILTER('VPLData(raw)'!C:C,'VPLData(raw)'!B:B=534,'VPLData(raw)'!A:A=A62),0)"),"0")</f>
        <v>0</v>
      </c>
      <c r="M62" t="str">
        <f ca="1">IFERROR(__xludf.DUMMYFUNCTION("IFERROR(IF(L62&gt;0, FILTER('VPLData(raw)'!E:E,'VPLData(raw)'!B:B=534,'VPLData(raw)'!A:A=A62), 0),0)"),"0")</f>
        <v>0</v>
      </c>
      <c r="N62" t="str">
        <f ca="1">IFERROR(__xludf.DUMMYFUNCTION("IFERROR(FILTER('VPLData(raw)'!F:F,'VPLData(raw)'!B:B=534,'VPLData(raw)'!A:A=A62),0)"),"0")</f>
        <v>0</v>
      </c>
      <c r="O62" t="str">
        <f ca="1">IFERROR(__xludf.DUMMYFUNCTION("IFERROR(FILTER('VPLData(raw)'!C:C,'VPLData(raw)'!B:B=498,'VPLData(raw)'!A:A=A62),0)"),"1492461549")</f>
        <v>1492461549</v>
      </c>
      <c r="P62" t="str">
        <f ca="1">IFERROR(__xludf.DUMMYFUNCTION("IFERROR(IF(O62&gt;0, FILTER('VPLData(raw)'!E:E,'VPLData(raw)'!B:B=498,'VPLData(raw)'!A:A=A62), 0),0)"),"10")</f>
        <v>10</v>
      </c>
      <c r="Q62" t="str">
        <f ca="1">IFERROR(__xludf.DUMMYFUNCTION("IFERROR(FILTER('VPLData(raw)'!F:F,'VPLData(raw)'!B:B=498,'VPLData(raw)'!A:A=A62),0)"),"347")</f>
        <v>347</v>
      </c>
      <c r="R62" t="str">
        <f ca="1">IFERROR(__xludf.DUMMYFUNCTION("IFERROR(FILTER('VPLData(raw)'!C:C,'VPLData(raw)'!B:B=515,'VPLData(raw)'!A:A=A62),0)"),"1492462225")</f>
        <v>1492462225</v>
      </c>
      <c r="S62" t="str">
        <f ca="1">IFERROR(__xludf.DUMMYFUNCTION("IFERROR(IF(R62&gt;0, FILTER('VPLData(raw)'!E:E,'VPLData(raw)'!B:B=515,'VPLData(raw)'!A:A=A62), 0),0)"),"10")</f>
        <v>10</v>
      </c>
      <c r="T62" t="str">
        <f ca="1">IFERROR(__xludf.DUMMYFUNCTION("IFERROR(FILTER('VPLData(raw)'!F:F,'VPLData(raw)'!B:B=515,'VPLData(raw)'!A:A=A62),0)"),"7402")</f>
        <v>7402</v>
      </c>
      <c r="U62" t="str">
        <f ca="1">IFERROR(__xludf.DUMMYFUNCTION("IFERROR(FILTER('VPLData(raw)'!C:C,'VPLData(raw)'!B:B=528,'VPLData(raw)'!A:A=A62),0)"),"1499367527")</f>
        <v>1499367527</v>
      </c>
      <c r="V62" t="str">
        <f ca="1">IFERROR(__xludf.DUMMYFUNCTION("IFERROR(IF(U62&gt;0, FILTER('VPLData(raw)'!E:E,'VPLData(raw)'!B:B=528,'VPLData(raw)'!A:A=A62), 0),0)"),"10")</f>
        <v>10</v>
      </c>
      <c r="W62" t="str">
        <f ca="1">IFERROR(__xludf.DUMMYFUNCTION("IFERROR(FILTER('VPLData(raw)'!F:F,'VPLData(raw)'!B:B=528,'VPLData(raw)'!A:A=A62),0)"),"144")</f>
        <v>144</v>
      </c>
      <c r="X62" t="str">
        <f ca="1">IFERROR(__xludf.DUMMYFUNCTION("IFERROR(FILTER('VPLData(raw)'!C:C,'VPLData(raw)'!B:B=524,'VPLData(raw)'!A:A=A62),0)"),"1499396144")</f>
        <v>1499396144</v>
      </c>
      <c r="Y62" t="str">
        <f ca="1">IFERROR(__xludf.DUMMYFUNCTION("IFERROR(IF(X62&gt;0, FILTER('VPLData(raw)'!E:E,'VPLData(raw)'!B:B=524,'VPLData(raw)'!A:A=A62), 0),0)"),"10")</f>
        <v>10</v>
      </c>
      <c r="Z62" t="str">
        <f ca="1">IFERROR(__xludf.DUMMYFUNCTION("IFERROR(FILTER('VPLData(raw)'!F:F,'VPLData(raw)'!B:B=524,'VPLData(raw)'!A:A=A62),0)"),"1755")</f>
        <v>1755</v>
      </c>
      <c r="AA62" t="str">
        <f ca="1">IFERROR(__xludf.DUMMYFUNCTION("IFERROR(FILTER('VPLData(raw)'!C:C,'VPLData(raw)'!B:B=478,'VPLData(raw)'!A:A=A62),0)"),"1499397064")</f>
        <v>1499397064</v>
      </c>
      <c r="AB62" t="str">
        <f ca="1">IFERROR(__xludf.DUMMYFUNCTION("IFERROR(IF(AA62&gt;0, FILTER('VPLData(raw)'!E:E,'VPLData(raw)'!B:B=478,'VPLData(raw)'!A:A=A62), 0),0)"),"10")</f>
        <v>10</v>
      </c>
      <c r="AC62" t="str">
        <f ca="1">IFERROR(__xludf.DUMMYFUNCTION("IFERROR(FILTER('VPLData(raw)'!F:F,'VPLData(raw)'!B:B=478,'VPLData(raw)'!A:A=A62),0)"),"2641")</f>
        <v>2641</v>
      </c>
      <c r="AD62" t="str">
        <f ca="1">IFERROR(__xludf.DUMMYFUNCTION("IFERROR(FILTER('VPLData(raw)'!C:C,'VPLData(raw)'!B:B=542,'VPLData(raw)'!A:A=A62),0)"),"1499401160")</f>
        <v>1499401160</v>
      </c>
      <c r="AE62" t="str">
        <f ca="1">IFERROR(__xludf.DUMMYFUNCTION("IFERROR(IF(AD62&gt;0, FILTER('VPLData(raw)'!E:E,'VPLData(raw)'!B:B=542,'VPLData(raw)'!A:A=A62), 0),0)"),"10")</f>
        <v>10</v>
      </c>
      <c r="AF62" t="str">
        <f ca="1">IFERROR(__xludf.DUMMYFUNCTION("IFERROR(FILTER('VPLData(raw)'!F:F,'VPLData(raw)'!B:B=542,'VPLData(raw)'!A:A=A62),0)"),"714")</f>
        <v>714</v>
      </c>
      <c r="AG62" t="str">
        <f ca="1">IFERROR(__xludf.DUMMYFUNCTION("IFERROR(FILTER('VPLData(raw)'!C:C,'VPLData(raw)'!B:B=544,'VPLData(raw)'!A:A=A62),0)"),"1499401931")</f>
        <v>1499401931</v>
      </c>
      <c r="AH62" t="str">
        <f ca="1">IFERROR(__xludf.DUMMYFUNCTION("IFERROR(IF(AG62&gt;0, FILTER('VPLData(raw)'!E:E,'VPLData(raw)'!B:B=544,'VPLData(raw)'!A:A=A62), 0),0)"),"10")</f>
        <v>10</v>
      </c>
      <c r="AI62" t="str">
        <f ca="1">IFERROR(__xludf.DUMMYFUNCTION("IFERROR(FILTER('VPLData(raw)'!F:F,'VPLData(raw)'!B:B=544,'VPLData(raw)'!A:A=A62),0)"),"1492")</f>
        <v>1492</v>
      </c>
      <c r="AJ62" t="str">
        <f ca="1">IFERROR(__xludf.DUMMYFUNCTION("IFERROR(FILTER('VPLData(raw)'!C:C,'VPLData(raw)'!B:B=545,'VPLData(raw)'!A:A=A62),0)"),"1499403242")</f>
        <v>1499403242</v>
      </c>
      <c r="AK62" t="str">
        <f ca="1">IFERROR(__xludf.DUMMYFUNCTION("IFERROR(IF(AJ62&gt;0, FILTER('VPLData(raw)'!E:E,'VPLData(raw)'!B:B=545,'VPLData(raw)'!A:A=A62), 0),0)"),"10")</f>
        <v>10</v>
      </c>
      <c r="AL62" t="str">
        <f ca="1">IFERROR(__xludf.DUMMYFUNCTION("IFERROR(FILTER('VPLData(raw)'!F:F,'VPLData(raw)'!B:B=545,'VPLData(raw)'!A:A=A62),0)"),"465")</f>
        <v>465</v>
      </c>
    </row>
    <row r="63" spans="1:38" ht="13" x14ac:dyDescent="0.15">
      <c r="A63" s="2">
        <v>10237</v>
      </c>
      <c r="B63" s="2">
        <v>10377688</v>
      </c>
      <c r="C63" t="str">
        <f ca="1">IFERROR(__xludf.DUMMYFUNCTION("IFERROR(FILTER('VPLData(raw)'!C:C,'VPLData(raw)'!B:B=504,'VPLData(raw)'!A:A=A63),0)"),"1490835460")</f>
        <v>1490835460</v>
      </c>
      <c r="D63" s="3" t="str">
        <f ca="1">IFERROR(__xludf.DUMMYFUNCTION("IFERROR(IF(C63&gt;0, FILTER('VPLData(raw)'!E:E,'VPLData(raw)'!B:B=504,'VPLData(raw)'!A:A=A63), 0),0)"),"10")</f>
        <v>10</v>
      </c>
      <c r="E63" t="str">
        <f ca="1">IFERROR(__xludf.DUMMYFUNCTION("IFERROR(FILTER('VPLData(raw)'!F:F,'VPLData(raw)'!B:B=504,'VPLData(raw)'!A:A=A63),0)"),"1018")</f>
        <v>1018</v>
      </c>
      <c r="F63" t="str">
        <f ca="1">IFERROR(__xludf.DUMMYFUNCTION("IFERROR(FILTER('VPLData(raw)'!C:C,'VPLData(raw)'!B:B=454,'VPLData(raw)'!A:A=A63),0)"),"0")</f>
        <v>0</v>
      </c>
      <c r="G63" t="str">
        <f ca="1">IFERROR(__xludf.DUMMYFUNCTION("IFERROR(IF(F63&gt;0, FILTER('VPLData(raw)'!E:E,'VPLData(raw)'!B:B=454,'VPLData(raw)'!A:A=A63), 0),0)"),"0")</f>
        <v>0</v>
      </c>
      <c r="H63" t="str">
        <f ca="1">IFERROR(__xludf.DUMMYFUNCTION("IFERROR(FILTER('VPLData(raw)'!F:F,'VPLData(raw)'!B:B=454,'VPLData(raw)'!A:A=A63),0)"),"0")</f>
        <v>0</v>
      </c>
      <c r="I63" t="str">
        <f ca="1">IFERROR(__xludf.DUMMYFUNCTION("IFERROR(FILTER('VPLData(raw)'!C:C,'VPLData(raw)'!B:B=457,'VPLData(raw)'!A:A=A63),0)"),"0")</f>
        <v>0</v>
      </c>
      <c r="J63" t="str">
        <f ca="1">IFERROR(__xludf.DUMMYFUNCTION("IFERROR(IF(I63&gt;0, FILTER('VPLData(raw)'!E:E,'VPLData(raw)'!B:B=457,'VPLData(raw)'!A:A=A63), 0),0)"),"0")</f>
        <v>0</v>
      </c>
      <c r="K63" t="str">
        <f ca="1">IFERROR(__xludf.DUMMYFUNCTION("IFERROR(FILTER('VPLData(raw)'!F:F,'VPLData(raw)'!B:B=457,'VPLData(raw)'!A:A=A63),0)"),"0")</f>
        <v>0</v>
      </c>
      <c r="L63" t="str">
        <f ca="1">IFERROR(__xludf.DUMMYFUNCTION("IFERROR(FILTER('VPLData(raw)'!C:C,'VPLData(raw)'!B:B=534,'VPLData(raw)'!A:A=A63),0)"),"0")</f>
        <v>0</v>
      </c>
      <c r="M63" t="str">
        <f ca="1">IFERROR(__xludf.DUMMYFUNCTION("IFERROR(IF(L63&gt;0, FILTER('VPLData(raw)'!E:E,'VPLData(raw)'!B:B=534,'VPLData(raw)'!A:A=A63), 0),0)"),"0")</f>
        <v>0</v>
      </c>
      <c r="N63" t="str">
        <f ca="1">IFERROR(__xludf.DUMMYFUNCTION("IFERROR(FILTER('VPLData(raw)'!F:F,'VPLData(raw)'!B:B=534,'VPLData(raw)'!A:A=A63),0)"),"0")</f>
        <v>0</v>
      </c>
      <c r="O63" t="str">
        <f ca="1">IFERROR(__xludf.DUMMYFUNCTION("IFERROR(FILTER('VPLData(raw)'!C:C,'VPLData(raw)'!B:B=498,'VPLData(raw)'!A:A=A63),0)"),"1497218801")</f>
        <v>1497218801</v>
      </c>
      <c r="P63" t="str">
        <f ca="1">IFERROR(__xludf.DUMMYFUNCTION("IFERROR(IF(O63&gt;0, FILTER('VPLData(raw)'!E:E,'VPLData(raw)'!B:B=498,'VPLData(raw)'!A:A=A63), 0),0)"),"10")</f>
        <v>10</v>
      </c>
      <c r="Q63" t="str">
        <f ca="1">IFERROR(__xludf.DUMMYFUNCTION("IFERROR(FILTER('VPLData(raw)'!F:F,'VPLData(raw)'!B:B=498,'VPLData(raw)'!A:A=A63),0)"),"222")</f>
        <v>222</v>
      </c>
      <c r="R63" t="str">
        <f ca="1">IFERROR(__xludf.DUMMYFUNCTION("IFERROR(FILTER('VPLData(raw)'!C:C,'VPLData(raw)'!B:B=515,'VPLData(raw)'!A:A=A63),0)"),"1497219315")</f>
        <v>1497219315</v>
      </c>
      <c r="S63" t="str">
        <f ca="1">IFERROR(__xludf.DUMMYFUNCTION("IFERROR(IF(R63&gt;0, FILTER('VPLData(raw)'!E:E,'VPLData(raw)'!B:B=515,'VPLData(raw)'!A:A=A63), 0),0)"),"10")</f>
        <v>10</v>
      </c>
      <c r="T63" t="str">
        <f ca="1">IFERROR(__xludf.DUMMYFUNCTION("IFERROR(FILTER('VPLData(raw)'!F:F,'VPLData(raw)'!B:B=515,'VPLData(raw)'!A:A=A63),0)"),"692")</f>
        <v>692</v>
      </c>
      <c r="U63" t="str">
        <f ca="1">IFERROR(__xludf.DUMMYFUNCTION("IFERROR(FILTER('VPLData(raw)'!C:C,'VPLData(raw)'!B:B=528,'VPLData(raw)'!A:A=A63),0)"),"1499400238")</f>
        <v>1499400238</v>
      </c>
      <c r="V63" t="str">
        <f ca="1">IFERROR(__xludf.DUMMYFUNCTION("IFERROR(IF(U63&gt;0, FILTER('VPLData(raw)'!E:E,'VPLData(raw)'!B:B=528,'VPLData(raw)'!A:A=A63), 0),0)"),"10")</f>
        <v>10</v>
      </c>
      <c r="W63" t="str">
        <f ca="1">IFERROR(__xludf.DUMMYFUNCTION("IFERROR(FILTER('VPLData(raw)'!F:F,'VPLData(raw)'!B:B=528,'VPLData(raw)'!A:A=A63),0)"),"536")</f>
        <v>536</v>
      </c>
      <c r="X63" t="str">
        <f ca="1">IFERROR(__xludf.DUMMYFUNCTION("IFERROR(FILTER('VPLData(raw)'!C:C,'VPLData(raw)'!B:B=524,'VPLData(raw)'!A:A=A63),0)"),"1499403598")</f>
        <v>1499403598</v>
      </c>
      <c r="Y63" t="str">
        <f ca="1">IFERROR(__xludf.DUMMYFUNCTION("IFERROR(IF(X63&gt;0, FILTER('VPLData(raw)'!E:E,'VPLData(raw)'!B:B=524,'VPLData(raw)'!A:A=A63), 0),0)"),"10")</f>
        <v>10</v>
      </c>
      <c r="Z63" t="str">
        <f ca="1">IFERROR(__xludf.DUMMYFUNCTION("IFERROR(FILTER('VPLData(raw)'!F:F,'VPLData(raw)'!B:B=524,'VPLData(raw)'!A:A=A63),0)"),"364")</f>
        <v>364</v>
      </c>
      <c r="AA63" t="str">
        <f ca="1">IFERROR(__xludf.DUMMYFUNCTION("IFERROR(FILTER('VPLData(raw)'!C:C,'VPLData(raw)'!B:B=478,'VPLData(raw)'!A:A=A63),0)"),"1499412717")</f>
        <v>1499412717</v>
      </c>
      <c r="AB63" t="str">
        <f ca="1">IFERROR(__xludf.DUMMYFUNCTION("IFERROR(IF(AA63&gt;0, FILTER('VPLData(raw)'!E:E,'VPLData(raw)'!B:B=478,'VPLData(raw)'!A:A=A63), 0),0)"),"10")</f>
        <v>10</v>
      </c>
      <c r="AC63" t="str">
        <f ca="1">IFERROR(__xludf.DUMMYFUNCTION("IFERROR(FILTER('VPLData(raw)'!F:F,'VPLData(raw)'!B:B=478,'VPLData(raw)'!A:A=A63),0)"),"520")</f>
        <v>520</v>
      </c>
      <c r="AD63" t="str">
        <f ca="1">IFERROR(__xludf.DUMMYFUNCTION("IFERROR(FILTER('VPLData(raw)'!C:C,'VPLData(raw)'!B:B=542,'VPLData(raw)'!A:A=A63),0)"),"1499413324")</f>
        <v>1499413324</v>
      </c>
      <c r="AE63" t="str">
        <f ca="1">IFERROR(__xludf.DUMMYFUNCTION("IFERROR(IF(AD63&gt;0, FILTER('VPLData(raw)'!E:E,'VPLData(raw)'!B:B=542,'VPLData(raw)'!A:A=A63), 0),0)"),"10")</f>
        <v>10</v>
      </c>
      <c r="AF63" t="str">
        <f ca="1">IFERROR(__xludf.DUMMYFUNCTION("IFERROR(FILTER('VPLData(raw)'!F:F,'VPLData(raw)'!B:B=542,'VPLData(raw)'!A:A=A63),0)"),"871")</f>
        <v>871</v>
      </c>
      <c r="AG63" t="str">
        <f ca="1">IFERROR(__xludf.DUMMYFUNCTION("IFERROR(FILTER('VPLData(raw)'!C:C,'VPLData(raw)'!B:B=544,'VPLData(raw)'!A:A=A63),0)"),"0")</f>
        <v>0</v>
      </c>
      <c r="AH63" t="str">
        <f ca="1">IFERROR(__xludf.DUMMYFUNCTION("IFERROR(IF(AG63&gt;0, FILTER('VPLData(raw)'!E:E,'VPLData(raw)'!B:B=544,'VPLData(raw)'!A:A=A63), 0),0)"),"0")</f>
        <v>0</v>
      </c>
      <c r="AI63" t="str">
        <f ca="1">IFERROR(__xludf.DUMMYFUNCTION("IFERROR(FILTER('VPLData(raw)'!F:F,'VPLData(raw)'!B:B=544,'VPLData(raw)'!A:A=A63),0)"),"0")</f>
        <v>0</v>
      </c>
      <c r="AJ63" t="str">
        <f ca="1">IFERROR(__xludf.DUMMYFUNCTION("IFERROR(FILTER('VPLData(raw)'!C:C,'VPLData(raw)'!B:B=545,'VPLData(raw)'!A:A=A63),0)"),"0")</f>
        <v>0</v>
      </c>
      <c r="AK63" t="str">
        <f ca="1">IFERROR(__xludf.DUMMYFUNCTION("IFERROR(IF(AJ63&gt;0, FILTER('VPLData(raw)'!E:E,'VPLData(raw)'!B:B=545,'VPLData(raw)'!A:A=A63), 0),0)"),"0")</f>
        <v>0</v>
      </c>
      <c r="AL63" t="str">
        <f ca="1">IFERROR(__xludf.DUMMYFUNCTION("IFERROR(FILTER('VPLData(raw)'!F:F,'VPLData(raw)'!B:B=545,'VPLData(raw)'!A:A=A63),0)"),"0")</f>
        <v>0</v>
      </c>
    </row>
    <row r="64" spans="1:38" ht="13" x14ac:dyDescent="0.15">
      <c r="D64" s="3"/>
    </row>
    <row r="65" spans="4:4" ht="13" x14ac:dyDescent="0.15">
      <c r="D65" s="3"/>
    </row>
    <row r="66" spans="4:4" ht="13" x14ac:dyDescent="0.15">
      <c r="D66" s="3"/>
    </row>
    <row r="67" spans="4:4" ht="13" x14ac:dyDescent="0.15">
      <c r="D67" s="3"/>
    </row>
    <row r="68" spans="4:4" ht="13" x14ac:dyDescent="0.15">
      <c r="D68" s="3"/>
    </row>
    <row r="69" spans="4:4" ht="13" x14ac:dyDescent="0.15">
      <c r="D69" s="3"/>
    </row>
    <row r="70" spans="4:4" ht="13" x14ac:dyDescent="0.15">
      <c r="D70" s="3"/>
    </row>
    <row r="71" spans="4:4" ht="13" x14ac:dyDescent="0.15">
      <c r="D71" s="3"/>
    </row>
    <row r="72" spans="4:4" ht="13" x14ac:dyDescent="0.15">
      <c r="D72" s="3"/>
    </row>
    <row r="73" spans="4:4" ht="13" x14ac:dyDescent="0.15">
      <c r="D73" s="3"/>
    </row>
    <row r="74" spans="4:4" ht="13" x14ac:dyDescent="0.15">
      <c r="D74" s="3"/>
    </row>
    <row r="75" spans="4:4" ht="13" x14ac:dyDescent="0.15">
      <c r="D75" s="3"/>
    </row>
    <row r="76" spans="4:4" ht="13" x14ac:dyDescent="0.15">
      <c r="D76" s="3"/>
    </row>
    <row r="77" spans="4:4" ht="13" x14ac:dyDescent="0.15">
      <c r="D77" s="3"/>
    </row>
    <row r="78" spans="4:4" ht="13" x14ac:dyDescent="0.15">
      <c r="D78" s="3"/>
    </row>
    <row r="79" spans="4:4" ht="13" x14ac:dyDescent="0.15">
      <c r="D79" s="3"/>
    </row>
    <row r="80" spans="4:4" ht="13" x14ac:dyDescent="0.15">
      <c r="D80" s="3"/>
    </row>
    <row r="81" spans="4:4" ht="13" x14ac:dyDescent="0.15">
      <c r="D81" s="3"/>
    </row>
    <row r="82" spans="4:4" ht="13" x14ac:dyDescent="0.15">
      <c r="D82" s="3"/>
    </row>
    <row r="83" spans="4:4" ht="13" x14ac:dyDescent="0.15">
      <c r="D83" s="3"/>
    </row>
    <row r="84" spans="4:4" ht="13" x14ac:dyDescent="0.15">
      <c r="D84" s="3"/>
    </row>
    <row r="85" spans="4:4" ht="13" x14ac:dyDescent="0.15">
      <c r="D85" s="3"/>
    </row>
    <row r="86" spans="4:4" ht="13" x14ac:dyDescent="0.15">
      <c r="D86" s="3"/>
    </row>
    <row r="87" spans="4:4" ht="13" x14ac:dyDescent="0.15">
      <c r="D87" s="3"/>
    </row>
    <row r="88" spans="4:4" ht="13" x14ac:dyDescent="0.15">
      <c r="D88" s="3"/>
    </row>
    <row r="89" spans="4:4" ht="13" x14ac:dyDescent="0.15">
      <c r="D89" s="3"/>
    </row>
    <row r="90" spans="4:4" ht="13" x14ac:dyDescent="0.15">
      <c r="D90" s="3"/>
    </row>
    <row r="91" spans="4:4" ht="13" x14ac:dyDescent="0.15">
      <c r="D91" s="3"/>
    </row>
    <row r="92" spans="4:4" ht="13" x14ac:dyDescent="0.15">
      <c r="D92" s="3"/>
    </row>
    <row r="93" spans="4:4" ht="13" x14ac:dyDescent="0.15">
      <c r="D93" s="3"/>
    </row>
    <row r="94" spans="4:4" ht="13" x14ac:dyDescent="0.15">
      <c r="D94" s="3"/>
    </row>
    <row r="95" spans="4:4" ht="13" x14ac:dyDescent="0.15">
      <c r="D95" s="3"/>
    </row>
    <row r="96" spans="4:4" ht="13" x14ac:dyDescent="0.15">
      <c r="D96" s="3"/>
    </row>
    <row r="97" spans="4:4" ht="13" x14ac:dyDescent="0.15">
      <c r="D97" s="3"/>
    </row>
    <row r="98" spans="4:4" ht="13" x14ac:dyDescent="0.15">
      <c r="D98" s="3"/>
    </row>
    <row r="99" spans="4:4" ht="13" x14ac:dyDescent="0.15">
      <c r="D99" s="3"/>
    </row>
    <row r="100" spans="4:4" ht="13" x14ac:dyDescent="0.15">
      <c r="D100" s="3"/>
    </row>
    <row r="101" spans="4:4" ht="13" x14ac:dyDescent="0.15">
      <c r="D101" s="3"/>
    </row>
    <row r="102" spans="4:4" ht="13" x14ac:dyDescent="0.15">
      <c r="D102" s="3"/>
    </row>
    <row r="103" spans="4:4" ht="13" x14ac:dyDescent="0.15">
      <c r="D103" s="3"/>
    </row>
    <row r="104" spans="4:4" ht="13" x14ac:dyDescent="0.15">
      <c r="D104" s="3"/>
    </row>
    <row r="105" spans="4:4" ht="13" x14ac:dyDescent="0.15">
      <c r="D105" s="3"/>
    </row>
    <row r="106" spans="4:4" ht="13" x14ac:dyDescent="0.15">
      <c r="D106" s="3"/>
    </row>
    <row r="107" spans="4:4" ht="13" x14ac:dyDescent="0.15">
      <c r="D107" s="3"/>
    </row>
    <row r="108" spans="4:4" ht="13" x14ac:dyDescent="0.15">
      <c r="D108" s="3"/>
    </row>
    <row r="109" spans="4:4" ht="13" x14ac:dyDescent="0.15">
      <c r="D109" s="3"/>
    </row>
    <row r="110" spans="4:4" ht="13" x14ac:dyDescent="0.15">
      <c r="D110" s="3"/>
    </row>
    <row r="111" spans="4:4" ht="13" x14ac:dyDescent="0.15">
      <c r="D111" s="3"/>
    </row>
    <row r="112" spans="4:4" ht="13" x14ac:dyDescent="0.15">
      <c r="D112" s="3"/>
    </row>
    <row r="113" spans="4:4" ht="13" x14ac:dyDescent="0.15">
      <c r="D113" s="3"/>
    </row>
    <row r="114" spans="4:4" ht="13" x14ac:dyDescent="0.15">
      <c r="D114" s="3"/>
    </row>
    <row r="115" spans="4:4" ht="13" x14ac:dyDescent="0.15">
      <c r="D115" s="3"/>
    </row>
    <row r="116" spans="4:4" ht="13" x14ac:dyDescent="0.15">
      <c r="D116" s="3"/>
    </row>
    <row r="117" spans="4:4" ht="13" x14ac:dyDescent="0.15">
      <c r="D117" s="3"/>
    </row>
    <row r="118" spans="4:4" ht="13" x14ac:dyDescent="0.15">
      <c r="D118" s="3"/>
    </row>
    <row r="119" spans="4:4" ht="13" x14ac:dyDescent="0.15">
      <c r="D119" s="3"/>
    </row>
    <row r="120" spans="4:4" ht="13" x14ac:dyDescent="0.15">
      <c r="D120" s="3"/>
    </row>
    <row r="121" spans="4:4" ht="13" x14ac:dyDescent="0.15">
      <c r="D121" s="3"/>
    </row>
    <row r="122" spans="4:4" ht="13" x14ac:dyDescent="0.15">
      <c r="D122" s="3"/>
    </row>
    <row r="123" spans="4:4" ht="13" x14ac:dyDescent="0.15">
      <c r="D123" s="3"/>
    </row>
    <row r="124" spans="4:4" ht="13" x14ac:dyDescent="0.15">
      <c r="D124" s="3"/>
    </row>
    <row r="125" spans="4:4" ht="13" x14ac:dyDescent="0.15">
      <c r="D125" s="3"/>
    </row>
    <row r="126" spans="4:4" ht="13" x14ac:dyDescent="0.15">
      <c r="D126" s="3"/>
    </row>
    <row r="127" spans="4:4" ht="13" x14ac:dyDescent="0.15">
      <c r="D127" s="3"/>
    </row>
    <row r="128" spans="4:4" ht="13" x14ac:dyDescent="0.15">
      <c r="D128" s="3"/>
    </row>
    <row r="129" spans="4:4" ht="13" x14ac:dyDescent="0.15">
      <c r="D129" s="3"/>
    </row>
    <row r="130" spans="4:4" ht="13" x14ac:dyDescent="0.15">
      <c r="D130" s="3"/>
    </row>
    <row r="131" spans="4:4" ht="13" x14ac:dyDescent="0.15">
      <c r="D131" s="3"/>
    </row>
    <row r="132" spans="4:4" ht="13" x14ac:dyDescent="0.15">
      <c r="D132" s="3"/>
    </row>
    <row r="133" spans="4:4" ht="13" x14ac:dyDescent="0.15">
      <c r="D133" s="3"/>
    </row>
    <row r="134" spans="4:4" ht="13" x14ac:dyDescent="0.15">
      <c r="D134" s="3"/>
    </row>
    <row r="135" spans="4:4" ht="13" x14ac:dyDescent="0.15">
      <c r="D135" s="3"/>
    </row>
    <row r="136" spans="4:4" ht="13" x14ac:dyDescent="0.15">
      <c r="D136" s="3"/>
    </row>
    <row r="137" spans="4:4" ht="13" x14ac:dyDescent="0.15">
      <c r="D137" s="3"/>
    </row>
    <row r="138" spans="4:4" ht="13" x14ac:dyDescent="0.15">
      <c r="D138" s="3"/>
    </row>
    <row r="139" spans="4:4" ht="13" x14ac:dyDescent="0.15">
      <c r="D139" s="3"/>
    </row>
    <row r="140" spans="4:4" ht="13" x14ac:dyDescent="0.15">
      <c r="D140" s="3"/>
    </row>
    <row r="141" spans="4:4" ht="13" x14ac:dyDescent="0.15">
      <c r="D141" s="3"/>
    </row>
    <row r="142" spans="4:4" ht="13" x14ac:dyDescent="0.15">
      <c r="D142" s="3"/>
    </row>
    <row r="143" spans="4:4" ht="13" x14ac:dyDescent="0.15">
      <c r="D143" s="3"/>
    </row>
    <row r="144" spans="4:4" ht="13" x14ac:dyDescent="0.15">
      <c r="D144" s="3"/>
    </row>
    <row r="145" spans="4:4" ht="13" x14ac:dyDescent="0.15">
      <c r="D145" s="3"/>
    </row>
    <row r="146" spans="4:4" ht="13" x14ac:dyDescent="0.15">
      <c r="D146" s="3"/>
    </row>
    <row r="147" spans="4:4" ht="13" x14ac:dyDescent="0.15">
      <c r="D147" s="3"/>
    </row>
    <row r="148" spans="4:4" ht="13" x14ac:dyDescent="0.15">
      <c r="D148" s="3"/>
    </row>
    <row r="149" spans="4:4" ht="13" x14ac:dyDescent="0.15">
      <c r="D149" s="3"/>
    </row>
    <row r="150" spans="4:4" ht="13" x14ac:dyDescent="0.15">
      <c r="D150" s="3"/>
    </row>
    <row r="151" spans="4:4" ht="13" x14ac:dyDescent="0.15">
      <c r="D151" s="3"/>
    </row>
    <row r="152" spans="4:4" ht="13" x14ac:dyDescent="0.15">
      <c r="D152" s="3"/>
    </row>
    <row r="153" spans="4:4" ht="13" x14ac:dyDescent="0.15">
      <c r="D153" s="3"/>
    </row>
    <row r="154" spans="4:4" ht="13" x14ac:dyDescent="0.15">
      <c r="D154" s="3"/>
    </row>
    <row r="155" spans="4:4" ht="13" x14ac:dyDescent="0.15">
      <c r="D155" s="3"/>
    </row>
    <row r="156" spans="4:4" ht="13" x14ac:dyDescent="0.15">
      <c r="D156" s="3"/>
    </row>
    <row r="157" spans="4:4" ht="13" x14ac:dyDescent="0.15">
      <c r="D157" s="3"/>
    </row>
    <row r="158" spans="4:4" ht="13" x14ac:dyDescent="0.15">
      <c r="D158" s="3"/>
    </row>
    <row r="159" spans="4:4" ht="13" x14ac:dyDescent="0.15">
      <c r="D159" s="3"/>
    </row>
    <row r="160" spans="4:4" ht="13" x14ac:dyDescent="0.15">
      <c r="D160" s="3"/>
    </row>
    <row r="161" spans="4:4" ht="13" x14ac:dyDescent="0.15">
      <c r="D161" s="3"/>
    </row>
    <row r="162" spans="4:4" ht="13" x14ac:dyDescent="0.15">
      <c r="D162" s="3"/>
    </row>
    <row r="163" spans="4:4" ht="13" x14ac:dyDescent="0.15">
      <c r="D163" s="3"/>
    </row>
    <row r="164" spans="4:4" ht="13" x14ac:dyDescent="0.15">
      <c r="D164" s="3"/>
    </row>
    <row r="165" spans="4:4" ht="13" x14ac:dyDescent="0.15">
      <c r="D165" s="3"/>
    </row>
    <row r="166" spans="4:4" ht="13" x14ac:dyDescent="0.15">
      <c r="D166" s="3"/>
    </row>
    <row r="167" spans="4:4" ht="13" x14ac:dyDescent="0.15">
      <c r="D167" s="3"/>
    </row>
    <row r="168" spans="4:4" ht="13" x14ac:dyDescent="0.15">
      <c r="D168" s="3"/>
    </row>
    <row r="169" spans="4:4" ht="13" x14ac:dyDescent="0.15">
      <c r="D169" s="3"/>
    </row>
    <row r="170" spans="4:4" ht="13" x14ac:dyDescent="0.15">
      <c r="D170" s="3"/>
    </row>
    <row r="171" spans="4:4" ht="13" x14ac:dyDescent="0.15">
      <c r="D171" s="3"/>
    </row>
    <row r="172" spans="4:4" ht="13" x14ac:dyDescent="0.15">
      <c r="D172" s="3"/>
    </row>
    <row r="173" spans="4:4" ht="13" x14ac:dyDescent="0.15">
      <c r="D173" s="3"/>
    </row>
    <row r="174" spans="4:4" ht="13" x14ac:dyDescent="0.15">
      <c r="D174" s="3"/>
    </row>
    <row r="175" spans="4:4" ht="13" x14ac:dyDescent="0.15">
      <c r="D175" s="3"/>
    </row>
    <row r="176" spans="4:4" ht="13" x14ac:dyDescent="0.15">
      <c r="D176" s="3"/>
    </row>
    <row r="177" spans="4:4" ht="13" x14ac:dyDescent="0.15">
      <c r="D177" s="3"/>
    </row>
    <row r="178" spans="4:4" ht="13" x14ac:dyDescent="0.15">
      <c r="D178" s="3"/>
    </row>
    <row r="179" spans="4:4" ht="13" x14ac:dyDescent="0.15">
      <c r="D179" s="3"/>
    </row>
    <row r="180" spans="4:4" ht="13" x14ac:dyDescent="0.15">
      <c r="D180" s="3"/>
    </row>
    <row r="181" spans="4:4" ht="13" x14ac:dyDescent="0.15">
      <c r="D181" s="3"/>
    </row>
    <row r="182" spans="4:4" ht="13" x14ac:dyDescent="0.15">
      <c r="D182" s="3"/>
    </row>
    <row r="183" spans="4:4" ht="13" x14ac:dyDescent="0.15">
      <c r="D183" s="3"/>
    </row>
    <row r="184" spans="4:4" ht="13" x14ac:dyDescent="0.15">
      <c r="D184" s="3"/>
    </row>
    <row r="185" spans="4:4" ht="13" x14ac:dyDescent="0.15">
      <c r="D185" s="3"/>
    </row>
    <row r="186" spans="4:4" ht="13" x14ac:dyDescent="0.15">
      <c r="D186" s="3"/>
    </row>
    <row r="187" spans="4:4" ht="13" x14ac:dyDescent="0.15">
      <c r="D187" s="3"/>
    </row>
    <row r="188" spans="4:4" ht="13" x14ac:dyDescent="0.15">
      <c r="D188" s="3"/>
    </row>
    <row r="189" spans="4:4" ht="13" x14ac:dyDescent="0.15">
      <c r="D189" s="3"/>
    </row>
    <row r="190" spans="4:4" ht="13" x14ac:dyDescent="0.15">
      <c r="D190" s="3"/>
    </row>
    <row r="191" spans="4:4" ht="13" x14ac:dyDescent="0.15">
      <c r="D191" s="3"/>
    </row>
    <row r="192" spans="4:4" ht="13" x14ac:dyDescent="0.15">
      <c r="D192" s="3"/>
    </row>
    <row r="193" spans="4:4" ht="13" x14ac:dyDescent="0.15">
      <c r="D193" s="3"/>
    </row>
    <row r="194" spans="4:4" ht="13" x14ac:dyDescent="0.15">
      <c r="D194" s="3"/>
    </row>
    <row r="195" spans="4:4" ht="13" x14ac:dyDescent="0.15">
      <c r="D195" s="3"/>
    </row>
    <row r="196" spans="4:4" ht="13" x14ac:dyDescent="0.15">
      <c r="D196" s="3"/>
    </row>
    <row r="197" spans="4:4" ht="13" x14ac:dyDescent="0.15">
      <c r="D197" s="3"/>
    </row>
    <row r="198" spans="4:4" ht="13" x14ac:dyDescent="0.15">
      <c r="D198" s="3"/>
    </row>
    <row r="199" spans="4:4" ht="13" x14ac:dyDescent="0.15">
      <c r="D199" s="3"/>
    </row>
    <row r="200" spans="4:4" ht="13" x14ac:dyDescent="0.15">
      <c r="D200" s="3"/>
    </row>
    <row r="201" spans="4:4" ht="13" x14ac:dyDescent="0.15">
      <c r="D201" s="3"/>
    </row>
    <row r="202" spans="4:4" ht="13" x14ac:dyDescent="0.15">
      <c r="D202" s="3"/>
    </row>
    <row r="203" spans="4:4" ht="13" x14ac:dyDescent="0.15">
      <c r="D203" s="3"/>
    </row>
    <row r="204" spans="4:4" ht="13" x14ac:dyDescent="0.15">
      <c r="D204" s="3"/>
    </row>
    <row r="205" spans="4:4" ht="13" x14ac:dyDescent="0.15">
      <c r="D205" s="3"/>
    </row>
    <row r="206" spans="4:4" ht="13" x14ac:dyDescent="0.15">
      <c r="D206" s="3"/>
    </row>
    <row r="207" spans="4:4" ht="13" x14ac:dyDescent="0.15">
      <c r="D207" s="3"/>
    </row>
    <row r="208" spans="4:4" ht="13" x14ac:dyDescent="0.15">
      <c r="D208" s="3"/>
    </row>
    <row r="209" spans="4:4" ht="13" x14ac:dyDescent="0.15">
      <c r="D209" s="3"/>
    </row>
    <row r="210" spans="4:4" ht="13" x14ac:dyDescent="0.15">
      <c r="D210" s="3"/>
    </row>
    <row r="211" spans="4:4" ht="13" x14ac:dyDescent="0.15">
      <c r="D211" s="3"/>
    </row>
    <row r="212" spans="4:4" ht="13" x14ac:dyDescent="0.15">
      <c r="D212" s="3"/>
    </row>
    <row r="213" spans="4:4" ht="13" x14ac:dyDescent="0.15">
      <c r="D213" s="3"/>
    </row>
    <row r="214" spans="4:4" ht="13" x14ac:dyDescent="0.15">
      <c r="D214" s="3"/>
    </row>
    <row r="215" spans="4:4" ht="13" x14ac:dyDescent="0.15">
      <c r="D215" s="3"/>
    </row>
    <row r="216" spans="4:4" ht="13" x14ac:dyDescent="0.15">
      <c r="D216" s="3"/>
    </row>
    <row r="217" spans="4:4" ht="13" x14ac:dyDescent="0.15">
      <c r="D217" s="3"/>
    </row>
    <row r="218" spans="4:4" ht="13" x14ac:dyDescent="0.15">
      <c r="D218" s="3"/>
    </row>
    <row r="219" spans="4:4" ht="13" x14ac:dyDescent="0.15">
      <c r="D219" s="3"/>
    </row>
    <row r="220" spans="4:4" ht="13" x14ac:dyDescent="0.15">
      <c r="D220" s="3"/>
    </row>
    <row r="221" spans="4:4" ht="13" x14ac:dyDescent="0.15">
      <c r="D221" s="3"/>
    </row>
    <row r="222" spans="4:4" ht="13" x14ac:dyDescent="0.15">
      <c r="D222" s="3"/>
    </row>
    <row r="223" spans="4:4" ht="13" x14ac:dyDescent="0.15">
      <c r="D223" s="3"/>
    </row>
    <row r="224" spans="4:4" ht="13" x14ac:dyDescent="0.15">
      <c r="D224" s="3"/>
    </row>
    <row r="225" spans="4:4" ht="13" x14ac:dyDescent="0.15">
      <c r="D225" s="3"/>
    </row>
    <row r="226" spans="4:4" ht="13" x14ac:dyDescent="0.15">
      <c r="D226" s="3"/>
    </row>
    <row r="227" spans="4:4" ht="13" x14ac:dyDescent="0.15">
      <c r="D227" s="3"/>
    </row>
    <row r="228" spans="4:4" ht="13" x14ac:dyDescent="0.15">
      <c r="D228" s="3"/>
    </row>
    <row r="229" spans="4:4" ht="13" x14ac:dyDescent="0.15">
      <c r="D229" s="3"/>
    </row>
    <row r="230" spans="4:4" ht="13" x14ac:dyDescent="0.15">
      <c r="D230" s="3"/>
    </row>
    <row r="231" spans="4:4" ht="13" x14ac:dyDescent="0.15">
      <c r="D231" s="3"/>
    </row>
    <row r="232" spans="4:4" ht="13" x14ac:dyDescent="0.15">
      <c r="D232" s="3"/>
    </row>
    <row r="233" spans="4:4" ht="13" x14ac:dyDescent="0.15">
      <c r="D233" s="3"/>
    </row>
    <row r="234" spans="4:4" ht="13" x14ac:dyDescent="0.15">
      <c r="D234" s="3"/>
    </row>
    <row r="235" spans="4:4" ht="13" x14ac:dyDescent="0.15">
      <c r="D235" s="3"/>
    </row>
    <row r="236" spans="4:4" ht="13" x14ac:dyDescent="0.15">
      <c r="D236" s="3"/>
    </row>
    <row r="237" spans="4:4" ht="13" x14ac:dyDescent="0.15">
      <c r="D237" s="3"/>
    </row>
    <row r="238" spans="4:4" ht="13" x14ac:dyDescent="0.15">
      <c r="D238" s="3"/>
    </row>
    <row r="239" spans="4:4" ht="13" x14ac:dyDescent="0.15">
      <c r="D239" s="3"/>
    </row>
    <row r="240" spans="4:4" ht="13" x14ac:dyDescent="0.15">
      <c r="D240" s="3"/>
    </row>
    <row r="241" spans="4:4" ht="13" x14ac:dyDescent="0.15">
      <c r="D241" s="3"/>
    </row>
    <row r="242" spans="4:4" ht="13" x14ac:dyDescent="0.15">
      <c r="D242" s="3"/>
    </row>
    <row r="243" spans="4:4" ht="13" x14ac:dyDescent="0.15">
      <c r="D243" s="3"/>
    </row>
    <row r="244" spans="4:4" ht="13" x14ac:dyDescent="0.15">
      <c r="D244" s="3"/>
    </row>
    <row r="245" spans="4:4" ht="13" x14ac:dyDescent="0.15">
      <c r="D245" s="3"/>
    </row>
    <row r="246" spans="4:4" ht="13" x14ac:dyDescent="0.15">
      <c r="D246" s="3"/>
    </row>
    <row r="247" spans="4:4" ht="13" x14ac:dyDescent="0.15">
      <c r="D247" s="3"/>
    </row>
    <row r="248" spans="4:4" ht="13" x14ac:dyDescent="0.15">
      <c r="D248" s="3"/>
    </row>
    <row r="249" spans="4:4" ht="13" x14ac:dyDescent="0.15">
      <c r="D249" s="3"/>
    </row>
    <row r="250" spans="4:4" ht="13" x14ac:dyDescent="0.15">
      <c r="D250" s="3"/>
    </row>
    <row r="251" spans="4:4" ht="13" x14ac:dyDescent="0.15">
      <c r="D251" s="3"/>
    </row>
    <row r="252" spans="4:4" ht="13" x14ac:dyDescent="0.15">
      <c r="D252" s="3"/>
    </row>
    <row r="253" spans="4:4" ht="13" x14ac:dyDescent="0.15">
      <c r="D253" s="3"/>
    </row>
    <row r="254" spans="4:4" ht="13" x14ac:dyDescent="0.15">
      <c r="D254" s="3"/>
    </row>
    <row r="255" spans="4:4" ht="13" x14ac:dyDescent="0.15">
      <c r="D255" s="3"/>
    </row>
    <row r="256" spans="4:4" ht="13" x14ac:dyDescent="0.15">
      <c r="D256" s="3"/>
    </row>
    <row r="257" spans="4:4" ht="13" x14ac:dyDescent="0.15">
      <c r="D257" s="3"/>
    </row>
    <row r="258" spans="4:4" ht="13" x14ac:dyDescent="0.15">
      <c r="D258" s="3"/>
    </row>
    <row r="259" spans="4:4" ht="13" x14ac:dyDescent="0.15">
      <c r="D259" s="3"/>
    </row>
    <row r="260" spans="4:4" ht="13" x14ac:dyDescent="0.15">
      <c r="D260" s="3"/>
    </row>
    <row r="261" spans="4:4" ht="13" x14ac:dyDescent="0.15">
      <c r="D261" s="3"/>
    </row>
    <row r="262" spans="4:4" ht="13" x14ac:dyDescent="0.15">
      <c r="D262" s="3"/>
    </row>
    <row r="263" spans="4:4" ht="13" x14ac:dyDescent="0.15">
      <c r="D263" s="3"/>
    </row>
    <row r="264" spans="4:4" ht="13" x14ac:dyDescent="0.15">
      <c r="D264" s="3"/>
    </row>
    <row r="265" spans="4:4" ht="13" x14ac:dyDescent="0.15">
      <c r="D265" s="3"/>
    </row>
    <row r="266" spans="4:4" ht="13" x14ac:dyDescent="0.15">
      <c r="D266" s="3"/>
    </row>
    <row r="267" spans="4:4" ht="13" x14ac:dyDescent="0.15">
      <c r="D267" s="3"/>
    </row>
    <row r="268" spans="4:4" ht="13" x14ac:dyDescent="0.15">
      <c r="D268" s="3"/>
    </row>
    <row r="269" spans="4:4" ht="13" x14ac:dyDescent="0.15">
      <c r="D269" s="3"/>
    </row>
    <row r="270" spans="4:4" ht="13" x14ac:dyDescent="0.15">
      <c r="D270" s="3"/>
    </row>
    <row r="271" spans="4:4" ht="13" x14ac:dyDescent="0.15">
      <c r="D271" s="3"/>
    </row>
    <row r="272" spans="4:4" ht="13" x14ac:dyDescent="0.15">
      <c r="D272" s="3"/>
    </row>
    <row r="273" spans="4:4" ht="13" x14ac:dyDescent="0.15">
      <c r="D273" s="3"/>
    </row>
    <row r="274" spans="4:4" ht="13" x14ac:dyDescent="0.15">
      <c r="D274" s="3"/>
    </row>
    <row r="275" spans="4:4" ht="13" x14ac:dyDescent="0.15">
      <c r="D275" s="3"/>
    </row>
    <row r="276" spans="4:4" ht="13" x14ac:dyDescent="0.15">
      <c r="D276" s="3"/>
    </row>
    <row r="277" spans="4:4" ht="13" x14ac:dyDescent="0.15">
      <c r="D277" s="3"/>
    </row>
    <row r="278" spans="4:4" ht="13" x14ac:dyDescent="0.15">
      <c r="D278" s="3"/>
    </row>
    <row r="279" spans="4:4" ht="13" x14ac:dyDescent="0.15">
      <c r="D279" s="3"/>
    </row>
    <row r="280" spans="4:4" ht="13" x14ac:dyDescent="0.15">
      <c r="D280" s="3"/>
    </row>
    <row r="281" spans="4:4" ht="13" x14ac:dyDescent="0.15">
      <c r="D281" s="3"/>
    </row>
    <row r="282" spans="4:4" ht="13" x14ac:dyDescent="0.15">
      <c r="D282" s="3"/>
    </row>
    <row r="283" spans="4:4" ht="13" x14ac:dyDescent="0.15">
      <c r="D283" s="3"/>
    </row>
    <row r="284" spans="4:4" ht="13" x14ac:dyDescent="0.15">
      <c r="D284" s="3"/>
    </row>
    <row r="285" spans="4:4" ht="13" x14ac:dyDescent="0.15">
      <c r="D285" s="3"/>
    </row>
    <row r="286" spans="4:4" ht="13" x14ac:dyDescent="0.15">
      <c r="D286" s="3"/>
    </row>
    <row r="287" spans="4:4" ht="13" x14ac:dyDescent="0.15">
      <c r="D287" s="3"/>
    </row>
    <row r="288" spans="4:4" ht="13" x14ac:dyDescent="0.15">
      <c r="D288" s="3"/>
    </row>
    <row r="289" spans="4:4" ht="13" x14ac:dyDescent="0.15">
      <c r="D289" s="3"/>
    </row>
    <row r="290" spans="4:4" ht="13" x14ac:dyDescent="0.15">
      <c r="D290" s="3"/>
    </row>
    <row r="291" spans="4:4" ht="13" x14ac:dyDescent="0.15">
      <c r="D291" s="3"/>
    </row>
    <row r="292" spans="4:4" ht="13" x14ac:dyDescent="0.15">
      <c r="D292" s="3"/>
    </row>
    <row r="293" spans="4:4" ht="13" x14ac:dyDescent="0.15">
      <c r="D293" s="3"/>
    </row>
    <row r="294" spans="4:4" ht="13" x14ac:dyDescent="0.15">
      <c r="D294" s="3"/>
    </row>
    <row r="295" spans="4:4" ht="13" x14ac:dyDescent="0.15">
      <c r="D295" s="3"/>
    </row>
    <row r="296" spans="4:4" ht="13" x14ac:dyDescent="0.15">
      <c r="D296" s="3"/>
    </row>
    <row r="297" spans="4:4" ht="13" x14ac:dyDescent="0.15">
      <c r="D297" s="3"/>
    </row>
    <row r="298" spans="4:4" ht="13" x14ac:dyDescent="0.15">
      <c r="D298" s="3"/>
    </row>
    <row r="299" spans="4:4" ht="13" x14ac:dyDescent="0.15">
      <c r="D299" s="3"/>
    </row>
    <row r="300" spans="4:4" ht="13" x14ac:dyDescent="0.15">
      <c r="D300" s="3"/>
    </row>
    <row r="301" spans="4:4" ht="13" x14ac:dyDescent="0.15">
      <c r="D301" s="3"/>
    </row>
    <row r="302" spans="4:4" ht="13" x14ac:dyDescent="0.15">
      <c r="D302" s="3"/>
    </row>
    <row r="303" spans="4:4" ht="13" x14ac:dyDescent="0.15">
      <c r="D303" s="3"/>
    </row>
    <row r="304" spans="4:4" ht="13" x14ac:dyDescent="0.15">
      <c r="D304" s="3"/>
    </row>
    <row r="305" spans="4:4" ht="13" x14ac:dyDescent="0.15">
      <c r="D305" s="3"/>
    </row>
    <row r="306" spans="4:4" ht="13" x14ac:dyDescent="0.15">
      <c r="D306" s="3"/>
    </row>
    <row r="307" spans="4:4" ht="13" x14ac:dyDescent="0.15">
      <c r="D307" s="3"/>
    </row>
    <row r="308" spans="4:4" ht="13" x14ac:dyDescent="0.15">
      <c r="D308" s="3"/>
    </row>
    <row r="309" spans="4:4" ht="13" x14ac:dyDescent="0.15">
      <c r="D309" s="3"/>
    </row>
    <row r="310" spans="4:4" ht="13" x14ac:dyDescent="0.15">
      <c r="D310" s="3"/>
    </row>
    <row r="311" spans="4:4" ht="13" x14ac:dyDescent="0.15">
      <c r="D311" s="3"/>
    </row>
    <row r="312" spans="4:4" ht="13" x14ac:dyDescent="0.15">
      <c r="D312" s="3"/>
    </row>
    <row r="313" spans="4:4" ht="13" x14ac:dyDescent="0.15">
      <c r="D313" s="3"/>
    </row>
    <row r="314" spans="4:4" ht="13" x14ac:dyDescent="0.15">
      <c r="D314" s="3"/>
    </row>
    <row r="315" spans="4:4" ht="13" x14ac:dyDescent="0.15">
      <c r="D315" s="3"/>
    </row>
    <row r="316" spans="4:4" ht="13" x14ac:dyDescent="0.15">
      <c r="D316" s="3"/>
    </row>
    <row r="317" spans="4:4" ht="13" x14ac:dyDescent="0.15">
      <c r="D317" s="3"/>
    </row>
    <row r="318" spans="4:4" ht="13" x14ac:dyDescent="0.15">
      <c r="D318" s="3"/>
    </row>
    <row r="319" spans="4:4" ht="13" x14ac:dyDescent="0.15">
      <c r="D319" s="3"/>
    </row>
    <row r="320" spans="4:4" ht="13" x14ac:dyDescent="0.15">
      <c r="D320" s="3"/>
    </row>
    <row r="321" spans="4:4" ht="13" x14ac:dyDescent="0.15">
      <c r="D321" s="3"/>
    </row>
    <row r="322" spans="4:4" ht="13" x14ac:dyDescent="0.15">
      <c r="D322" s="3"/>
    </row>
    <row r="323" spans="4:4" ht="13" x14ac:dyDescent="0.15">
      <c r="D323" s="3"/>
    </row>
    <row r="324" spans="4:4" ht="13" x14ac:dyDescent="0.15">
      <c r="D324" s="3"/>
    </row>
    <row r="325" spans="4:4" ht="13" x14ac:dyDescent="0.15">
      <c r="D325" s="3"/>
    </row>
    <row r="326" spans="4:4" ht="13" x14ac:dyDescent="0.15">
      <c r="D326" s="3"/>
    </row>
    <row r="327" spans="4:4" ht="13" x14ac:dyDescent="0.15">
      <c r="D327" s="3"/>
    </row>
    <row r="328" spans="4:4" ht="13" x14ac:dyDescent="0.15">
      <c r="D328" s="3"/>
    </row>
    <row r="329" spans="4:4" ht="13" x14ac:dyDescent="0.15">
      <c r="D329" s="3"/>
    </row>
    <row r="330" spans="4:4" ht="13" x14ac:dyDescent="0.15">
      <c r="D330" s="3"/>
    </row>
    <row r="331" spans="4:4" ht="13" x14ac:dyDescent="0.15">
      <c r="D331" s="3"/>
    </row>
    <row r="332" spans="4:4" ht="13" x14ac:dyDescent="0.15">
      <c r="D332" s="3"/>
    </row>
    <row r="333" spans="4:4" ht="13" x14ac:dyDescent="0.15">
      <c r="D333" s="3"/>
    </row>
    <row r="334" spans="4:4" ht="13" x14ac:dyDescent="0.15">
      <c r="D334" s="3"/>
    </row>
    <row r="335" spans="4:4" ht="13" x14ac:dyDescent="0.15">
      <c r="D335" s="3"/>
    </row>
    <row r="336" spans="4:4" ht="13" x14ac:dyDescent="0.15">
      <c r="D336" s="3"/>
    </row>
    <row r="337" spans="4:4" ht="13" x14ac:dyDescent="0.15">
      <c r="D337" s="3"/>
    </row>
    <row r="338" spans="4:4" ht="13" x14ac:dyDescent="0.15">
      <c r="D338" s="3"/>
    </row>
    <row r="339" spans="4:4" ht="13" x14ac:dyDescent="0.15">
      <c r="D339" s="3"/>
    </row>
    <row r="340" spans="4:4" ht="13" x14ac:dyDescent="0.15">
      <c r="D340" s="3"/>
    </row>
    <row r="341" spans="4:4" ht="13" x14ac:dyDescent="0.15">
      <c r="D341" s="3"/>
    </row>
    <row r="342" spans="4:4" ht="13" x14ac:dyDescent="0.15">
      <c r="D342" s="3"/>
    </row>
    <row r="343" spans="4:4" ht="13" x14ac:dyDescent="0.15">
      <c r="D343" s="3"/>
    </row>
    <row r="344" spans="4:4" ht="13" x14ac:dyDescent="0.15">
      <c r="D344" s="3"/>
    </row>
    <row r="345" spans="4:4" ht="13" x14ac:dyDescent="0.15">
      <c r="D345" s="3"/>
    </row>
    <row r="346" spans="4:4" ht="13" x14ac:dyDescent="0.15">
      <c r="D346" s="3"/>
    </row>
    <row r="347" spans="4:4" ht="13" x14ac:dyDescent="0.15">
      <c r="D347" s="3"/>
    </row>
    <row r="348" spans="4:4" ht="13" x14ac:dyDescent="0.15">
      <c r="D348" s="3"/>
    </row>
    <row r="349" spans="4:4" ht="13" x14ac:dyDescent="0.15">
      <c r="D349" s="3"/>
    </row>
    <row r="350" spans="4:4" ht="13" x14ac:dyDescent="0.15">
      <c r="D350" s="3"/>
    </row>
    <row r="351" spans="4:4" ht="13" x14ac:dyDescent="0.15">
      <c r="D351" s="3"/>
    </row>
    <row r="352" spans="4:4" ht="13" x14ac:dyDescent="0.15">
      <c r="D352" s="3"/>
    </row>
    <row r="353" spans="4:4" ht="13" x14ac:dyDescent="0.15">
      <c r="D353" s="3"/>
    </row>
    <row r="354" spans="4:4" ht="13" x14ac:dyDescent="0.15">
      <c r="D354" s="3"/>
    </row>
    <row r="355" spans="4:4" ht="13" x14ac:dyDescent="0.15">
      <c r="D355" s="3"/>
    </row>
    <row r="356" spans="4:4" ht="13" x14ac:dyDescent="0.15">
      <c r="D356" s="3"/>
    </row>
    <row r="357" spans="4:4" ht="13" x14ac:dyDescent="0.15">
      <c r="D357" s="3"/>
    </row>
    <row r="358" spans="4:4" ht="13" x14ac:dyDescent="0.15">
      <c r="D358" s="3"/>
    </row>
    <row r="359" spans="4:4" ht="13" x14ac:dyDescent="0.15">
      <c r="D359" s="3"/>
    </row>
    <row r="360" spans="4:4" ht="13" x14ac:dyDescent="0.15">
      <c r="D360" s="3"/>
    </row>
    <row r="361" spans="4:4" ht="13" x14ac:dyDescent="0.15">
      <c r="D361" s="3"/>
    </row>
    <row r="362" spans="4:4" ht="13" x14ac:dyDescent="0.15">
      <c r="D362" s="3"/>
    </row>
    <row r="363" spans="4:4" ht="13" x14ac:dyDescent="0.15">
      <c r="D363" s="3"/>
    </row>
    <row r="364" spans="4:4" ht="13" x14ac:dyDescent="0.15">
      <c r="D364" s="3"/>
    </row>
    <row r="365" spans="4:4" ht="13" x14ac:dyDescent="0.15">
      <c r="D365" s="3"/>
    </row>
    <row r="366" spans="4:4" ht="13" x14ac:dyDescent="0.15">
      <c r="D366" s="3"/>
    </row>
    <row r="367" spans="4:4" ht="13" x14ac:dyDescent="0.15">
      <c r="D367" s="3"/>
    </row>
    <row r="368" spans="4:4" ht="13" x14ac:dyDescent="0.15">
      <c r="D368" s="3"/>
    </row>
    <row r="369" spans="4:4" ht="13" x14ac:dyDescent="0.15">
      <c r="D369" s="3"/>
    </row>
    <row r="370" spans="4:4" ht="13" x14ac:dyDescent="0.15">
      <c r="D370" s="3"/>
    </row>
    <row r="371" spans="4:4" ht="13" x14ac:dyDescent="0.15">
      <c r="D371" s="3"/>
    </row>
    <row r="372" spans="4:4" ht="13" x14ac:dyDescent="0.15">
      <c r="D372" s="3"/>
    </row>
    <row r="373" spans="4:4" ht="13" x14ac:dyDescent="0.15">
      <c r="D373" s="3"/>
    </row>
    <row r="374" spans="4:4" ht="13" x14ac:dyDescent="0.15">
      <c r="D374" s="3"/>
    </row>
    <row r="375" spans="4:4" ht="13" x14ac:dyDescent="0.15">
      <c r="D375" s="3"/>
    </row>
    <row r="376" spans="4:4" ht="13" x14ac:dyDescent="0.15">
      <c r="D376" s="3"/>
    </row>
    <row r="377" spans="4:4" ht="13" x14ac:dyDescent="0.15">
      <c r="D377" s="3"/>
    </row>
    <row r="378" spans="4:4" ht="13" x14ac:dyDescent="0.15">
      <c r="D378" s="3"/>
    </row>
    <row r="379" spans="4:4" ht="13" x14ac:dyDescent="0.15">
      <c r="D379" s="3"/>
    </row>
    <row r="380" spans="4:4" ht="13" x14ac:dyDescent="0.15">
      <c r="D380" s="3"/>
    </row>
    <row r="381" spans="4:4" ht="13" x14ac:dyDescent="0.15">
      <c r="D381" s="3"/>
    </row>
    <row r="382" spans="4:4" ht="13" x14ac:dyDescent="0.15">
      <c r="D382" s="3"/>
    </row>
    <row r="383" spans="4:4" ht="13" x14ac:dyDescent="0.15">
      <c r="D383" s="3"/>
    </row>
    <row r="384" spans="4:4" ht="13" x14ac:dyDescent="0.15">
      <c r="D384" s="3"/>
    </row>
    <row r="385" spans="4:4" ht="13" x14ac:dyDescent="0.15">
      <c r="D385" s="3"/>
    </row>
    <row r="386" spans="4:4" ht="13" x14ac:dyDescent="0.15">
      <c r="D386" s="3"/>
    </row>
    <row r="387" spans="4:4" ht="13" x14ac:dyDescent="0.15">
      <c r="D387" s="3"/>
    </row>
    <row r="388" spans="4:4" ht="13" x14ac:dyDescent="0.15">
      <c r="D388" s="3"/>
    </row>
    <row r="389" spans="4:4" ht="13" x14ac:dyDescent="0.15">
      <c r="D389" s="3"/>
    </row>
    <row r="390" spans="4:4" ht="13" x14ac:dyDescent="0.15">
      <c r="D390" s="3"/>
    </row>
    <row r="391" spans="4:4" ht="13" x14ac:dyDescent="0.15">
      <c r="D391" s="3"/>
    </row>
    <row r="392" spans="4:4" ht="13" x14ac:dyDescent="0.15">
      <c r="D392" s="3"/>
    </row>
    <row r="393" spans="4:4" ht="13" x14ac:dyDescent="0.15">
      <c r="D393" s="3"/>
    </row>
    <row r="394" spans="4:4" ht="13" x14ac:dyDescent="0.15">
      <c r="D394" s="3"/>
    </row>
    <row r="395" spans="4:4" ht="13" x14ac:dyDescent="0.15">
      <c r="D395" s="3"/>
    </row>
    <row r="396" spans="4:4" ht="13" x14ac:dyDescent="0.15">
      <c r="D396" s="3"/>
    </row>
    <row r="397" spans="4:4" ht="13" x14ac:dyDescent="0.15">
      <c r="D397" s="3"/>
    </row>
    <row r="398" spans="4:4" ht="13" x14ac:dyDescent="0.15">
      <c r="D398" s="3"/>
    </row>
    <row r="399" spans="4:4" ht="13" x14ac:dyDescent="0.15">
      <c r="D399" s="3"/>
    </row>
    <row r="400" spans="4:4" ht="13" x14ac:dyDescent="0.15">
      <c r="D400" s="3"/>
    </row>
    <row r="401" spans="4:4" ht="13" x14ac:dyDescent="0.15">
      <c r="D401" s="3"/>
    </row>
    <row r="402" spans="4:4" ht="13" x14ac:dyDescent="0.15">
      <c r="D402" s="3"/>
    </row>
    <row r="403" spans="4:4" ht="13" x14ac:dyDescent="0.15">
      <c r="D403" s="3"/>
    </row>
    <row r="404" spans="4:4" ht="13" x14ac:dyDescent="0.15">
      <c r="D404" s="3"/>
    </row>
    <row r="405" spans="4:4" ht="13" x14ac:dyDescent="0.15">
      <c r="D405" s="3"/>
    </row>
    <row r="406" spans="4:4" ht="13" x14ac:dyDescent="0.15">
      <c r="D406" s="3"/>
    </row>
    <row r="407" spans="4:4" ht="13" x14ac:dyDescent="0.15">
      <c r="D407" s="3"/>
    </row>
    <row r="408" spans="4:4" ht="13" x14ac:dyDescent="0.15">
      <c r="D408" s="3"/>
    </row>
    <row r="409" spans="4:4" ht="13" x14ac:dyDescent="0.15">
      <c r="D409" s="3"/>
    </row>
    <row r="410" spans="4:4" ht="13" x14ac:dyDescent="0.15">
      <c r="D410" s="3"/>
    </row>
    <row r="411" spans="4:4" ht="13" x14ac:dyDescent="0.15">
      <c r="D411" s="3"/>
    </row>
    <row r="412" spans="4:4" ht="13" x14ac:dyDescent="0.15">
      <c r="D412" s="3"/>
    </row>
    <row r="413" spans="4:4" ht="13" x14ac:dyDescent="0.15">
      <c r="D413" s="3"/>
    </row>
    <row r="414" spans="4:4" ht="13" x14ac:dyDescent="0.15">
      <c r="D414" s="3"/>
    </row>
    <row r="415" spans="4:4" ht="13" x14ac:dyDescent="0.15">
      <c r="D415" s="3"/>
    </row>
    <row r="416" spans="4:4" ht="13" x14ac:dyDescent="0.15">
      <c r="D416" s="3"/>
    </row>
    <row r="417" spans="4:4" ht="13" x14ac:dyDescent="0.15">
      <c r="D417" s="3"/>
    </row>
    <row r="418" spans="4:4" ht="13" x14ac:dyDescent="0.15">
      <c r="D418" s="3"/>
    </row>
    <row r="419" spans="4:4" ht="13" x14ac:dyDescent="0.15">
      <c r="D419" s="3"/>
    </row>
    <row r="420" spans="4:4" ht="13" x14ac:dyDescent="0.15">
      <c r="D420" s="3"/>
    </row>
    <row r="421" spans="4:4" ht="13" x14ac:dyDescent="0.15">
      <c r="D421" s="3"/>
    </row>
    <row r="422" spans="4:4" ht="13" x14ac:dyDescent="0.15">
      <c r="D422" s="3"/>
    </row>
    <row r="423" spans="4:4" ht="13" x14ac:dyDescent="0.15">
      <c r="D423" s="3"/>
    </row>
    <row r="424" spans="4:4" ht="13" x14ac:dyDescent="0.15">
      <c r="D424" s="3"/>
    </row>
    <row r="425" spans="4:4" ht="13" x14ac:dyDescent="0.15">
      <c r="D425" s="3"/>
    </row>
    <row r="426" spans="4:4" ht="13" x14ac:dyDescent="0.15">
      <c r="D426" s="3"/>
    </row>
    <row r="427" spans="4:4" ht="13" x14ac:dyDescent="0.15">
      <c r="D427" s="3"/>
    </row>
    <row r="428" spans="4:4" ht="13" x14ac:dyDescent="0.15">
      <c r="D428" s="3"/>
    </row>
    <row r="429" spans="4:4" ht="13" x14ac:dyDescent="0.15">
      <c r="D429" s="3"/>
    </row>
    <row r="430" spans="4:4" ht="13" x14ac:dyDescent="0.15">
      <c r="D430" s="3"/>
    </row>
    <row r="431" spans="4:4" ht="13" x14ac:dyDescent="0.15">
      <c r="D431" s="3"/>
    </row>
    <row r="432" spans="4:4" ht="13" x14ac:dyDescent="0.15">
      <c r="D432" s="3"/>
    </row>
    <row r="433" spans="4:4" ht="13" x14ac:dyDescent="0.15">
      <c r="D433" s="3"/>
    </row>
    <row r="434" spans="4:4" ht="13" x14ac:dyDescent="0.15">
      <c r="D434" s="3"/>
    </row>
    <row r="435" spans="4:4" ht="13" x14ac:dyDescent="0.15">
      <c r="D435" s="3"/>
    </row>
    <row r="436" spans="4:4" ht="13" x14ac:dyDescent="0.15">
      <c r="D436" s="3"/>
    </row>
    <row r="437" spans="4:4" ht="13" x14ac:dyDescent="0.15">
      <c r="D437" s="3"/>
    </row>
    <row r="438" spans="4:4" ht="13" x14ac:dyDescent="0.15">
      <c r="D438" s="3"/>
    </row>
    <row r="439" spans="4:4" ht="13" x14ac:dyDescent="0.15">
      <c r="D439" s="3"/>
    </row>
    <row r="440" spans="4:4" ht="13" x14ac:dyDescent="0.15">
      <c r="D440" s="3"/>
    </row>
    <row r="441" spans="4:4" ht="13" x14ac:dyDescent="0.15">
      <c r="D441" s="3"/>
    </row>
    <row r="442" spans="4:4" ht="13" x14ac:dyDescent="0.15">
      <c r="D442" s="3"/>
    </row>
    <row r="443" spans="4:4" ht="13" x14ac:dyDescent="0.15">
      <c r="D443" s="3"/>
    </row>
    <row r="444" spans="4:4" ht="13" x14ac:dyDescent="0.15">
      <c r="D444" s="3"/>
    </row>
    <row r="445" spans="4:4" ht="13" x14ac:dyDescent="0.15">
      <c r="D445" s="3"/>
    </row>
    <row r="446" spans="4:4" ht="13" x14ac:dyDescent="0.15">
      <c r="D446" s="3"/>
    </row>
    <row r="447" spans="4:4" ht="13" x14ac:dyDescent="0.15">
      <c r="D447" s="3"/>
    </row>
    <row r="448" spans="4:4" ht="13" x14ac:dyDescent="0.15">
      <c r="D448" s="3"/>
    </row>
    <row r="449" spans="4:4" ht="13" x14ac:dyDescent="0.15">
      <c r="D449" s="3"/>
    </row>
    <row r="450" spans="4:4" ht="13" x14ac:dyDescent="0.15">
      <c r="D450" s="3"/>
    </row>
    <row r="451" spans="4:4" ht="13" x14ac:dyDescent="0.15">
      <c r="D451" s="3"/>
    </row>
    <row r="452" spans="4:4" ht="13" x14ac:dyDescent="0.15">
      <c r="D452" s="3"/>
    </row>
    <row r="453" spans="4:4" ht="13" x14ac:dyDescent="0.15">
      <c r="D453" s="3"/>
    </row>
    <row r="454" spans="4:4" ht="13" x14ac:dyDescent="0.15">
      <c r="D454" s="3"/>
    </row>
    <row r="455" spans="4:4" ht="13" x14ac:dyDescent="0.15">
      <c r="D455" s="3"/>
    </row>
    <row r="456" spans="4:4" ht="13" x14ac:dyDescent="0.15">
      <c r="D456" s="3"/>
    </row>
    <row r="457" spans="4:4" ht="13" x14ac:dyDescent="0.15">
      <c r="D457" s="3"/>
    </row>
    <row r="458" spans="4:4" ht="13" x14ac:dyDescent="0.15">
      <c r="D458" s="3"/>
    </row>
    <row r="459" spans="4:4" ht="13" x14ac:dyDescent="0.15">
      <c r="D459" s="3"/>
    </row>
    <row r="460" spans="4:4" ht="13" x14ac:dyDescent="0.15">
      <c r="D460" s="3"/>
    </row>
    <row r="461" spans="4:4" ht="13" x14ac:dyDescent="0.15">
      <c r="D461" s="3"/>
    </row>
    <row r="462" spans="4:4" ht="13" x14ac:dyDescent="0.15">
      <c r="D462" s="3"/>
    </row>
    <row r="463" spans="4:4" ht="13" x14ac:dyDescent="0.15">
      <c r="D463" s="3"/>
    </row>
    <row r="464" spans="4:4" ht="13" x14ac:dyDescent="0.15">
      <c r="D464" s="3"/>
    </row>
    <row r="465" spans="4:4" ht="13" x14ac:dyDescent="0.15">
      <c r="D465" s="3"/>
    </row>
    <row r="466" spans="4:4" ht="13" x14ac:dyDescent="0.15">
      <c r="D466" s="3"/>
    </row>
    <row r="467" spans="4:4" ht="13" x14ac:dyDescent="0.15">
      <c r="D467" s="3"/>
    </row>
    <row r="468" spans="4:4" ht="13" x14ac:dyDescent="0.15">
      <c r="D468" s="3"/>
    </row>
    <row r="469" spans="4:4" ht="13" x14ac:dyDescent="0.15">
      <c r="D469" s="3"/>
    </row>
    <row r="470" spans="4:4" ht="13" x14ac:dyDescent="0.15">
      <c r="D470" s="3"/>
    </row>
    <row r="471" spans="4:4" ht="13" x14ac:dyDescent="0.15">
      <c r="D471" s="3"/>
    </row>
    <row r="472" spans="4:4" ht="13" x14ac:dyDescent="0.15">
      <c r="D472" s="3"/>
    </row>
    <row r="473" spans="4:4" ht="13" x14ac:dyDescent="0.15">
      <c r="D473" s="3"/>
    </row>
    <row r="474" spans="4:4" ht="13" x14ac:dyDescent="0.15">
      <c r="D474" s="3"/>
    </row>
    <row r="475" spans="4:4" ht="13" x14ac:dyDescent="0.15">
      <c r="D475" s="3"/>
    </row>
    <row r="476" spans="4:4" ht="13" x14ac:dyDescent="0.15">
      <c r="D476" s="3"/>
    </row>
    <row r="477" spans="4:4" ht="13" x14ac:dyDescent="0.15">
      <c r="D477" s="3"/>
    </row>
    <row r="478" spans="4:4" ht="13" x14ac:dyDescent="0.15">
      <c r="D478" s="3"/>
    </row>
    <row r="479" spans="4:4" ht="13" x14ac:dyDescent="0.15">
      <c r="D479" s="3"/>
    </row>
    <row r="480" spans="4:4" ht="13" x14ac:dyDescent="0.15">
      <c r="D480" s="3"/>
    </row>
    <row r="481" spans="4:4" ht="13" x14ac:dyDescent="0.15">
      <c r="D481" s="3"/>
    </row>
    <row r="482" spans="4:4" ht="13" x14ac:dyDescent="0.15">
      <c r="D482" s="3"/>
    </row>
    <row r="483" spans="4:4" ht="13" x14ac:dyDescent="0.15">
      <c r="D483" s="3"/>
    </row>
    <row r="484" spans="4:4" ht="13" x14ac:dyDescent="0.15">
      <c r="D484" s="3"/>
    </row>
    <row r="485" spans="4:4" ht="13" x14ac:dyDescent="0.15">
      <c r="D485" s="3"/>
    </row>
    <row r="486" spans="4:4" ht="13" x14ac:dyDescent="0.15">
      <c r="D486" s="3"/>
    </row>
    <row r="487" spans="4:4" ht="13" x14ac:dyDescent="0.15">
      <c r="D487" s="3"/>
    </row>
    <row r="488" spans="4:4" ht="13" x14ac:dyDescent="0.15">
      <c r="D488" s="3"/>
    </row>
    <row r="489" spans="4:4" ht="13" x14ac:dyDescent="0.15">
      <c r="D489" s="3"/>
    </row>
    <row r="490" spans="4:4" ht="13" x14ac:dyDescent="0.15">
      <c r="D490" s="3"/>
    </row>
    <row r="491" spans="4:4" ht="13" x14ac:dyDescent="0.15">
      <c r="D491" s="3"/>
    </row>
    <row r="492" spans="4:4" ht="13" x14ac:dyDescent="0.15">
      <c r="D492" s="3"/>
    </row>
    <row r="493" spans="4:4" ht="13" x14ac:dyDescent="0.15">
      <c r="D493" s="3"/>
    </row>
    <row r="494" spans="4:4" ht="13" x14ac:dyDescent="0.15">
      <c r="D494" s="3"/>
    </row>
    <row r="495" spans="4:4" ht="13" x14ac:dyDescent="0.15">
      <c r="D495" s="3"/>
    </row>
    <row r="496" spans="4:4" ht="13" x14ac:dyDescent="0.15">
      <c r="D496" s="3"/>
    </row>
    <row r="497" spans="4:4" ht="13" x14ac:dyDescent="0.15">
      <c r="D497" s="3"/>
    </row>
    <row r="498" spans="4:4" ht="13" x14ac:dyDescent="0.15">
      <c r="D498" s="3"/>
    </row>
    <row r="499" spans="4:4" ht="13" x14ac:dyDescent="0.15">
      <c r="D499" s="3"/>
    </row>
    <row r="500" spans="4:4" ht="13" x14ac:dyDescent="0.15">
      <c r="D500" s="3"/>
    </row>
    <row r="501" spans="4:4" ht="13" x14ac:dyDescent="0.15">
      <c r="D501" s="3"/>
    </row>
    <row r="502" spans="4:4" ht="13" x14ac:dyDescent="0.15">
      <c r="D502" s="3"/>
    </row>
    <row r="503" spans="4:4" ht="13" x14ac:dyDescent="0.15">
      <c r="D503" s="3"/>
    </row>
    <row r="504" spans="4:4" ht="13" x14ac:dyDescent="0.15">
      <c r="D504" s="3"/>
    </row>
    <row r="505" spans="4:4" ht="13" x14ac:dyDescent="0.15">
      <c r="D505" s="3"/>
    </row>
    <row r="506" spans="4:4" ht="13" x14ac:dyDescent="0.15">
      <c r="D506" s="3"/>
    </row>
    <row r="507" spans="4:4" ht="13" x14ac:dyDescent="0.15">
      <c r="D507" s="3"/>
    </row>
    <row r="508" spans="4:4" ht="13" x14ac:dyDescent="0.15">
      <c r="D508" s="3"/>
    </row>
    <row r="509" spans="4:4" ht="13" x14ac:dyDescent="0.15">
      <c r="D509" s="3"/>
    </row>
    <row r="510" spans="4:4" ht="13" x14ac:dyDescent="0.15">
      <c r="D510" s="3"/>
    </row>
    <row r="511" spans="4:4" ht="13" x14ac:dyDescent="0.15">
      <c r="D511" s="3"/>
    </row>
    <row r="512" spans="4:4" ht="13" x14ac:dyDescent="0.15">
      <c r="D512" s="3"/>
    </row>
    <row r="513" spans="4:4" ht="13" x14ac:dyDescent="0.15">
      <c r="D513" s="3"/>
    </row>
    <row r="514" spans="4:4" ht="13" x14ac:dyDescent="0.15">
      <c r="D514" s="3"/>
    </row>
    <row r="515" spans="4:4" ht="13" x14ac:dyDescent="0.15">
      <c r="D515" s="3"/>
    </row>
    <row r="516" spans="4:4" ht="13" x14ac:dyDescent="0.15">
      <c r="D516" s="3"/>
    </row>
    <row r="517" spans="4:4" ht="13" x14ac:dyDescent="0.15">
      <c r="D517" s="3"/>
    </row>
    <row r="518" spans="4:4" ht="13" x14ac:dyDescent="0.15">
      <c r="D518" s="3"/>
    </row>
    <row r="519" spans="4:4" ht="13" x14ac:dyDescent="0.15">
      <c r="D519" s="3"/>
    </row>
    <row r="520" spans="4:4" ht="13" x14ac:dyDescent="0.15">
      <c r="D520" s="3"/>
    </row>
    <row r="521" spans="4:4" ht="13" x14ac:dyDescent="0.15">
      <c r="D521" s="3"/>
    </row>
    <row r="522" spans="4:4" ht="13" x14ac:dyDescent="0.15">
      <c r="D522" s="3"/>
    </row>
    <row r="523" spans="4:4" ht="13" x14ac:dyDescent="0.15">
      <c r="D523" s="3"/>
    </row>
    <row r="524" spans="4:4" ht="13" x14ac:dyDescent="0.15">
      <c r="D524" s="3"/>
    </row>
    <row r="525" spans="4:4" ht="13" x14ac:dyDescent="0.15">
      <c r="D525" s="3"/>
    </row>
    <row r="526" spans="4:4" ht="13" x14ac:dyDescent="0.15">
      <c r="D526" s="3"/>
    </row>
    <row r="527" spans="4:4" ht="13" x14ac:dyDescent="0.15">
      <c r="D527" s="3"/>
    </row>
    <row r="528" spans="4:4" ht="13" x14ac:dyDescent="0.15">
      <c r="D528" s="3"/>
    </row>
    <row r="529" spans="4:4" ht="13" x14ac:dyDescent="0.15">
      <c r="D529" s="3"/>
    </row>
    <row r="530" spans="4:4" ht="13" x14ac:dyDescent="0.15">
      <c r="D530" s="3"/>
    </row>
    <row r="531" spans="4:4" ht="13" x14ac:dyDescent="0.15">
      <c r="D531" s="3"/>
    </row>
    <row r="532" spans="4:4" ht="13" x14ac:dyDescent="0.15">
      <c r="D532" s="3"/>
    </row>
    <row r="533" spans="4:4" ht="13" x14ac:dyDescent="0.15">
      <c r="D533" s="3"/>
    </row>
    <row r="534" spans="4:4" ht="13" x14ac:dyDescent="0.15">
      <c r="D534" s="3"/>
    </row>
    <row r="535" spans="4:4" ht="13" x14ac:dyDescent="0.15">
      <c r="D535" s="3"/>
    </row>
    <row r="536" spans="4:4" ht="13" x14ac:dyDescent="0.15">
      <c r="D536" s="3"/>
    </row>
    <row r="537" spans="4:4" ht="13" x14ac:dyDescent="0.15">
      <c r="D537" s="3"/>
    </row>
    <row r="538" spans="4:4" ht="13" x14ac:dyDescent="0.15">
      <c r="D538" s="3"/>
    </row>
    <row r="539" spans="4:4" ht="13" x14ac:dyDescent="0.15">
      <c r="D539" s="3"/>
    </row>
    <row r="540" spans="4:4" ht="13" x14ac:dyDescent="0.15">
      <c r="D540" s="3"/>
    </row>
    <row r="541" spans="4:4" ht="13" x14ac:dyDescent="0.15">
      <c r="D541" s="3"/>
    </row>
    <row r="542" spans="4:4" ht="13" x14ac:dyDescent="0.15">
      <c r="D542" s="3"/>
    </row>
    <row r="543" spans="4:4" ht="13" x14ac:dyDescent="0.15">
      <c r="D543" s="3"/>
    </row>
    <row r="544" spans="4:4" ht="13" x14ac:dyDescent="0.15">
      <c r="D544" s="3"/>
    </row>
    <row r="545" spans="4:4" ht="13" x14ac:dyDescent="0.15">
      <c r="D545" s="3"/>
    </row>
    <row r="546" spans="4:4" ht="13" x14ac:dyDescent="0.15">
      <c r="D546" s="3"/>
    </row>
    <row r="547" spans="4:4" ht="13" x14ac:dyDescent="0.15">
      <c r="D547" s="3"/>
    </row>
    <row r="548" spans="4:4" ht="13" x14ac:dyDescent="0.15">
      <c r="D548" s="3"/>
    </row>
    <row r="549" spans="4:4" ht="13" x14ac:dyDescent="0.15">
      <c r="D549" s="3"/>
    </row>
    <row r="550" spans="4:4" ht="13" x14ac:dyDescent="0.15">
      <c r="D550" s="3"/>
    </row>
    <row r="551" spans="4:4" ht="13" x14ac:dyDescent="0.15">
      <c r="D551" s="3"/>
    </row>
    <row r="552" spans="4:4" ht="13" x14ac:dyDescent="0.15">
      <c r="D552" s="3"/>
    </row>
    <row r="553" spans="4:4" ht="13" x14ac:dyDescent="0.15">
      <c r="D553" s="3"/>
    </row>
    <row r="554" spans="4:4" ht="13" x14ac:dyDescent="0.15">
      <c r="D554" s="3"/>
    </row>
    <row r="555" spans="4:4" ht="13" x14ac:dyDescent="0.15">
      <c r="D555" s="3"/>
    </row>
    <row r="556" spans="4:4" ht="13" x14ac:dyDescent="0.15">
      <c r="D556" s="3"/>
    </row>
    <row r="557" spans="4:4" ht="13" x14ac:dyDescent="0.15">
      <c r="D557" s="3"/>
    </row>
    <row r="558" spans="4:4" ht="13" x14ac:dyDescent="0.15">
      <c r="D558" s="3"/>
    </row>
    <row r="559" spans="4:4" ht="13" x14ac:dyDescent="0.15">
      <c r="D559" s="3"/>
    </row>
    <row r="560" spans="4:4" ht="13" x14ac:dyDescent="0.15">
      <c r="D560" s="3"/>
    </row>
    <row r="561" spans="4:4" ht="13" x14ac:dyDescent="0.15">
      <c r="D561" s="3"/>
    </row>
    <row r="562" spans="4:4" ht="13" x14ac:dyDescent="0.15">
      <c r="D562" s="3"/>
    </row>
    <row r="563" spans="4:4" ht="13" x14ac:dyDescent="0.15">
      <c r="D563" s="3"/>
    </row>
    <row r="564" spans="4:4" ht="13" x14ac:dyDescent="0.15">
      <c r="D564" s="3"/>
    </row>
    <row r="565" spans="4:4" ht="13" x14ac:dyDescent="0.15">
      <c r="D565" s="3"/>
    </row>
    <row r="566" spans="4:4" ht="13" x14ac:dyDescent="0.15">
      <c r="D566" s="3"/>
    </row>
    <row r="567" spans="4:4" ht="13" x14ac:dyDescent="0.15">
      <c r="D567" s="3"/>
    </row>
    <row r="568" spans="4:4" ht="13" x14ac:dyDescent="0.15">
      <c r="D568" s="3"/>
    </row>
    <row r="569" spans="4:4" ht="13" x14ac:dyDescent="0.15">
      <c r="D569" s="3"/>
    </row>
    <row r="570" spans="4:4" ht="13" x14ac:dyDescent="0.15">
      <c r="D570" s="3"/>
    </row>
    <row r="571" spans="4:4" ht="13" x14ac:dyDescent="0.15">
      <c r="D571" s="3"/>
    </row>
    <row r="572" spans="4:4" ht="13" x14ac:dyDescent="0.15">
      <c r="D572" s="3"/>
    </row>
    <row r="573" spans="4:4" ht="13" x14ac:dyDescent="0.15">
      <c r="D573" s="3"/>
    </row>
    <row r="574" spans="4:4" ht="13" x14ac:dyDescent="0.15">
      <c r="D574" s="3"/>
    </row>
    <row r="575" spans="4:4" ht="13" x14ac:dyDescent="0.15">
      <c r="D575" s="3"/>
    </row>
    <row r="576" spans="4:4" ht="13" x14ac:dyDescent="0.15">
      <c r="D576" s="3"/>
    </row>
    <row r="577" spans="4:4" ht="13" x14ac:dyDescent="0.15">
      <c r="D577" s="3"/>
    </row>
    <row r="578" spans="4:4" ht="13" x14ac:dyDescent="0.15">
      <c r="D578" s="3"/>
    </row>
    <row r="579" spans="4:4" ht="13" x14ac:dyDescent="0.15">
      <c r="D579" s="3"/>
    </row>
    <row r="580" spans="4:4" ht="13" x14ac:dyDescent="0.15">
      <c r="D580" s="3"/>
    </row>
    <row r="581" spans="4:4" ht="13" x14ac:dyDescent="0.15">
      <c r="D581" s="3"/>
    </row>
    <row r="582" spans="4:4" ht="13" x14ac:dyDescent="0.15">
      <c r="D582" s="3"/>
    </row>
    <row r="583" spans="4:4" ht="13" x14ac:dyDescent="0.15">
      <c r="D583" s="3"/>
    </row>
    <row r="584" spans="4:4" ht="13" x14ac:dyDescent="0.15">
      <c r="D584" s="3"/>
    </row>
    <row r="585" spans="4:4" ht="13" x14ac:dyDescent="0.15">
      <c r="D585" s="3"/>
    </row>
    <row r="586" spans="4:4" ht="13" x14ac:dyDescent="0.15">
      <c r="D586" s="3"/>
    </row>
    <row r="587" spans="4:4" ht="13" x14ac:dyDescent="0.15">
      <c r="D587" s="3"/>
    </row>
    <row r="588" spans="4:4" ht="13" x14ac:dyDescent="0.15">
      <c r="D588" s="3"/>
    </row>
    <row r="589" spans="4:4" ht="13" x14ac:dyDescent="0.15">
      <c r="D589" s="3"/>
    </row>
    <row r="590" spans="4:4" ht="13" x14ac:dyDescent="0.15">
      <c r="D590" s="3"/>
    </row>
    <row r="591" spans="4:4" ht="13" x14ac:dyDescent="0.15">
      <c r="D591" s="3"/>
    </row>
    <row r="592" spans="4:4" ht="13" x14ac:dyDescent="0.15">
      <c r="D592" s="3"/>
    </row>
    <row r="593" spans="4:4" ht="13" x14ac:dyDescent="0.15">
      <c r="D593" s="3"/>
    </row>
    <row r="594" spans="4:4" ht="13" x14ac:dyDescent="0.15">
      <c r="D594" s="3"/>
    </row>
    <row r="595" spans="4:4" ht="13" x14ac:dyDescent="0.15">
      <c r="D595" s="3"/>
    </row>
    <row r="596" spans="4:4" ht="13" x14ac:dyDescent="0.15">
      <c r="D596" s="3"/>
    </row>
    <row r="597" spans="4:4" ht="13" x14ac:dyDescent="0.15">
      <c r="D597" s="3"/>
    </row>
    <row r="598" spans="4:4" ht="13" x14ac:dyDescent="0.15">
      <c r="D598" s="3"/>
    </row>
    <row r="599" spans="4:4" ht="13" x14ac:dyDescent="0.15">
      <c r="D599" s="3"/>
    </row>
    <row r="600" spans="4:4" ht="13" x14ac:dyDescent="0.15">
      <c r="D600" s="3"/>
    </row>
    <row r="601" spans="4:4" ht="13" x14ac:dyDescent="0.15">
      <c r="D601" s="3"/>
    </row>
    <row r="602" spans="4:4" ht="13" x14ac:dyDescent="0.15">
      <c r="D602" s="3"/>
    </row>
    <row r="603" spans="4:4" ht="13" x14ac:dyDescent="0.15">
      <c r="D603" s="3"/>
    </row>
    <row r="604" spans="4:4" ht="13" x14ac:dyDescent="0.15">
      <c r="D604" s="3"/>
    </row>
    <row r="605" spans="4:4" ht="13" x14ac:dyDescent="0.15">
      <c r="D605" s="3"/>
    </row>
    <row r="606" spans="4:4" ht="13" x14ac:dyDescent="0.15">
      <c r="D606" s="3"/>
    </row>
    <row r="607" spans="4:4" ht="13" x14ac:dyDescent="0.15">
      <c r="D607" s="3"/>
    </row>
    <row r="608" spans="4:4" ht="13" x14ac:dyDescent="0.15">
      <c r="D608" s="3"/>
    </row>
    <row r="609" spans="4:4" ht="13" x14ac:dyDescent="0.15">
      <c r="D609" s="3"/>
    </row>
    <row r="610" spans="4:4" ht="13" x14ac:dyDescent="0.15">
      <c r="D610" s="3"/>
    </row>
    <row r="611" spans="4:4" ht="13" x14ac:dyDescent="0.15">
      <c r="D611" s="3"/>
    </row>
    <row r="612" spans="4:4" ht="13" x14ac:dyDescent="0.15">
      <c r="D612" s="3"/>
    </row>
    <row r="613" spans="4:4" ht="13" x14ac:dyDescent="0.15">
      <c r="D613" s="3"/>
    </row>
    <row r="614" spans="4:4" ht="13" x14ac:dyDescent="0.15">
      <c r="D614" s="3"/>
    </row>
    <row r="615" spans="4:4" ht="13" x14ac:dyDescent="0.15">
      <c r="D615" s="3"/>
    </row>
    <row r="616" spans="4:4" ht="13" x14ac:dyDescent="0.15">
      <c r="D616" s="3"/>
    </row>
    <row r="617" spans="4:4" ht="13" x14ac:dyDescent="0.15">
      <c r="D617" s="3"/>
    </row>
    <row r="618" spans="4:4" ht="13" x14ac:dyDescent="0.15">
      <c r="D618" s="3"/>
    </row>
    <row r="619" spans="4:4" ht="13" x14ac:dyDescent="0.15">
      <c r="D619" s="3"/>
    </row>
    <row r="620" spans="4:4" ht="13" x14ac:dyDescent="0.15">
      <c r="D620" s="3"/>
    </row>
    <row r="621" spans="4:4" ht="13" x14ac:dyDescent="0.15">
      <c r="D621" s="3"/>
    </row>
    <row r="622" spans="4:4" ht="13" x14ac:dyDescent="0.15">
      <c r="D622" s="3"/>
    </row>
    <row r="623" spans="4:4" ht="13" x14ac:dyDescent="0.15">
      <c r="D623" s="3"/>
    </row>
    <row r="624" spans="4:4" ht="13" x14ac:dyDescent="0.15">
      <c r="D624" s="3"/>
    </row>
    <row r="625" spans="4:4" ht="13" x14ac:dyDescent="0.15">
      <c r="D625" s="3"/>
    </row>
    <row r="626" spans="4:4" ht="13" x14ac:dyDescent="0.15">
      <c r="D626" s="3"/>
    </row>
    <row r="627" spans="4:4" ht="13" x14ac:dyDescent="0.15">
      <c r="D627" s="3"/>
    </row>
    <row r="628" spans="4:4" ht="13" x14ac:dyDescent="0.15">
      <c r="D628" s="3"/>
    </row>
    <row r="629" spans="4:4" ht="13" x14ac:dyDescent="0.15">
      <c r="D629" s="3"/>
    </row>
    <row r="630" spans="4:4" ht="13" x14ac:dyDescent="0.15">
      <c r="D630" s="3"/>
    </row>
    <row r="631" spans="4:4" ht="13" x14ac:dyDescent="0.15">
      <c r="D631" s="3"/>
    </row>
    <row r="632" spans="4:4" ht="13" x14ac:dyDescent="0.15">
      <c r="D632" s="3"/>
    </row>
    <row r="633" spans="4:4" ht="13" x14ac:dyDescent="0.15">
      <c r="D633" s="3"/>
    </row>
    <row r="634" spans="4:4" ht="13" x14ac:dyDescent="0.15">
      <c r="D634" s="3"/>
    </row>
    <row r="635" spans="4:4" ht="13" x14ac:dyDescent="0.15">
      <c r="D635" s="3"/>
    </row>
    <row r="636" spans="4:4" ht="13" x14ac:dyDescent="0.15">
      <c r="D636" s="3"/>
    </row>
    <row r="637" spans="4:4" ht="13" x14ac:dyDescent="0.15">
      <c r="D637" s="3"/>
    </row>
    <row r="638" spans="4:4" ht="13" x14ac:dyDescent="0.15">
      <c r="D638" s="3"/>
    </row>
    <row r="639" spans="4:4" ht="13" x14ac:dyDescent="0.15">
      <c r="D639" s="3"/>
    </row>
    <row r="640" spans="4:4" ht="13" x14ac:dyDescent="0.15">
      <c r="D640" s="3"/>
    </row>
    <row r="641" spans="4:4" ht="13" x14ac:dyDescent="0.15">
      <c r="D641" s="3"/>
    </row>
    <row r="642" spans="4:4" ht="13" x14ac:dyDescent="0.15">
      <c r="D642" s="3"/>
    </row>
    <row r="643" spans="4:4" ht="13" x14ac:dyDescent="0.15">
      <c r="D643" s="3"/>
    </row>
    <row r="644" spans="4:4" ht="13" x14ac:dyDescent="0.15">
      <c r="D644" s="3"/>
    </row>
    <row r="645" spans="4:4" ht="13" x14ac:dyDescent="0.15">
      <c r="D645" s="3"/>
    </row>
    <row r="646" spans="4:4" ht="13" x14ac:dyDescent="0.15">
      <c r="D646" s="3"/>
    </row>
    <row r="647" spans="4:4" ht="13" x14ac:dyDescent="0.15">
      <c r="D647" s="3"/>
    </row>
    <row r="648" spans="4:4" ht="13" x14ac:dyDescent="0.15">
      <c r="D648" s="3"/>
    </row>
    <row r="649" spans="4:4" ht="13" x14ac:dyDescent="0.15">
      <c r="D649" s="3"/>
    </row>
    <row r="650" spans="4:4" ht="13" x14ac:dyDescent="0.15">
      <c r="D650" s="3"/>
    </row>
    <row r="651" spans="4:4" ht="13" x14ac:dyDescent="0.15">
      <c r="D651" s="3"/>
    </row>
    <row r="652" spans="4:4" ht="13" x14ac:dyDescent="0.15">
      <c r="D652" s="3"/>
    </row>
    <row r="653" spans="4:4" ht="13" x14ac:dyDescent="0.15">
      <c r="D653" s="3"/>
    </row>
    <row r="654" spans="4:4" ht="13" x14ac:dyDescent="0.15">
      <c r="D654" s="3"/>
    </row>
    <row r="655" spans="4:4" ht="13" x14ac:dyDescent="0.15">
      <c r="D655" s="3"/>
    </row>
    <row r="656" spans="4:4" ht="13" x14ac:dyDescent="0.15">
      <c r="D656" s="3"/>
    </row>
    <row r="657" spans="4:4" ht="13" x14ac:dyDescent="0.15">
      <c r="D657" s="3"/>
    </row>
    <row r="658" spans="4:4" ht="13" x14ac:dyDescent="0.15">
      <c r="D658" s="3"/>
    </row>
    <row r="659" spans="4:4" ht="13" x14ac:dyDescent="0.15">
      <c r="D659" s="3"/>
    </row>
    <row r="660" spans="4:4" ht="13" x14ac:dyDescent="0.15">
      <c r="D660" s="3"/>
    </row>
    <row r="661" spans="4:4" ht="13" x14ac:dyDescent="0.15">
      <c r="D661" s="3"/>
    </row>
    <row r="662" spans="4:4" ht="13" x14ac:dyDescent="0.15">
      <c r="D662" s="3"/>
    </row>
    <row r="663" spans="4:4" ht="13" x14ac:dyDescent="0.15">
      <c r="D663" s="3"/>
    </row>
    <row r="664" spans="4:4" ht="13" x14ac:dyDescent="0.15">
      <c r="D664" s="3"/>
    </row>
    <row r="665" spans="4:4" ht="13" x14ac:dyDescent="0.15">
      <c r="D665" s="3"/>
    </row>
    <row r="666" spans="4:4" ht="13" x14ac:dyDescent="0.15">
      <c r="D666" s="3"/>
    </row>
    <row r="667" spans="4:4" ht="13" x14ac:dyDescent="0.15">
      <c r="D667" s="3"/>
    </row>
    <row r="668" spans="4:4" ht="13" x14ac:dyDescent="0.15">
      <c r="D668" s="3"/>
    </row>
    <row r="669" spans="4:4" ht="13" x14ac:dyDescent="0.15">
      <c r="D669" s="3"/>
    </row>
    <row r="670" spans="4:4" ht="13" x14ac:dyDescent="0.15">
      <c r="D670" s="3"/>
    </row>
    <row r="671" spans="4:4" ht="13" x14ac:dyDescent="0.15">
      <c r="D671" s="3"/>
    </row>
    <row r="672" spans="4:4" ht="13" x14ac:dyDescent="0.15">
      <c r="D672" s="3"/>
    </row>
    <row r="673" spans="4:4" ht="13" x14ac:dyDescent="0.15">
      <c r="D673" s="3"/>
    </row>
    <row r="674" spans="4:4" ht="13" x14ac:dyDescent="0.15">
      <c r="D674" s="3"/>
    </row>
    <row r="675" spans="4:4" ht="13" x14ac:dyDescent="0.15">
      <c r="D675" s="3"/>
    </row>
    <row r="676" spans="4:4" ht="13" x14ac:dyDescent="0.15">
      <c r="D676" s="3"/>
    </row>
    <row r="677" spans="4:4" ht="13" x14ac:dyDescent="0.15">
      <c r="D677" s="3"/>
    </row>
    <row r="678" spans="4:4" ht="13" x14ac:dyDescent="0.15">
      <c r="D678" s="3"/>
    </row>
    <row r="679" spans="4:4" ht="13" x14ac:dyDescent="0.15">
      <c r="D679" s="3"/>
    </row>
    <row r="680" spans="4:4" ht="13" x14ac:dyDescent="0.15">
      <c r="D680" s="3"/>
    </row>
    <row r="681" spans="4:4" ht="13" x14ac:dyDescent="0.15">
      <c r="D681" s="3"/>
    </row>
    <row r="682" spans="4:4" ht="13" x14ac:dyDescent="0.15">
      <c r="D682" s="3"/>
    </row>
    <row r="683" spans="4:4" ht="13" x14ac:dyDescent="0.15">
      <c r="D683" s="3"/>
    </row>
    <row r="684" spans="4:4" ht="13" x14ac:dyDescent="0.15">
      <c r="D684" s="3"/>
    </row>
    <row r="685" spans="4:4" ht="13" x14ac:dyDescent="0.15">
      <c r="D685" s="3"/>
    </row>
    <row r="686" spans="4:4" ht="13" x14ac:dyDescent="0.15">
      <c r="D686" s="3"/>
    </row>
    <row r="687" spans="4:4" ht="13" x14ac:dyDescent="0.15">
      <c r="D687" s="3"/>
    </row>
    <row r="688" spans="4:4" ht="13" x14ac:dyDescent="0.15">
      <c r="D688" s="3"/>
    </row>
    <row r="689" spans="4:4" ht="13" x14ac:dyDescent="0.15">
      <c r="D689" s="3"/>
    </row>
    <row r="690" spans="4:4" ht="13" x14ac:dyDescent="0.15">
      <c r="D690" s="3"/>
    </row>
    <row r="691" spans="4:4" ht="13" x14ac:dyDescent="0.15">
      <c r="D691" s="3"/>
    </row>
    <row r="692" spans="4:4" ht="13" x14ac:dyDescent="0.15">
      <c r="D692" s="3"/>
    </row>
    <row r="693" spans="4:4" ht="13" x14ac:dyDescent="0.15">
      <c r="D693" s="3"/>
    </row>
    <row r="694" spans="4:4" ht="13" x14ac:dyDescent="0.15">
      <c r="D694" s="3"/>
    </row>
    <row r="695" spans="4:4" ht="13" x14ac:dyDescent="0.15">
      <c r="D695" s="3"/>
    </row>
    <row r="696" spans="4:4" ht="13" x14ac:dyDescent="0.15">
      <c r="D696" s="3"/>
    </row>
    <row r="697" spans="4:4" ht="13" x14ac:dyDescent="0.15">
      <c r="D697" s="3"/>
    </row>
    <row r="698" spans="4:4" ht="13" x14ac:dyDescent="0.15">
      <c r="D698" s="3"/>
    </row>
    <row r="699" spans="4:4" ht="13" x14ac:dyDescent="0.15">
      <c r="D699" s="3"/>
    </row>
    <row r="700" spans="4:4" ht="13" x14ac:dyDescent="0.15">
      <c r="D700" s="3"/>
    </row>
    <row r="701" spans="4:4" ht="13" x14ac:dyDescent="0.15">
      <c r="D701" s="3"/>
    </row>
    <row r="702" spans="4:4" ht="13" x14ac:dyDescent="0.15">
      <c r="D702" s="3"/>
    </row>
    <row r="703" spans="4:4" ht="13" x14ac:dyDescent="0.15">
      <c r="D703" s="3"/>
    </row>
    <row r="704" spans="4:4" ht="13" x14ac:dyDescent="0.15">
      <c r="D704" s="3"/>
    </row>
    <row r="705" spans="4:4" ht="13" x14ac:dyDescent="0.15">
      <c r="D705" s="3"/>
    </row>
    <row r="706" spans="4:4" ht="13" x14ac:dyDescent="0.15">
      <c r="D706" s="3"/>
    </row>
    <row r="707" spans="4:4" ht="13" x14ac:dyDescent="0.15">
      <c r="D707" s="3"/>
    </row>
    <row r="708" spans="4:4" ht="13" x14ac:dyDescent="0.15">
      <c r="D708" s="3"/>
    </row>
    <row r="709" spans="4:4" ht="13" x14ac:dyDescent="0.15">
      <c r="D709" s="3"/>
    </row>
    <row r="710" spans="4:4" ht="13" x14ac:dyDescent="0.15">
      <c r="D710" s="3"/>
    </row>
    <row r="711" spans="4:4" ht="13" x14ac:dyDescent="0.15">
      <c r="D711" s="3"/>
    </row>
    <row r="712" spans="4:4" ht="13" x14ac:dyDescent="0.15">
      <c r="D712" s="3"/>
    </row>
    <row r="713" spans="4:4" ht="13" x14ac:dyDescent="0.15">
      <c r="D713" s="3"/>
    </row>
    <row r="714" spans="4:4" ht="13" x14ac:dyDescent="0.15">
      <c r="D714" s="3"/>
    </row>
    <row r="715" spans="4:4" ht="13" x14ac:dyDescent="0.15">
      <c r="D715" s="3"/>
    </row>
    <row r="716" spans="4:4" ht="13" x14ac:dyDescent="0.15">
      <c r="D716" s="3"/>
    </row>
    <row r="717" spans="4:4" ht="13" x14ac:dyDescent="0.15">
      <c r="D717" s="3"/>
    </row>
    <row r="718" spans="4:4" ht="13" x14ac:dyDescent="0.15">
      <c r="D718" s="3"/>
    </row>
    <row r="719" spans="4:4" ht="13" x14ac:dyDescent="0.15">
      <c r="D719" s="3"/>
    </row>
    <row r="720" spans="4:4" ht="13" x14ac:dyDescent="0.15">
      <c r="D720" s="3"/>
    </row>
    <row r="721" spans="4:4" ht="13" x14ac:dyDescent="0.15">
      <c r="D721" s="3"/>
    </row>
    <row r="722" spans="4:4" ht="13" x14ac:dyDescent="0.15">
      <c r="D722" s="3"/>
    </row>
    <row r="723" spans="4:4" ht="13" x14ac:dyDescent="0.15">
      <c r="D723" s="3"/>
    </row>
    <row r="724" spans="4:4" ht="13" x14ac:dyDescent="0.15">
      <c r="D724" s="3"/>
    </row>
    <row r="725" spans="4:4" ht="13" x14ac:dyDescent="0.15">
      <c r="D725" s="3"/>
    </row>
    <row r="726" spans="4:4" ht="13" x14ac:dyDescent="0.15">
      <c r="D726" s="3"/>
    </row>
    <row r="727" spans="4:4" ht="13" x14ac:dyDescent="0.15">
      <c r="D727" s="3"/>
    </row>
    <row r="728" spans="4:4" ht="13" x14ac:dyDescent="0.15">
      <c r="D728" s="3"/>
    </row>
    <row r="729" spans="4:4" ht="13" x14ac:dyDescent="0.15">
      <c r="D729" s="3"/>
    </row>
    <row r="730" spans="4:4" ht="13" x14ac:dyDescent="0.15">
      <c r="D730" s="3"/>
    </row>
    <row r="731" spans="4:4" ht="13" x14ac:dyDescent="0.15">
      <c r="D731" s="3"/>
    </row>
    <row r="732" spans="4:4" ht="13" x14ac:dyDescent="0.15">
      <c r="D732" s="3"/>
    </row>
    <row r="733" spans="4:4" ht="13" x14ac:dyDescent="0.15">
      <c r="D733" s="3"/>
    </row>
    <row r="734" spans="4:4" ht="13" x14ac:dyDescent="0.15">
      <c r="D734" s="3"/>
    </row>
    <row r="735" spans="4:4" ht="13" x14ac:dyDescent="0.15">
      <c r="D735" s="3"/>
    </row>
    <row r="736" spans="4:4" ht="13" x14ac:dyDescent="0.15">
      <c r="D736" s="3"/>
    </row>
    <row r="737" spans="4:4" ht="13" x14ac:dyDescent="0.15">
      <c r="D737" s="3"/>
    </row>
    <row r="738" spans="4:4" ht="13" x14ac:dyDescent="0.15">
      <c r="D738" s="3"/>
    </row>
    <row r="739" spans="4:4" ht="13" x14ac:dyDescent="0.15">
      <c r="D739" s="3"/>
    </row>
    <row r="740" spans="4:4" ht="13" x14ac:dyDescent="0.15">
      <c r="D740" s="3"/>
    </row>
    <row r="741" spans="4:4" ht="13" x14ac:dyDescent="0.15">
      <c r="D741" s="3"/>
    </row>
    <row r="742" spans="4:4" ht="13" x14ac:dyDescent="0.15">
      <c r="D742" s="3"/>
    </row>
    <row r="743" spans="4:4" ht="13" x14ac:dyDescent="0.15">
      <c r="D743" s="3"/>
    </row>
    <row r="744" spans="4:4" ht="13" x14ac:dyDescent="0.15">
      <c r="D744" s="3"/>
    </row>
    <row r="745" spans="4:4" ht="13" x14ac:dyDescent="0.15">
      <c r="D745" s="3"/>
    </row>
    <row r="746" spans="4:4" ht="13" x14ac:dyDescent="0.15">
      <c r="D746" s="3"/>
    </row>
    <row r="747" spans="4:4" ht="13" x14ac:dyDescent="0.15">
      <c r="D747" s="3"/>
    </row>
    <row r="748" spans="4:4" ht="13" x14ac:dyDescent="0.15">
      <c r="D748" s="3"/>
    </row>
    <row r="749" spans="4:4" ht="13" x14ac:dyDescent="0.15">
      <c r="D749" s="3"/>
    </row>
    <row r="750" spans="4:4" ht="13" x14ac:dyDescent="0.15">
      <c r="D750" s="3"/>
    </row>
    <row r="751" spans="4:4" ht="13" x14ac:dyDescent="0.15">
      <c r="D751" s="3"/>
    </row>
    <row r="752" spans="4:4" ht="13" x14ac:dyDescent="0.15">
      <c r="D752" s="3"/>
    </row>
    <row r="753" spans="4:4" ht="13" x14ac:dyDescent="0.15">
      <c r="D753" s="3"/>
    </row>
    <row r="754" spans="4:4" ht="13" x14ac:dyDescent="0.15">
      <c r="D754" s="3"/>
    </row>
    <row r="755" spans="4:4" ht="13" x14ac:dyDescent="0.15">
      <c r="D755" s="3"/>
    </row>
    <row r="756" spans="4:4" ht="13" x14ac:dyDescent="0.15">
      <c r="D756" s="3"/>
    </row>
    <row r="757" spans="4:4" ht="13" x14ac:dyDescent="0.15">
      <c r="D757" s="3"/>
    </row>
    <row r="758" spans="4:4" ht="13" x14ac:dyDescent="0.15">
      <c r="D758" s="3"/>
    </row>
    <row r="759" spans="4:4" ht="13" x14ac:dyDescent="0.15">
      <c r="D759" s="3"/>
    </row>
    <row r="760" spans="4:4" ht="13" x14ac:dyDescent="0.15">
      <c r="D760" s="3"/>
    </row>
    <row r="761" spans="4:4" ht="13" x14ac:dyDescent="0.15">
      <c r="D761" s="3"/>
    </row>
    <row r="762" spans="4:4" ht="13" x14ac:dyDescent="0.15">
      <c r="D762" s="3"/>
    </row>
    <row r="763" spans="4:4" ht="13" x14ac:dyDescent="0.15">
      <c r="D763" s="3"/>
    </row>
    <row r="764" spans="4:4" ht="13" x14ac:dyDescent="0.15">
      <c r="D764" s="3"/>
    </row>
    <row r="765" spans="4:4" ht="13" x14ac:dyDescent="0.15">
      <c r="D765" s="3"/>
    </row>
    <row r="766" spans="4:4" ht="13" x14ac:dyDescent="0.15">
      <c r="D766" s="3"/>
    </row>
    <row r="767" spans="4:4" ht="13" x14ac:dyDescent="0.15">
      <c r="D767" s="3"/>
    </row>
    <row r="768" spans="4:4" ht="13" x14ac:dyDescent="0.15">
      <c r="D768" s="3"/>
    </row>
    <row r="769" spans="4:4" ht="13" x14ac:dyDescent="0.15">
      <c r="D769" s="3"/>
    </row>
    <row r="770" spans="4:4" ht="13" x14ac:dyDescent="0.15">
      <c r="D770" s="3"/>
    </row>
    <row r="771" spans="4:4" ht="13" x14ac:dyDescent="0.15">
      <c r="D771" s="3"/>
    </row>
    <row r="772" spans="4:4" ht="13" x14ac:dyDescent="0.15">
      <c r="D772" s="3"/>
    </row>
    <row r="773" spans="4:4" ht="13" x14ac:dyDescent="0.15">
      <c r="D773" s="3"/>
    </row>
    <row r="774" spans="4:4" ht="13" x14ac:dyDescent="0.15">
      <c r="D774" s="3"/>
    </row>
    <row r="775" spans="4:4" ht="13" x14ac:dyDescent="0.15">
      <c r="D775" s="3"/>
    </row>
    <row r="776" spans="4:4" ht="13" x14ac:dyDescent="0.15">
      <c r="D776" s="3"/>
    </row>
    <row r="777" spans="4:4" ht="13" x14ac:dyDescent="0.15">
      <c r="D777" s="3"/>
    </row>
    <row r="778" spans="4:4" ht="13" x14ac:dyDescent="0.15">
      <c r="D778" s="3"/>
    </row>
    <row r="779" spans="4:4" ht="13" x14ac:dyDescent="0.15">
      <c r="D779" s="3"/>
    </row>
    <row r="780" spans="4:4" ht="13" x14ac:dyDescent="0.15">
      <c r="D780" s="3"/>
    </row>
    <row r="781" spans="4:4" ht="13" x14ac:dyDescent="0.15">
      <c r="D781" s="3"/>
    </row>
    <row r="782" spans="4:4" ht="13" x14ac:dyDescent="0.15">
      <c r="D782" s="3"/>
    </row>
    <row r="783" spans="4:4" ht="13" x14ac:dyDescent="0.15">
      <c r="D783" s="3"/>
    </row>
    <row r="784" spans="4:4" ht="13" x14ac:dyDescent="0.15">
      <c r="D784" s="3"/>
    </row>
    <row r="785" spans="4:4" ht="13" x14ac:dyDescent="0.15">
      <c r="D785" s="3"/>
    </row>
    <row r="786" spans="4:4" ht="13" x14ac:dyDescent="0.15">
      <c r="D786" s="3"/>
    </row>
    <row r="787" spans="4:4" ht="13" x14ac:dyDescent="0.15">
      <c r="D787" s="3"/>
    </row>
    <row r="788" spans="4:4" ht="13" x14ac:dyDescent="0.15">
      <c r="D788" s="3"/>
    </row>
    <row r="789" spans="4:4" ht="13" x14ac:dyDescent="0.15">
      <c r="D789" s="3"/>
    </row>
    <row r="790" spans="4:4" ht="13" x14ac:dyDescent="0.15">
      <c r="D790" s="3"/>
    </row>
    <row r="791" spans="4:4" ht="13" x14ac:dyDescent="0.15">
      <c r="D791" s="3"/>
    </row>
    <row r="792" spans="4:4" ht="13" x14ac:dyDescent="0.15">
      <c r="D792" s="3"/>
    </row>
    <row r="793" spans="4:4" ht="13" x14ac:dyDescent="0.15">
      <c r="D793" s="3"/>
    </row>
    <row r="794" spans="4:4" ht="13" x14ac:dyDescent="0.15">
      <c r="D794" s="3"/>
    </row>
    <row r="795" spans="4:4" ht="13" x14ac:dyDescent="0.15">
      <c r="D795" s="3"/>
    </row>
    <row r="796" spans="4:4" ht="13" x14ac:dyDescent="0.15">
      <c r="D796" s="3"/>
    </row>
    <row r="797" spans="4:4" ht="13" x14ac:dyDescent="0.15">
      <c r="D797" s="3"/>
    </row>
    <row r="798" spans="4:4" ht="13" x14ac:dyDescent="0.15">
      <c r="D798" s="3"/>
    </row>
    <row r="799" spans="4:4" ht="13" x14ac:dyDescent="0.15">
      <c r="D799" s="3"/>
    </row>
    <row r="800" spans="4:4" ht="13" x14ac:dyDescent="0.15">
      <c r="D800" s="3"/>
    </row>
    <row r="801" spans="4:4" ht="13" x14ac:dyDescent="0.15">
      <c r="D801" s="3"/>
    </row>
    <row r="802" spans="4:4" ht="13" x14ac:dyDescent="0.15">
      <c r="D802" s="3"/>
    </row>
    <row r="803" spans="4:4" ht="13" x14ac:dyDescent="0.15">
      <c r="D803" s="3"/>
    </row>
    <row r="804" spans="4:4" ht="13" x14ac:dyDescent="0.15">
      <c r="D804" s="3"/>
    </row>
    <row r="805" spans="4:4" ht="13" x14ac:dyDescent="0.15">
      <c r="D805" s="3"/>
    </row>
    <row r="806" spans="4:4" ht="13" x14ac:dyDescent="0.15">
      <c r="D806" s="3"/>
    </row>
    <row r="807" spans="4:4" ht="13" x14ac:dyDescent="0.15">
      <c r="D807" s="3"/>
    </row>
    <row r="808" spans="4:4" ht="13" x14ac:dyDescent="0.15">
      <c r="D808" s="3"/>
    </row>
    <row r="809" spans="4:4" ht="13" x14ac:dyDescent="0.15">
      <c r="D809" s="3"/>
    </row>
    <row r="810" spans="4:4" ht="13" x14ac:dyDescent="0.15">
      <c r="D810" s="3"/>
    </row>
    <row r="811" spans="4:4" ht="13" x14ac:dyDescent="0.15">
      <c r="D811" s="3"/>
    </row>
    <row r="812" spans="4:4" ht="13" x14ac:dyDescent="0.15">
      <c r="D812" s="3"/>
    </row>
    <row r="813" spans="4:4" ht="13" x14ac:dyDescent="0.15">
      <c r="D813" s="3"/>
    </row>
    <row r="814" spans="4:4" ht="13" x14ac:dyDescent="0.15">
      <c r="D814" s="3"/>
    </row>
    <row r="815" spans="4:4" ht="13" x14ac:dyDescent="0.15">
      <c r="D815" s="3"/>
    </row>
    <row r="816" spans="4:4" ht="13" x14ac:dyDescent="0.15">
      <c r="D816" s="3"/>
    </row>
    <row r="817" spans="4:4" ht="13" x14ac:dyDescent="0.15">
      <c r="D817" s="3"/>
    </row>
    <row r="818" spans="4:4" ht="13" x14ac:dyDescent="0.15">
      <c r="D818" s="3"/>
    </row>
    <row r="819" spans="4:4" ht="13" x14ac:dyDescent="0.15">
      <c r="D819" s="3"/>
    </row>
    <row r="820" spans="4:4" ht="13" x14ac:dyDescent="0.15">
      <c r="D820" s="3"/>
    </row>
    <row r="821" spans="4:4" ht="13" x14ac:dyDescent="0.15">
      <c r="D821" s="3"/>
    </row>
    <row r="822" spans="4:4" ht="13" x14ac:dyDescent="0.15">
      <c r="D822" s="3"/>
    </row>
    <row r="823" spans="4:4" ht="13" x14ac:dyDescent="0.15">
      <c r="D823" s="3"/>
    </row>
    <row r="824" spans="4:4" ht="13" x14ac:dyDescent="0.15">
      <c r="D824" s="3"/>
    </row>
    <row r="825" spans="4:4" ht="13" x14ac:dyDescent="0.15">
      <c r="D825" s="3"/>
    </row>
    <row r="826" spans="4:4" ht="13" x14ac:dyDescent="0.15">
      <c r="D826" s="3"/>
    </row>
    <row r="827" spans="4:4" ht="13" x14ac:dyDescent="0.15">
      <c r="D827" s="3"/>
    </row>
    <row r="828" spans="4:4" ht="13" x14ac:dyDescent="0.15">
      <c r="D828" s="3"/>
    </row>
    <row r="829" spans="4:4" ht="13" x14ac:dyDescent="0.15">
      <c r="D829" s="3"/>
    </row>
    <row r="830" spans="4:4" ht="13" x14ac:dyDescent="0.15">
      <c r="D830" s="3"/>
    </row>
    <row r="831" spans="4:4" ht="13" x14ac:dyDescent="0.15">
      <c r="D831" s="3"/>
    </row>
    <row r="832" spans="4:4" ht="13" x14ac:dyDescent="0.15">
      <c r="D832" s="3"/>
    </row>
    <row r="833" spans="4:4" ht="13" x14ac:dyDescent="0.15">
      <c r="D833" s="3"/>
    </row>
    <row r="834" spans="4:4" ht="13" x14ac:dyDescent="0.15">
      <c r="D834" s="3"/>
    </row>
    <row r="835" spans="4:4" ht="13" x14ac:dyDescent="0.15">
      <c r="D835" s="3"/>
    </row>
    <row r="836" spans="4:4" ht="13" x14ac:dyDescent="0.15">
      <c r="D836" s="3"/>
    </row>
    <row r="837" spans="4:4" ht="13" x14ac:dyDescent="0.15">
      <c r="D837" s="3"/>
    </row>
    <row r="838" spans="4:4" ht="13" x14ac:dyDescent="0.15">
      <c r="D838" s="3"/>
    </row>
    <row r="839" spans="4:4" ht="13" x14ac:dyDescent="0.15">
      <c r="D839" s="3"/>
    </row>
    <row r="840" spans="4:4" ht="13" x14ac:dyDescent="0.15">
      <c r="D840" s="3"/>
    </row>
    <row r="841" spans="4:4" ht="13" x14ac:dyDescent="0.15">
      <c r="D841" s="3"/>
    </row>
    <row r="842" spans="4:4" ht="13" x14ac:dyDescent="0.15">
      <c r="D842" s="3"/>
    </row>
    <row r="843" spans="4:4" ht="13" x14ac:dyDescent="0.15">
      <c r="D843" s="3"/>
    </row>
    <row r="844" spans="4:4" ht="13" x14ac:dyDescent="0.15">
      <c r="D844" s="3"/>
    </row>
    <row r="845" spans="4:4" ht="13" x14ac:dyDescent="0.15">
      <c r="D845" s="3"/>
    </row>
    <row r="846" spans="4:4" ht="13" x14ac:dyDescent="0.15">
      <c r="D846" s="3"/>
    </row>
    <row r="847" spans="4:4" ht="13" x14ac:dyDescent="0.15">
      <c r="D847" s="3"/>
    </row>
    <row r="848" spans="4:4" ht="13" x14ac:dyDescent="0.15">
      <c r="D848" s="3"/>
    </row>
    <row r="849" spans="4:4" ht="13" x14ac:dyDescent="0.15">
      <c r="D849" s="3"/>
    </row>
    <row r="850" spans="4:4" ht="13" x14ac:dyDescent="0.15">
      <c r="D850" s="3"/>
    </row>
    <row r="851" spans="4:4" ht="13" x14ac:dyDescent="0.15">
      <c r="D851" s="3"/>
    </row>
    <row r="852" spans="4:4" ht="13" x14ac:dyDescent="0.15">
      <c r="D852" s="3"/>
    </row>
    <row r="853" spans="4:4" ht="13" x14ac:dyDescent="0.15">
      <c r="D853" s="3"/>
    </row>
    <row r="854" spans="4:4" ht="13" x14ac:dyDescent="0.15">
      <c r="D854" s="3"/>
    </row>
    <row r="855" spans="4:4" ht="13" x14ac:dyDescent="0.15">
      <c r="D855" s="3"/>
    </row>
    <row r="856" spans="4:4" ht="13" x14ac:dyDescent="0.15">
      <c r="D856" s="3"/>
    </row>
    <row r="857" spans="4:4" ht="13" x14ac:dyDescent="0.15">
      <c r="D857" s="3"/>
    </row>
    <row r="858" spans="4:4" ht="13" x14ac:dyDescent="0.15">
      <c r="D858" s="3"/>
    </row>
    <row r="859" spans="4:4" ht="13" x14ac:dyDescent="0.15">
      <c r="D859" s="3"/>
    </row>
    <row r="860" spans="4:4" ht="13" x14ac:dyDescent="0.15">
      <c r="D860" s="3"/>
    </row>
    <row r="861" spans="4:4" ht="13" x14ac:dyDescent="0.15">
      <c r="D861" s="3"/>
    </row>
    <row r="862" spans="4:4" ht="13" x14ac:dyDescent="0.15">
      <c r="D862" s="3"/>
    </row>
    <row r="863" spans="4:4" ht="13" x14ac:dyDescent="0.15">
      <c r="D863" s="3"/>
    </row>
    <row r="864" spans="4:4" ht="13" x14ac:dyDescent="0.15">
      <c r="D864" s="3"/>
    </row>
    <row r="865" spans="4:4" ht="13" x14ac:dyDescent="0.15">
      <c r="D865" s="3"/>
    </row>
    <row r="866" spans="4:4" ht="13" x14ac:dyDescent="0.15">
      <c r="D866" s="3"/>
    </row>
    <row r="867" spans="4:4" ht="13" x14ac:dyDescent="0.15">
      <c r="D867" s="3"/>
    </row>
    <row r="868" spans="4:4" ht="13" x14ac:dyDescent="0.15">
      <c r="D868" s="3"/>
    </row>
    <row r="869" spans="4:4" ht="13" x14ac:dyDescent="0.15">
      <c r="D869" s="3"/>
    </row>
    <row r="870" spans="4:4" ht="13" x14ac:dyDescent="0.15">
      <c r="D870" s="3"/>
    </row>
    <row r="871" spans="4:4" ht="13" x14ac:dyDescent="0.15">
      <c r="D871" s="3"/>
    </row>
    <row r="872" spans="4:4" ht="13" x14ac:dyDescent="0.15">
      <c r="D872" s="3"/>
    </row>
    <row r="873" spans="4:4" ht="13" x14ac:dyDescent="0.15">
      <c r="D873" s="3"/>
    </row>
    <row r="874" spans="4:4" ht="13" x14ac:dyDescent="0.15">
      <c r="D874" s="3"/>
    </row>
    <row r="875" spans="4:4" ht="13" x14ac:dyDescent="0.15">
      <c r="D875" s="3"/>
    </row>
    <row r="876" spans="4:4" ht="13" x14ac:dyDescent="0.15">
      <c r="D876" s="3"/>
    </row>
    <row r="877" spans="4:4" ht="13" x14ac:dyDescent="0.15">
      <c r="D877" s="3"/>
    </row>
    <row r="878" spans="4:4" ht="13" x14ac:dyDescent="0.15">
      <c r="D878" s="3"/>
    </row>
    <row r="879" spans="4:4" ht="13" x14ac:dyDescent="0.15">
      <c r="D879" s="3"/>
    </row>
    <row r="880" spans="4:4" ht="13" x14ac:dyDescent="0.15">
      <c r="D880" s="3"/>
    </row>
    <row r="881" spans="4:4" ht="13" x14ac:dyDescent="0.15">
      <c r="D881" s="3"/>
    </row>
    <row r="882" spans="4:4" ht="13" x14ac:dyDescent="0.15">
      <c r="D882" s="3"/>
    </row>
    <row r="883" spans="4:4" ht="13" x14ac:dyDescent="0.15">
      <c r="D883" s="3"/>
    </row>
    <row r="884" spans="4:4" ht="13" x14ac:dyDescent="0.15">
      <c r="D884" s="3"/>
    </row>
    <row r="885" spans="4:4" ht="13" x14ac:dyDescent="0.15">
      <c r="D885" s="3"/>
    </row>
    <row r="886" spans="4:4" ht="13" x14ac:dyDescent="0.15">
      <c r="D886" s="3"/>
    </row>
    <row r="887" spans="4:4" ht="13" x14ac:dyDescent="0.15">
      <c r="D887" s="3"/>
    </row>
    <row r="888" spans="4:4" ht="13" x14ac:dyDescent="0.15">
      <c r="D888" s="3"/>
    </row>
    <row r="889" spans="4:4" ht="13" x14ac:dyDescent="0.15">
      <c r="D889" s="3"/>
    </row>
    <row r="890" spans="4:4" ht="13" x14ac:dyDescent="0.15">
      <c r="D890" s="3"/>
    </row>
    <row r="891" spans="4:4" ht="13" x14ac:dyDescent="0.15">
      <c r="D891" s="3"/>
    </row>
    <row r="892" spans="4:4" ht="13" x14ac:dyDescent="0.15">
      <c r="D892" s="3"/>
    </row>
    <row r="893" spans="4:4" ht="13" x14ac:dyDescent="0.15">
      <c r="D893" s="3"/>
    </row>
    <row r="894" spans="4:4" ht="13" x14ac:dyDescent="0.15">
      <c r="D894" s="3"/>
    </row>
    <row r="895" spans="4:4" ht="13" x14ac:dyDescent="0.15">
      <c r="D895" s="3"/>
    </row>
    <row r="896" spans="4:4" ht="13" x14ac:dyDescent="0.15">
      <c r="D896" s="3"/>
    </row>
    <row r="897" spans="4:4" ht="13" x14ac:dyDescent="0.15">
      <c r="D897" s="3"/>
    </row>
    <row r="898" spans="4:4" ht="13" x14ac:dyDescent="0.15">
      <c r="D898" s="3"/>
    </row>
    <row r="899" spans="4:4" ht="13" x14ac:dyDescent="0.15">
      <c r="D899" s="3"/>
    </row>
    <row r="900" spans="4:4" ht="13" x14ac:dyDescent="0.15">
      <c r="D900" s="3"/>
    </row>
    <row r="901" spans="4:4" ht="13" x14ac:dyDescent="0.15">
      <c r="D901" s="3"/>
    </row>
    <row r="902" spans="4:4" ht="13" x14ac:dyDescent="0.15">
      <c r="D902" s="3"/>
    </row>
    <row r="903" spans="4:4" ht="13" x14ac:dyDescent="0.15">
      <c r="D903" s="3"/>
    </row>
    <row r="904" spans="4:4" ht="13" x14ac:dyDescent="0.15">
      <c r="D904" s="3"/>
    </row>
    <row r="905" spans="4:4" ht="13" x14ac:dyDescent="0.15">
      <c r="D905" s="3"/>
    </row>
    <row r="906" spans="4:4" ht="13" x14ac:dyDescent="0.15">
      <c r="D906" s="3"/>
    </row>
    <row r="907" spans="4:4" ht="13" x14ac:dyDescent="0.15">
      <c r="D907" s="3"/>
    </row>
    <row r="908" spans="4:4" ht="13" x14ac:dyDescent="0.15">
      <c r="D908" s="3"/>
    </row>
    <row r="909" spans="4:4" ht="13" x14ac:dyDescent="0.15">
      <c r="D909" s="3"/>
    </row>
    <row r="910" spans="4:4" ht="13" x14ac:dyDescent="0.15">
      <c r="D910" s="3"/>
    </row>
    <row r="911" spans="4:4" ht="13" x14ac:dyDescent="0.15">
      <c r="D911" s="3"/>
    </row>
    <row r="912" spans="4:4" ht="13" x14ac:dyDescent="0.15">
      <c r="D912" s="3"/>
    </row>
    <row r="913" spans="4:4" ht="13" x14ac:dyDescent="0.15">
      <c r="D913" s="3"/>
    </row>
    <row r="914" spans="4:4" ht="13" x14ac:dyDescent="0.15">
      <c r="D914" s="3"/>
    </row>
    <row r="915" spans="4:4" ht="13" x14ac:dyDescent="0.15">
      <c r="D915" s="3"/>
    </row>
    <row r="916" spans="4:4" ht="13" x14ac:dyDescent="0.15">
      <c r="D916" s="3"/>
    </row>
    <row r="917" spans="4:4" ht="13" x14ac:dyDescent="0.15">
      <c r="D917" s="3"/>
    </row>
    <row r="918" spans="4:4" ht="13" x14ac:dyDescent="0.15">
      <c r="D918" s="3"/>
    </row>
    <row r="919" spans="4:4" ht="13" x14ac:dyDescent="0.15">
      <c r="D919" s="3"/>
    </row>
    <row r="920" spans="4:4" ht="13" x14ac:dyDescent="0.15">
      <c r="D920" s="3"/>
    </row>
    <row r="921" spans="4:4" ht="13" x14ac:dyDescent="0.15">
      <c r="D921" s="3"/>
    </row>
    <row r="922" spans="4:4" ht="13" x14ac:dyDescent="0.15">
      <c r="D922" s="3"/>
    </row>
    <row r="923" spans="4:4" ht="13" x14ac:dyDescent="0.15">
      <c r="D923" s="3"/>
    </row>
    <row r="924" spans="4:4" ht="13" x14ac:dyDescent="0.15">
      <c r="D924" s="3"/>
    </row>
    <row r="925" spans="4:4" ht="13" x14ac:dyDescent="0.15">
      <c r="D925" s="3"/>
    </row>
    <row r="926" spans="4:4" ht="13" x14ac:dyDescent="0.15">
      <c r="D926" s="3"/>
    </row>
    <row r="927" spans="4:4" ht="13" x14ac:dyDescent="0.15">
      <c r="D927" s="3"/>
    </row>
    <row r="928" spans="4:4" ht="13" x14ac:dyDescent="0.15">
      <c r="D928" s="3"/>
    </row>
    <row r="929" spans="4:4" ht="13" x14ac:dyDescent="0.15">
      <c r="D929" s="3"/>
    </row>
    <row r="930" spans="4:4" ht="13" x14ac:dyDescent="0.15">
      <c r="D930" s="3"/>
    </row>
    <row r="931" spans="4:4" ht="13" x14ac:dyDescent="0.15">
      <c r="D931" s="3"/>
    </row>
    <row r="932" spans="4:4" ht="13" x14ac:dyDescent="0.15">
      <c r="D932" s="3"/>
    </row>
    <row r="933" spans="4:4" ht="13" x14ac:dyDescent="0.15">
      <c r="D933" s="3"/>
    </row>
    <row r="934" spans="4:4" ht="13" x14ac:dyDescent="0.15">
      <c r="D934" s="3"/>
    </row>
    <row r="935" spans="4:4" ht="13" x14ac:dyDescent="0.15">
      <c r="D935" s="3"/>
    </row>
    <row r="936" spans="4:4" ht="13" x14ac:dyDescent="0.15">
      <c r="D936" s="3"/>
    </row>
    <row r="937" spans="4:4" ht="13" x14ac:dyDescent="0.15">
      <c r="D937" s="3"/>
    </row>
    <row r="938" spans="4:4" ht="13" x14ac:dyDescent="0.15">
      <c r="D938" s="3"/>
    </row>
    <row r="939" spans="4:4" ht="13" x14ac:dyDescent="0.15">
      <c r="D939" s="3"/>
    </row>
    <row r="940" spans="4:4" ht="13" x14ac:dyDescent="0.15">
      <c r="D940" s="3"/>
    </row>
    <row r="941" spans="4:4" ht="13" x14ac:dyDescent="0.15">
      <c r="D941" s="3"/>
    </row>
    <row r="942" spans="4:4" ht="13" x14ac:dyDescent="0.15">
      <c r="D942" s="3"/>
    </row>
    <row r="943" spans="4:4" ht="13" x14ac:dyDescent="0.15">
      <c r="D943" s="3"/>
    </row>
    <row r="944" spans="4:4" ht="13" x14ac:dyDescent="0.15">
      <c r="D944" s="3"/>
    </row>
    <row r="945" spans="4:4" ht="13" x14ac:dyDescent="0.15">
      <c r="D945" s="3"/>
    </row>
    <row r="946" spans="4:4" ht="13" x14ac:dyDescent="0.15">
      <c r="D946" s="3"/>
    </row>
    <row r="947" spans="4:4" ht="13" x14ac:dyDescent="0.15">
      <c r="D947" s="3"/>
    </row>
    <row r="948" spans="4:4" ht="13" x14ac:dyDescent="0.15">
      <c r="D948" s="3"/>
    </row>
    <row r="949" spans="4:4" ht="13" x14ac:dyDescent="0.15">
      <c r="D949" s="3"/>
    </row>
    <row r="950" spans="4:4" ht="13" x14ac:dyDescent="0.15">
      <c r="D950" s="3"/>
    </row>
    <row r="951" spans="4:4" ht="13" x14ac:dyDescent="0.15">
      <c r="D951" s="3"/>
    </row>
    <row r="952" spans="4:4" ht="13" x14ac:dyDescent="0.15">
      <c r="D952" s="3"/>
    </row>
    <row r="953" spans="4:4" ht="13" x14ac:dyDescent="0.15">
      <c r="D953" s="3"/>
    </row>
    <row r="954" spans="4:4" ht="13" x14ac:dyDescent="0.15">
      <c r="D954" s="3"/>
    </row>
    <row r="955" spans="4:4" ht="13" x14ac:dyDescent="0.15">
      <c r="D955" s="3"/>
    </row>
    <row r="956" spans="4:4" ht="13" x14ac:dyDescent="0.15">
      <c r="D956" s="3"/>
    </row>
    <row r="957" spans="4:4" ht="13" x14ac:dyDescent="0.15">
      <c r="D957" s="3"/>
    </row>
    <row r="958" spans="4:4" ht="13" x14ac:dyDescent="0.15">
      <c r="D958" s="3"/>
    </row>
    <row r="959" spans="4:4" ht="13" x14ac:dyDescent="0.15">
      <c r="D959" s="3"/>
    </row>
    <row r="960" spans="4:4" ht="13" x14ac:dyDescent="0.15">
      <c r="D960" s="3"/>
    </row>
    <row r="961" spans="4:4" ht="13" x14ac:dyDescent="0.15">
      <c r="D961" s="3"/>
    </row>
    <row r="962" spans="4:4" ht="13" x14ac:dyDescent="0.15">
      <c r="D962" s="3"/>
    </row>
    <row r="963" spans="4:4" ht="13" x14ac:dyDescent="0.15">
      <c r="D963" s="3"/>
    </row>
    <row r="964" spans="4:4" ht="13" x14ac:dyDescent="0.15">
      <c r="D964" s="3"/>
    </row>
    <row r="965" spans="4:4" ht="13" x14ac:dyDescent="0.15">
      <c r="D965" s="3"/>
    </row>
    <row r="966" spans="4:4" ht="13" x14ac:dyDescent="0.15">
      <c r="D966" s="3"/>
    </row>
    <row r="967" spans="4:4" ht="13" x14ac:dyDescent="0.15">
      <c r="D967" s="3"/>
    </row>
    <row r="968" spans="4:4" ht="13" x14ac:dyDescent="0.15">
      <c r="D968" s="3"/>
    </row>
    <row r="969" spans="4:4" ht="13" x14ac:dyDescent="0.15">
      <c r="D969" s="3"/>
    </row>
    <row r="970" spans="4:4" ht="13" x14ac:dyDescent="0.15">
      <c r="D970" s="3"/>
    </row>
    <row r="971" spans="4:4" ht="13" x14ac:dyDescent="0.15">
      <c r="D971" s="3"/>
    </row>
    <row r="972" spans="4:4" ht="13" x14ac:dyDescent="0.15">
      <c r="D972" s="3"/>
    </row>
    <row r="973" spans="4:4" ht="13" x14ac:dyDescent="0.15">
      <c r="D973" s="3"/>
    </row>
    <row r="974" spans="4:4" ht="13" x14ac:dyDescent="0.15">
      <c r="D974" s="3"/>
    </row>
    <row r="975" spans="4:4" ht="13" x14ac:dyDescent="0.15">
      <c r="D975" s="3"/>
    </row>
    <row r="976" spans="4:4" ht="13" x14ac:dyDescent="0.15">
      <c r="D976" s="3"/>
    </row>
    <row r="977" spans="4:4" ht="13" x14ac:dyDescent="0.15">
      <c r="D977" s="3"/>
    </row>
    <row r="978" spans="4:4" ht="13" x14ac:dyDescent="0.15">
      <c r="D978" s="3"/>
    </row>
    <row r="979" spans="4:4" ht="13" x14ac:dyDescent="0.15">
      <c r="D979" s="3"/>
    </row>
    <row r="980" spans="4:4" ht="13" x14ac:dyDescent="0.15">
      <c r="D980" s="3"/>
    </row>
    <row r="981" spans="4:4" ht="13" x14ac:dyDescent="0.15">
      <c r="D981" s="3"/>
    </row>
    <row r="982" spans="4:4" ht="13" x14ac:dyDescent="0.15">
      <c r="D982" s="3"/>
    </row>
    <row r="983" spans="4:4" ht="13" x14ac:dyDescent="0.15">
      <c r="D983" s="3"/>
    </row>
    <row r="984" spans="4:4" ht="13" x14ac:dyDescent="0.15">
      <c r="D984" s="3"/>
    </row>
    <row r="985" spans="4:4" ht="13" x14ac:dyDescent="0.15">
      <c r="D985" s="3"/>
    </row>
    <row r="986" spans="4:4" ht="13" x14ac:dyDescent="0.15">
      <c r="D986" s="3"/>
    </row>
    <row r="987" spans="4:4" ht="13" x14ac:dyDescent="0.15">
      <c r="D987" s="3"/>
    </row>
    <row r="988" spans="4:4" ht="13" x14ac:dyDescent="0.15">
      <c r="D988" s="3"/>
    </row>
    <row r="989" spans="4:4" ht="13" x14ac:dyDescent="0.15">
      <c r="D989" s="3"/>
    </row>
    <row r="990" spans="4:4" ht="13" x14ac:dyDescent="0.15">
      <c r="D990" s="3"/>
    </row>
    <row r="991" spans="4:4" ht="13" x14ac:dyDescent="0.15">
      <c r="D991" s="3"/>
    </row>
    <row r="992" spans="4:4" ht="13" x14ac:dyDescent="0.15">
      <c r="D992" s="3"/>
    </row>
    <row r="993" spans="4:4" ht="13" x14ac:dyDescent="0.15">
      <c r="D993" s="3"/>
    </row>
    <row r="994" spans="4:4" ht="13" x14ac:dyDescent="0.15">
      <c r="D994" s="3"/>
    </row>
    <row r="995" spans="4:4" ht="13" x14ac:dyDescent="0.15">
      <c r="D995" s="3"/>
    </row>
    <row r="996" spans="4:4" ht="13" x14ac:dyDescent="0.15">
      <c r="D996" s="3"/>
    </row>
    <row r="997" spans="4:4" ht="13" x14ac:dyDescent="0.15">
      <c r="D997" s="3"/>
    </row>
    <row r="998" spans="4:4" ht="13" x14ac:dyDescent="0.15">
      <c r="D998" s="3"/>
    </row>
    <row r="999" spans="4:4" ht="13" x14ac:dyDescent="0.15">
      <c r="D999" s="3"/>
    </row>
    <row r="1000" spans="4:4" ht="13" x14ac:dyDescent="0.15">
      <c r="D1000" s="3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8"/>
  <sheetViews>
    <sheetView workbookViewId="0">
      <selection activeCell="S19" sqref="S19"/>
    </sheetView>
  </sheetViews>
  <sheetFormatPr baseColWidth="10" defaultColWidth="14.5" defaultRowHeight="15.75" customHeight="1" x14ac:dyDescent="0.15"/>
  <cols>
    <col min="1" max="1" width="6.33203125" customWidth="1"/>
    <col min="2" max="2" width="15.1640625" customWidth="1"/>
    <col min="3" max="5" width="10.83203125" customWidth="1"/>
    <col min="6" max="12" width="4.83203125" customWidth="1"/>
    <col min="13" max="13" width="10.83203125" customWidth="1"/>
    <col min="14" max="19" width="8.6640625" customWidth="1"/>
  </cols>
  <sheetData>
    <row r="1" spans="1:19" ht="12.75" customHeight="1" x14ac:dyDescent="0.15">
      <c r="A1" s="9" t="s">
        <v>94</v>
      </c>
      <c r="B1" s="10" t="s">
        <v>95</v>
      </c>
      <c r="C1" s="9" t="s">
        <v>96</v>
      </c>
      <c r="D1" s="9" t="s">
        <v>97</v>
      </c>
      <c r="E1" s="9" t="s">
        <v>98</v>
      </c>
      <c r="F1" s="11" t="s">
        <v>276</v>
      </c>
      <c r="G1" s="11" t="s">
        <v>277</v>
      </c>
      <c r="H1" s="11" t="s">
        <v>100</v>
      </c>
      <c r="I1" s="11" t="s">
        <v>101</v>
      </c>
      <c r="J1" s="11" t="s">
        <v>102</v>
      </c>
      <c r="K1" s="11" t="s">
        <v>104</v>
      </c>
      <c r="L1" s="11" t="s">
        <v>106</v>
      </c>
      <c r="M1" s="12" t="s">
        <v>108</v>
      </c>
      <c r="N1" s="13"/>
      <c r="O1" s="13"/>
      <c r="P1" s="13"/>
      <c r="Q1" s="13"/>
      <c r="R1" s="13"/>
      <c r="S1" s="13"/>
    </row>
    <row r="2" spans="1:19" ht="12.75" customHeight="1" x14ac:dyDescent="0.15">
      <c r="A2" s="13"/>
      <c r="B2" s="13"/>
      <c r="C2" s="14">
        <v>20</v>
      </c>
      <c r="D2" s="24" t="s">
        <v>98</v>
      </c>
      <c r="E2" s="25"/>
      <c r="F2" s="15">
        <v>14</v>
      </c>
      <c r="G2" s="15">
        <v>14</v>
      </c>
      <c r="H2" s="15">
        <v>22</v>
      </c>
      <c r="I2" s="15">
        <v>22</v>
      </c>
      <c r="J2" s="15">
        <v>18</v>
      </c>
      <c r="K2" s="15">
        <v>56</v>
      </c>
      <c r="L2" s="15">
        <v>42</v>
      </c>
      <c r="M2" s="13"/>
      <c r="N2" s="13"/>
      <c r="O2" s="13"/>
      <c r="P2" s="13"/>
      <c r="Q2" s="13"/>
      <c r="R2" s="13"/>
      <c r="S2" s="13"/>
    </row>
    <row r="3" spans="1:19" ht="12.75" customHeight="1" x14ac:dyDescent="0.15">
      <c r="A3" s="13"/>
      <c r="B3" s="13"/>
      <c r="C3" s="14">
        <f>AVERAGE(C12:C69)</f>
        <v>9.681034482758621</v>
      </c>
      <c r="D3" s="24" t="s">
        <v>109</v>
      </c>
      <c r="E3" s="25"/>
      <c r="F3" s="16">
        <f t="shared" ref="F3:L3" si="0">AVERAGE(F12:F69)/F2</f>
        <v>0.4642857142857143</v>
      </c>
      <c r="G3" s="16">
        <f t="shared" si="0"/>
        <v>0.37561576354679804</v>
      </c>
      <c r="H3" s="16">
        <f t="shared" si="0"/>
        <v>0.45532915360501569</v>
      </c>
      <c r="I3" s="16">
        <f t="shared" si="0"/>
        <v>0.63166144200626961</v>
      </c>
      <c r="J3" s="16">
        <f t="shared" si="0"/>
        <v>0.2413793103448276</v>
      </c>
      <c r="K3" s="16">
        <f t="shared" si="0"/>
        <v>0.54341133004926101</v>
      </c>
      <c r="L3" s="16">
        <f t="shared" si="0"/>
        <v>0.53940886699507384</v>
      </c>
      <c r="M3" s="13"/>
      <c r="N3" s="13"/>
      <c r="O3" s="13"/>
      <c r="P3" s="13"/>
      <c r="Q3" s="13"/>
      <c r="R3" s="13"/>
      <c r="S3" s="13"/>
    </row>
    <row r="4" spans="1:19" ht="12.75" customHeight="1" x14ac:dyDescent="0.15">
      <c r="A4" s="17"/>
      <c r="B4" s="18" t="s">
        <v>163</v>
      </c>
      <c r="C4" s="19" t="s">
        <v>111</v>
      </c>
      <c r="D4" s="20">
        <f>SUM(A4)</f>
        <v>0</v>
      </c>
      <c r="E4" s="20"/>
      <c r="F4" s="20"/>
      <c r="G4" s="20"/>
      <c r="H4" s="20"/>
      <c r="I4" s="20"/>
      <c r="J4" s="20"/>
      <c r="K4" s="20"/>
      <c r="L4" s="20"/>
      <c r="M4" s="21"/>
      <c r="N4" s="13"/>
      <c r="O4" s="13"/>
      <c r="P4" s="13"/>
      <c r="Q4" s="13"/>
      <c r="R4" s="13"/>
      <c r="S4" s="13"/>
    </row>
    <row r="5" spans="1:19" ht="12.75" customHeight="1" x14ac:dyDescent="0.15">
      <c r="A5" s="17"/>
      <c r="B5" s="18" t="s">
        <v>110</v>
      </c>
      <c r="C5" s="19" t="s">
        <v>111</v>
      </c>
      <c r="D5" s="20">
        <f>SUM(A5)</f>
        <v>0</v>
      </c>
      <c r="E5" s="20"/>
      <c r="F5" s="20"/>
      <c r="G5" s="20"/>
      <c r="H5" s="20"/>
      <c r="I5" s="20"/>
      <c r="J5" s="20"/>
      <c r="K5" s="20"/>
      <c r="L5" s="20"/>
      <c r="M5" s="21"/>
      <c r="N5" s="13"/>
      <c r="O5" s="13"/>
      <c r="P5" s="13"/>
      <c r="Q5" s="13"/>
      <c r="R5" s="13"/>
      <c r="S5" s="13"/>
    </row>
    <row r="6" spans="1:19" ht="12.75" customHeight="1" x14ac:dyDescent="0.15">
      <c r="A6" s="17"/>
      <c r="B6" s="18" t="s">
        <v>112</v>
      </c>
      <c r="C6" s="19" t="s">
        <v>111</v>
      </c>
      <c r="D6" s="20">
        <f>SUM(A6)</f>
        <v>0</v>
      </c>
      <c r="E6" s="20"/>
      <c r="F6" s="20"/>
      <c r="G6" s="20"/>
      <c r="H6" s="20"/>
      <c r="I6" s="20"/>
      <c r="J6" s="20"/>
      <c r="K6" s="20"/>
      <c r="L6" s="20"/>
      <c r="M6" s="21"/>
      <c r="N6" s="13"/>
      <c r="O6" s="13"/>
      <c r="P6" s="13"/>
      <c r="Q6" s="13"/>
      <c r="R6" s="13"/>
      <c r="S6" s="13"/>
    </row>
    <row r="7" spans="1:19" ht="12.75" customHeight="1" x14ac:dyDescent="0.15">
      <c r="A7" s="17"/>
      <c r="B7" s="18" t="s">
        <v>253</v>
      </c>
      <c r="C7" s="19" t="s">
        <v>111</v>
      </c>
      <c r="D7" s="20">
        <f>SUM(A7)</f>
        <v>0</v>
      </c>
      <c r="E7" s="20"/>
      <c r="F7" s="20"/>
      <c r="G7" s="20"/>
      <c r="H7" s="20"/>
      <c r="I7" s="20"/>
      <c r="J7" s="20"/>
      <c r="K7" s="20"/>
      <c r="L7" s="20"/>
      <c r="M7" s="21"/>
      <c r="N7" s="13"/>
      <c r="O7" s="13"/>
      <c r="P7" s="13"/>
      <c r="Q7" s="13"/>
      <c r="R7" s="13"/>
      <c r="S7" s="13"/>
    </row>
    <row r="8" spans="1:19" ht="12.75" customHeight="1" x14ac:dyDescent="0.15">
      <c r="A8" s="17"/>
      <c r="B8" s="18" t="s">
        <v>129</v>
      </c>
      <c r="C8" s="19" t="s">
        <v>111</v>
      </c>
      <c r="D8" s="20">
        <f>SUM(A8)</f>
        <v>0</v>
      </c>
      <c r="E8" s="20"/>
      <c r="F8" s="20"/>
      <c r="G8" s="20"/>
      <c r="H8" s="20"/>
      <c r="I8" s="20"/>
      <c r="J8" s="20"/>
      <c r="K8" s="20"/>
      <c r="L8" s="20"/>
      <c r="M8" s="21"/>
      <c r="N8" s="13"/>
      <c r="O8" s="13"/>
      <c r="P8" s="13"/>
      <c r="Q8" s="13"/>
      <c r="R8" s="13"/>
      <c r="S8" s="13"/>
    </row>
    <row r="9" spans="1:19" ht="12.75" customHeight="1" x14ac:dyDescent="0.15">
      <c r="A9" s="17"/>
      <c r="B9" s="18" t="s">
        <v>133</v>
      </c>
      <c r="C9" s="19" t="s">
        <v>111</v>
      </c>
      <c r="D9" s="20">
        <f>SUM(A9)</f>
        <v>0</v>
      </c>
      <c r="E9" s="20"/>
      <c r="F9" s="20"/>
      <c r="G9" s="20"/>
      <c r="H9" s="20"/>
      <c r="I9" s="20"/>
      <c r="J9" s="20"/>
      <c r="K9" s="20"/>
      <c r="L9" s="20"/>
      <c r="M9" s="21"/>
      <c r="N9" s="13"/>
      <c r="O9" s="13"/>
      <c r="P9" s="13"/>
      <c r="Q9" s="13"/>
      <c r="R9" s="13"/>
      <c r="S9" s="13"/>
    </row>
    <row r="10" spans="1:19" ht="12.75" customHeight="1" x14ac:dyDescent="0.15">
      <c r="A10" s="17"/>
      <c r="B10" s="18" t="s">
        <v>159</v>
      </c>
      <c r="C10" s="19" t="s">
        <v>111</v>
      </c>
      <c r="D10" s="20">
        <f>SUM(A10)</f>
        <v>0</v>
      </c>
      <c r="E10" s="20"/>
      <c r="F10" s="20"/>
      <c r="G10" s="20"/>
      <c r="H10" s="20"/>
      <c r="I10" s="20"/>
      <c r="J10" s="20"/>
      <c r="K10" s="20"/>
      <c r="L10" s="20"/>
      <c r="M10" s="21"/>
      <c r="N10" s="13"/>
      <c r="O10" s="13"/>
      <c r="P10" s="13"/>
      <c r="Q10" s="13"/>
      <c r="R10" s="13"/>
      <c r="S10" s="13"/>
    </row>
    <row r="11" spans="1:19" ht="12.75" customHeight="1" x14ac:dyDescent="0.15">
      <c r="A11" s="17"/>
      <c r="B11" s="18" t="s">
        <v>113</v>
      </c>
      <c r="C11" s="19" t="s">
        <v>111</v>
      </c>
      <c r="D11" s="20">
        <f>SUM(A11)</f>
        <v>0</v>
      </c>
      <c r="E11" s="20"/>
      <c r="F11" s="20"/>
      <c r="G11" s="20"/>
      <c r="H11" s="20"/>
      <c r="I11" s="20"/>
      <c r="J11" s="20"/>
      <c r="K11" s="20"/>
      <c r="L11" s="20"/>
      <c r="M11" s="21"/>
      <c r="N11" s="13"/>
      <c r="O11" s="13"/>
      <c r="P11" s="13"/>
      <c r="Q11" s="13"/>
      <c r="R11" s="13"/>
      <c r="S11" s="13"/>
    </row>
    <row r="12" spans="1:19" ht="12.75" customHeight="1" x14ac:dyDescent="0.15">
      <c r="A12" s="17" t="s">
        <v>222</v>
      </c>
      <c r="B12" s="18" t="s">
        <v>211</v>
      </c>
      <c r="C12" s="14">
        <f t="shared" ref="C12:C69" si="1">IF($C$2&gt;0,MIN($C$2,ROUNDDOWN(D12/E12*$C$2/0.5,0)*0.5),ROUNDDOWN(D12/0.5,0)*0.5)</f>
        <v>3.5</v>
      </c>
      <c r="D12" s="15">
        <f t="shared" ref="D12:D69" si="2">SUM(F12:L12)</f>
        <v>36</v>
      </c>
      <c r="E12" s="15">
        <v>188</v>
      </c>
      <c r="F12" s="15">
        <v>0</v>
      </c>
      <c r="G12" s="15">
        <v>6</v>
      </c>
      <c r="H12" s="15">
        <v>10</v>
      </c>
      <c r="I12" s="15">
        <v>0</v>
      </c>
      <c r="J12" s="15">
        <v>0</v>
      </c>
      <c r="K12" s="15">
        <v>20</v>
      </c>
      <c r="L12" s="15">
        <v>0</v>
      </c>
      <c r="M12" s="21" t="s">
        <v>211</v>
      </c>
      <c r="N12" s="13"/>
      <c r="O12" s="13"/>
      <c r="P12" s="13"/>
      <c r="Q12" s="13"/>
      <c r="R12" s="13"/>
      <c r="S12" s="13"/>
    </row>
    <row r="13" spans="1:19" ht="12.75" customHeight="1" x14ac:dyDescent="0.15">
      <c r="A13" s="17" t="s">
        <v>166</v>
      </c>
      <c r="B13" s="18" t="s">
        <v>117</v>
      </c>
      <c r="C13" s="14">
        <f t="shared" si="1"/>
        <v>3.5</v>
      </c>
      <c r="D13" s="15">
        <f t="shared" si="2"/>
        <v>37</v>
      </c>
      <c r="E13" s="15">
        <v>188</v>
      </c>
      <c r="F13" s="15">
        <v>0</v>
      </c>
      <c r="G13" s="15">
        <v>0</v>
      </c>
      <c r="H13" s="15">
        <v>0</v>
      </c>
      <c r="I13" s="15">
        <v>0</v>
      </c>
      <c r="J13" s="15">
        <v>8</v>
      </c>
      <c r="K13" s="15">
        <v>29</v>
      </c>
      <c r="L13" s="15">
        <v>0</v>
      </c>
      <c r="M13" s="21" t="s">
        <v>117</v>
      </c>
      <c r="N13" s="13"/>
      <c r="O13" s="13"/>
      <c r="P13" s="13"/>
      <c r="Q13" s="13"/>
      <c r="R13" s="13"/>
      <c r="S13" s="13"/>
    </row>
    <row r="14" spans="1:19" ht="12.75" customHeight="1" x14ac:dyDescent="0.15">
      <c r="A14" s="17" t="s">
        <v>199</v>
      </c>
      <c r="B14" s="18" t="s">
        <v>121</v>
      </c>
      <c r="C14" s="14">
        <f t="shared" si="1"/>
        <v>4.5</v>
      </c>
      <c r="D14" s="15">
        <f t="shared" si="2"/>
        <v>43</v>
      </c>
      <c r="E14" s="15">
        <v>188</v>
      </c>
      <c r="F14" s="22">
        <v>0</v>
      </c>
      <c r="G14" s="22">
        <v>0</v>
      </c>
      <c r="H14" s="22">
        <v>0</v>
      </c>
      <c r="I14" s="15">
        <v>0</v>
      </c>
      <c r="J14" s="22">
        <v>0</v>
      </c>
      <c r="K14" s="15">
        <v>16</v>
      </c>
      <c r="L14" s="15">
        <v>27</v>
      </c>
      <c r="M14" s="21" t="s">
        <v>121</v>
      </c>
      <c r="N14" s="13"/>
      <c r="O14" s="13"/>
      <c r="P14" s="13"/>
      <c r="Q14" s="13"/>
      <c r="R14" s="13"/>
      <c r="S14" s="13"/>
    </row>
    <row r="15" spans="1:19" ht="12.75" customHeight="1" x14ac:dyDescent="0.15">
      <c r="A15" s="17" t="s">
        <v>220</v>
      </c>
      <c r="B15" s="18" t="s">
        <v>151</v>
      </c>
      <c r="C15" s="14">
        <f t="shared" si="1"/>
        <v>4.5</v>
      </c>
      <c r="D15" s="15">
        <f t="shared" si="2"/>
        <v>43</v>
      </c>
      <c r="E15" s="15">
        <v>188</v>
      </c>
      <c r="F15" s="15">
        <v>0</v>
      </c>
      <c r="G15" s="15">
        <v>0</v>
      </c>
      <c r="H15" s="15">
        <v>0</v>
      </c>
      <c r="I15" s="15">
        <v>0</v>
      </c>
      <c r="J15" s="15">
        <v>8</v>
      </c>
      <c r="K15" s="15">
        <v>22</v>
      </c>
      <c r="L15" s="15">
        <v>13</v>
      </c>
      <c r="M15" s="21" t="s">
        <v>151</v>
      </c>
      <c r="N15" s="13"/>
      <c r="O15" s="13"/>
      <c r="P15" s="13"/>
      <c r="Q15" s="13"/>
      <c r="R15" s="13"/>
      <c r="S15" s="13"/>
    </row>
    <row r="16" spans="1:19" ht="12.75" customHeight="1" x14ac:dyDescent="0.15">
      <c r="A16" s="17" t="s">
        <v>131</v>
      </c>
      <c r="B16" s="18" t="s">
        <v>193</v>
      </c>
      <c r="C16" s="14">
        <f t="shared" si="1"/>
        <v>5.5</v>
      </c>
      <c r="D16" s="15">
        <f t="shared" si="2"/>
        <v>53</v>
      </c>
      <c r="E16" s="15">
        <v>188</v>
      </c>
      <c r="F16" s="22">
        <v>0</v>
      </c>
      <c r="G16" s="22">
        <v>0</v>
      </c>
      <c r="H16" s="15">
        <v>10</v>
      </c>
      <c r="I16" s="15">
        <v>0</v>
      </c>
      <c r="J16" s="22">
        <v>0</v>
      </c>
      <c r="K16" s="15">
        <v>29</v>
      </c>
      <c r="L16" s="15">
        <v>14</v>
      </c>
      <c r="M16" s="21" t="s">
        <v>193</v>
      </c>
      <c r="N16" s="13"/>
      <c r="O16" s="13"/>
      <c r="P16" s="13"/>
      <c r="Q16" s="13"/>
      <c r="R16" s="13"/>
      <c r="S16" s="13"/>
    </row>
    <row r="17" spans="1:19" ht="12.75" customHeight="1" x14ac:dyDescent="0.15">
      <c r="A17" s="17" t="s">
        <v>221</v>
      </c>
      <c r="B17" s="18" t="s">
        <v>185</v>
      </c>
      <c r="C17" s="14">
        <f t="shared" si="1"/>
        <v>5.5</v>
      </c>
      <c r="D17" s="15">
        <f t="shared" si="2"/>
        <v>55</v>
      </c>
      <c r="E17" s="15">
        <v>188</v>
      </c>
      <c r="F17" s="15">
        <v>0</v>
      </c>
      <c r="G17" s="22">
        <v>0</v>
      </c>
      <c r="H17" s="22">
        <v>0</v>
      </c>
      <c r="I17" s="15">
        <v>0</v>
      </c>
      <c r="J17" s="22">
        <v>0</v>
      </c>
      <c r="K17" s="15">
        <v>29</v>
      </c>
      <c r="L17" s="15">
        <v>26</v>
      </c>
      <c r="M17" s="21" t="s">
        <v>185</v>
      </c>
      <c r="N17" s="13"/>
      <c r="O17" s="13"/>
      <c r="P17" s="13"/>
      <c r="Q17" s="13"/>
      <c r="R17" s="13"/>
      <c r="S17" s="13"/>
    </row>
    <row r="18" spans="1:19" ht="12.75" customHeight="1" x14ac:dyDescent="0.15">
      <c r="A18" s="17" t="s">
        <v>182</v>
      </c>
      <c r="B18" s="18" t="s">
        <v>142</v>
      </c>
      <c r="C18" s="14">
        <f t="shared" si="1"/>
        <v>6.5</v>
      </c>
      <c r="D18" s="15">
        <f t="shared" si="2"/>
        <v>63</v>
      </c>
      <c r="E18" s="15">
        <v>188</v>
      </c>
      <c r="F18" s="15">
        <v>7</v>
      </c>
      <c r="G18" s="15">
        <v>0</v>
      </c>
      <c r="H18" s="15">
        <v>0</v>
      </c>
      <c r="I18" s="15">
        <v>0</v>
      </c>
      <c r="J18" s="15">
        <v>0</v>
      </c>
      <c r="K18" s="15">
        <v>29</v>
      </c>
      <c r="L18" s="15">
        <v>27</v>
      </c>
      <c r="M18" s="21" t="s">
        <v>142</v>
      </c>
      <c r="N18" s="13"/>
      <c r="O18" s="13"/>
      <c r="P18" s="13"/>
      <c r="Q18" s="13"/>
      <c r="R18" s="13"/>
      <c r="S18" s="13"/>
    </row>
    <row r="19" spans="1:19" ht="12.75" customHeight="1" x14ac:dyDescent="0.15">
      <c r="A19" s="17" t="s">
        <v>183</v>
      </c>
      <c r="B19" s="18" t="s">
        <v>259</v>
      </c>
      <c r="C19" s="14">
        <f t="shared" si="1"/>
        <v>6.5</v>
      </c>
      <c r="D19" s="15">
        <f t="shared" si="2"/>
        <v>65</v>
      </c>
      <c r="E19" s="15">
        <v>188</v>
      </c>
      <c r="F19" s="15">
        <v>7</v>
      </c>
      <c r="G19" s="15">
        <v>6</v>
      </c>
      <c r="H19" s="15">
        <v>10</v>
      </c>
      <c r="I19" s="15">
        <v>0</v>
      </c>
      <c r="J19" s="22">
        <v>0</v>
      </c>
      <c r="K19" s="15">
        <v>29</v>
      </c>
      <c r="L19" s="15">
        <v>13</v>
      </c>
      <c r="M19" s="21" t="s">
        <v>259</v>
      </c>
      <c r="N19" s="13"/>
      <c r="O19" s="13"/>
      <c r="P19" s="13"/>
      <c r="Q19" s="13"/>
      <c r="R19" s="13"/>
      <c r="S19" s="13"/>
    </row>
    <row r="20" spans="1:19" ht="12.75" customHeight="1" x14ac:dyDescent="0.15">
      <c r="A20" s="17" t="s">
        <v>254</v>
      </c>
      <c r="B20" s="18" t="s">
        <v>209</v>
      </c>
      <c r="C20" s="14">
        <f t="shared" si="1"/>
        <v>6.5</v>
      </c>
      <c r="D20" s="15">
        <f t="shared" si="2"/>
        <v>63</v>
      </c>
      <c r="E20" s="15">
        <v>188</v>
      </c>
      <c r="F20" s="15">
        <v>5</v>
      </c>
      <c r="G20" s="15">
        <v>0</v>
      </c>
      <c r="H20" s="15">
        <v>0</v>
      </c>
      <c r="I20" s="15">
        <v>0</v>
      </c>
      <c r="J20" s="15">
        <v>0</v>
      </c>
      <c r="K20" s="15">
        <v>47</v>
      </c>
      <c r="L20" s="15">
        <v>11</v>
      </c>
      <c r="M20" s="21" t="s">
        <v>212</v>
      </c>
      <c r="N20" s="13"/>
      <c r="O20" s="13"/>
      <c r="P20" s="13"/>
      <c r="Q20" s="13"/>
      <c r="R20" s="13"/>
      <c r="S20" s="13"/>
    </row>
    <row r="21" spans="1:19" ht="12.75" customHeight="1" x14ac:dyDescent="0.15">
      <c r="A21" s="17" t="s">
        <v>238</v>
      </c>
      <c r="B21" s="18" t="s">
        <v>226</v>
      </c>
      <c r="C21" s="14">
        <f t="shared" si="1"/>
        <v>6.5</v>
      </c>
      <c r="D21" s="15">
        <f t="shared" si="2"/>
        <v>62</v>
      </c>
      <c r="E21" s="15">
        <v>188</v>
      </c>
      <c r="F21" s="15">
        <v>7</v>
      </c>
      <c r="G21" s="15">
        <v>0</v>
      </c>
      <c r="H21" s="15">
        <v>0</v>
      </c>
      <c r="I21" s="15">
        <v>0</v>
      </c>
      <c r="J21" s="15">
        <v>0</v>
      </c>
      <c r="K21" s="15">
        <v>29</v>
      </c>
      <c r="L21" s="15">
        <v>26</v>
      </c>
      <c r="M21" s="21" t="s">
        <v>226</v>
      </c>
      <c r="N21" s="13"/>
      <c r="O21" s="13"/>
      <c r="P21" s="13"/>
      <c r="Q21" s="13"/>
      <c r="R21" s="13"/>
      <c r="S21" s="13"/>
    </row>
    <row r="22" spans="1:19" ht="12.75" customHeight="1" x14ac:dyDescent="0.15">
      <c r="A22" s="17" t="s">
        <v>188</v>
      </c>
      <c r="B22" s="18" t="s">
        <v>204</v>
      </c>
      <c r="C22" s="14">
        <f t="shared" si="1"/>
        <v>7</v>
      </c>
      <c r="D22" s="15">
        <f t="shared" si="2"/>
        <v>66</v>
      </c>
      <c r="E22" s="15">
        <v>188</v>
      </c>
      <c r="F22" s="15">
        <v>6</v>
      </c>
      <c r="G22" s="22">
        <v>0</v>
      </c>
      <c r="H22" s="15">
        <v>10</v>
      </c>
      <c r="I22" s="15">
        <v>0</v>
      </c>
      <c r="J22" s="15">
        <v>9</v>
      </c>
      <c r="K22" s="15">
        <v>29</v>
      </c>
      <c r="L22" s="15">
        <v>12</v>
      </c>
      <c r="M22" s="21" t="s">
        <v>204</v>
      </c>
      <c r="N22" s="13"/>
      <c r="O22" s="13"/>
      <c r="P22" s="13"/>
      <c r="Q22" s="13"/>
      <c r="R22" s="13"/>
      <c r="S22" s="13"/>
    </row>
    <row r="23" spans="1:19" ht="12.75" customHeight="1" x14ac:dyDescent="0.15">
      <c r="A23" s="17" t="s">
        <v>197</v>
      </c>
      <c r="B23" s="18" t="s">
        <v>119</v>
      </c>
      <c r="C23" s="14">
        <f t="shared" si="1"/>
        <v>7.5</v>
      </c>
      <c r="D23" s="15">
        <f t="shared" si="2"/>
        <v>74</v>
      </c>
      <c r="E23" s="15">
        <v>188</v>
      </c>
      <c r="F23" s="15">
        <v>0</v>
      </c>
      <c r="G23" s="15">
        <v>0</v>
      </c>
      <c r="H23" s="15">
        <v>22</v>
      </c>
      <c r="I23" s="15">
        <v>22</v>
      </c>
      <c r="J23" s="15">
        <v>0</v>
      </c>
      <c r="K23" s="15">
        <v>30</v>
      </c>
      <c r="L23" s="15">
        <v>0</v>
      </c>
      <c r="M23" s="21" t="s">
        <v>120</v>
      </c>
      <c r="N23" s="13"/>
      <c r="O23" s="13"/>
      <c r="P23" s="13"/>
      <c r="Q23" s="13"/>
      <c r="R23" s="13"/>
      <c r="S23" s="13"/>
    </row>
    <row r="24" spans="1:19" ht="12.75" customHeight="1" x14ac:dyDescent="0.15">
      <c r="A24" s="17" t="s">
        <v>245</v>
      </c>
      <c r="B24" s="18" t="s">
        <v>234</v>
      </c>
      <c r="C24" s="14">
        <f t="shared" si="1"/>
        <v>7.5</v>
      </c>
      <c r="D24" s="15">
        <f t="shared" si="2"/>
        <v>72</v>
      </c>
      <c r="E24" s="15">
        <v>188</v>
      </c>
      <c r="F24" s="22">
        <v>0</v>
      </c>
      <c r="G24" s="22">
        <v>0</v>
      </c>
      <c r="H24" s="22">
        <v>0</v>
      </c>
      <c r="I24" s="15">
        <v>22</v>
      </c>
      <c r="J24" s="15">
        <v>8</v>
      </c>
      <c r="K24" s="15">
        <v>29</v>
      </c>
      <c r="L24" s="15">
        <v>13</v>
      </c>
      <c r="M24" s="21" t="s">
        <v>234</v>
      </c>
      <c r="N24" s="13"/>
      <c r="O24" s="13"/>
      <c r="P24" s="13"/>
      <c r="Q24" s="13"/>
      <c r="R24" s="13"/>
      <c r="S24" s="13"/>
    </row>
    <row r="25" spans="1:19" ht="12.75" customHeight="1" x14ac:dyDescent="0.15">
      <c r="A25" s="17" t="s">
        <v>172</v>
      </c>
      <c r="B25" s="18" t="s">
        <v>146</v>
      </c>
      <c r="C25" s="14">
        <f t="shared" si="1"/>
        <v>7.5</v>
      </c>
      <c r="D25" s="15">
        <f t="shared" si="2"/>
        <v>72</v>
      </c>
      <c r="E25" s="15">
        <v>188</v>
      </c>
      <c r="F25" s="15">
        <v>6</v>
      </c>
      <c r="G25" s="15">
        <v>0</v>
      </c>
      <c r="H25" s="15">
        <v>10</v>
      </c>
      <c r="I25" s="15">
        <v>0</v>
      </c>
      <c r="J25" s="15">
        <v>0</v>
      </c>
      <c r="K25" s="15">
        <v>29</v>
      </c>
      <c r="L25" s="15">
        <v>27</v>
      </c>
      <c r="M25" s="21" t="s">
        <v>146</v>
      </c>
      <c r="N25" s="13"/>
      <c r="O25" s="13"/>
      <c r="P25" s="13"/>
      <c r="Q25" s="13"/>
      <c r="R25" s="13"/>
      <c r="S25" s="13"/>
    </row>
    <row r="26" spans="1:19" ht="12.75" customHeight="1" x14ac:dyDescent="0.15">
      <c r="A26" s="17" t="s">
        <v>145</v>
      </c>
      <c r="B26" s="18" t="s">
        <v>167</v>
      </c>
      <c r="C26" s="14">
        <f t="shared" si="1"/>
        <v>7.5</v>
      </c>
      <c r="D26" s="15">
        <f t="shared" si="2"/>
        <v>73</v>
      </c>
      <c r="E26" s="15">
        <v>188</v>
      </c>
      <c r="F26" s="15">
        <v>0</v>
      </c>
      <c r="G26" s="15">
        <v>0</v>
      </c>
      <c r="H26" s="15">
        <v>22</v>
      </c>
      <c r="I26" s="15">
        <v>22</v>
      </c>
      <c r="J26" s="15">
        <v>0</v>
      </c>
      <c r="K26" s="15">
        <v>29</v>
      </c>
      <c r="L26" s="15">
        <v>0</v>
      </c>
      <c r="M26" s="21" t="s">
        <v>167</v>
      </c>
      <c r="N26" s="13"/>
      <c r="O26" s="13"/>
      <c r="P26" s="13"/>
      <c r="Q26" s="13"/>
      <c r="R26" s="13"/>
      <c r="S26" s="13"/>
    </row>
    <row r="27" spans="1:19" ht="12.75" customHeight="1" x14ac:dyDescent="0.15">
      <c r="A27" s="17" t="s">
        <v>162</v>
      </c>
      <c r="B27" s="18" t="s">
        <v>157</v>
      </c>
      <c r="C27" s="14">
        <f t="shared" si="1"/>
        <v>7.5</v>
      </c>
      <c r="D27" s="15">
        <f t="shared" si="2"/>
        <v>72</v>
      </c>
      <c r="E27" s="15">
        <v>188</v>
      </c>
      <c r="F27" s="15">
        <v>7</v>
      </c>
      <c r="G27" s="15">
        <v>6</v>
      </c>
      <c r="H27" s="15">
        <v>0</v>
      </c>
      <c r="I27" s="15">
        <v>10</v>
      </c>
      <c r="J27" s="15">
        <v>8</v>
      </c>
      <c r="K27" s="15">
        <v>29</v>
      </c>
      <c r="L27" s="15">
        <v>12</v>
      </c>
      <c r="M27" s="21" t="s">
        <v>157</v>
      </c>
      <c r="N27" s="13"/>
      <c r="O27" s="13"/>
      <c r="P27" s="13"/>
      <c r="Q27" s="13"/>
      <c r="R27" s="13"/>
      <c r="S27" s="13"/>
    </row>
    <row r="28" spans="1:19" ht="12.75" customHeight="1" x14ac:dyDescent="0.15">
      <c r="A28" s="17" t="s">
        <v>122</v>
      </c>
      <c r="B28" s="18" t="s">
        <v>165</v>
      </c>
      <c r="C28" s="14">
        <f t="shared" si="1"/>
        <v>8</v>
      </c>
      <c r="D28" s="15">
        <f t="shared" si="2"/>
        <v>77</v>
      </c>
      <c r="E28" s="15">
        <v>188</v>
      </c>
      <c r="F28" s="15">
        <v>0</v>
      </c>
      <c r="G28" s="15">
        <v>0</v>
      </c>
      <c r="H28" s="15">
        <v>22</v>
      </c>
      <c r="I28" s="15">
        <v>0</v>
      </c>
      <c r="J28" s="15">
        <v>0</v>
      </c>
      <c r="K28" s="15">
        <v>29</v>
      </c>
      <c r="L28" s="15">
        <v>26</v>
      </c>
      <c r="M28" s="21" t="s">
        <v>165</v>
      </c>
      <c r="N28" s="13"/>
      <c r="O28" s="13"/>
      <c r="P28" s="13"/>
      <c r="Q28" s="13"/>
      <c r="R28" s="13"/>
      <c r="S28" s="13"/>
    </row>
    <row r="29" spans="1:19" ht="12.75" customHeight="1" x14ac:dyDescent="0.15">
      <c r="A29" s="17" t="s">
        <v>230</v>
      </c>
      <c r="B29" s="18" t="s">
        <v>150</v>
      </c>
      <c r="C29" s="14">
        <f t="shared" si="1"/>
        <v>8.5</v>
      </c>
      <c r="D29" s="15">
        <f t="shared" si="2"/>
        <v>80</v>
      </c>
      <c r="E29" s="15">
        <v>188</v>
      </c>
      <c r="F29" s="15">
        <v>0</v>
      </c>
      <c r="G29" s="15">
        <v>7</v>
      </c>
      <c r="H29" s="15">
        <v>0</v>
      </c>
      <c r="I29" s="15">
        <v>22</v>
      </c>
      <c r="J29" s="15">
        <v>18</v>
      </c>
      <c r="K29" s="15">
        <v>21</v>
      </c>
      <c r="L29" s="15">
        <v>12</v>
      </c>
      <c r="M29" s="21" t="s">
        <v>150</v>
      </c>
      <c r="N29" s="13"/>
      <c r="O29" s="13"/>
      <c r="P29" s="13"/>
      <c r="Q29" s="13"/>
      <c r="R29" s="13"/>
      <c r="S29" s="13"/>
    </row>
    <row r="30" spans="1:19" ht="12.75" customHeight="1" x14ac:dyDescent="0.15">
      <c r="A30" s="17" t="s">
        <v>118</v>
      </c>
      <c r="B30" s="18" t="s">
        <v>115</v>
      </c>
      <c r="C30" s="14">
        <f t="shared" si="1"/>
        <v>8.5</v>
      </c>
      <c r="D30" s="15">
        <f t="shared" si="2"/>
        <v>84</v>
      </c>
      <c r="E30" s="15">
        <v>188</v>
      </c>
      <c r="F30" s="15">
        <v>0</v>
      </c>
      <c r="G30" s="15">
        <v>6</v>
      </c>
      <c r="H30" s="15">
        <v>0</v>
      </c>
      <c r="I30" s="15">
        <v>22</v>
      </c>
      <c r="J30" s="15">
        <v>0</v>
      </c>
      <c r="K30" s="15">
        <v>29</v>
      </c>
      <c r="L30" s="15">
        <v>27</v>
      </c>
      <c r="M30" s="21" t="s">
        <v>289</v>
      </c>
      <c r="N30" s="13"/>
      <c r="O30" s="13"/>
      <c r="P30" s="13"/>
      <c r="Q30" s="13"/>
      <c r="R30" s="13"/>
      <c r="S30" s="13"/>
    </row>
    <row r="31" spans="1:19" ht="12.75" customHeight="1" x14ac:dyDescent="0.15">
      <c r="A31" s="17" t="s">
        <v>158</v>
      </c>
      <c r="B31" s="18" t="s">
        <v>224</v>
      </c>
      <c r="C31" s="14">
        <f t="shared" si="1"/>
        <v>9</v>
      </c>
      <c r="D31" s="15">
        <f t="shared" si="2"/>
        <v>88</v>
      </c>
      <c r="E31" s="15">
        <v>188</v>
      </c>
      <c r="F31" s="15">
        <v>8</v>
      </c>
      <c r="G31" s="15">
        <v>8</v>
      </c>
      <c r="H31" s="15">
        <v>12</v>
      </c>
      <c r="I31" s="15">
        <v>10</v>
      </c>
      <c r="J31" s="22">
        <v>0</v>
      </c>
      <c r="K31" s="15">
        <v>21</v>
      </c>
      <c r="L31" s="15">
        <v>29</v>
      </c>
      <c r="M31" s="21" t="s">
        <v>224</v>
      </c>
      <c r="N31" s="13"/>
      <c r="O31" s="13"/>
      <c r="P31" s="13"/>
      <c r="Q31" s="13"/>
      <c r="R31" s="13"/>
      <c r="S31" s="13"/>
    </row>
    <row r="32" spans="1:19" ht="12.75" customHeight="1" x14ac:dyDescent="0.15">
      <c r="A32" s="17" t="s">
        <v>252</v>
      </c>
      <c r="B32" s="18" t="s">
        <v>137</v>
      </c>
      <c r="C32" s="14">
        <f t="shared" si="1"/>
        <v>9</v>
      </c>
      <c r="D32" s="15">
        <f t="shared" si="2"/>
        <v>86</v>
      </c>
      <c r="E32" s="15">
        <v>188</v>
      </c>
      <c r="F32" s="15">
        <v>7</v>
      </c>
      <c r="G32" s="15">
        <v>0</v>
      </c>
      <c r="H32" s="15">
        <v>0</v>
      </c>
      <c r="I32" s="15">
        <v>0</v>
      </c>
      <c r="J32" s="15">
        <v>0</v>
      </c>
      <c r="K32" s="15">
        <v>38</v>
      </c>
      <c r="L32" s="15">
        <v>41</v>
      </c>
      <c r="M32" s="21" t="s">
        <v>137</v>
      </c>
      <c r="N32" s="13"/>
      <c r="O32" s="13"/>
      <c r="P32" s="13"/>
      <c r="Q32" s="13"/>
      <c r="R32" s="13"/>
      <c r="S32" s="13"/>
    </row>
    <row r="33" spans="1:19" ht="12.75" customHeight="1" x14ac:dyDescent="0.15">
      <c r="A33" s="17" t="s">
        <v>255</v>
      </c>
      <c r="B33" s="18" t="s">
        <v>256</v>
      </c>
      <c r="C33" s="14">
        <f t="shared" si="1"/>
        <v>9.5</v>
      </c>
      <c r="D33" s="15">
        <f t="shared" si="2"/>
        <v>92</v>
      </c>
      <c r="E33" s="15">
        <v>188</v>
      </c>
      <c r="F33" s="15">
        <v>14</v>
      </c>
      <c r="G33" s="22">
        <v>0</v>
      </c>
      <c r="H33" s="15">
        <v>0</v>
      </c>
      <c r="I33" s="15">
        <v>22</v>
      </c>
      <c r="J33" s="15">
        <v>0</v>
      </c>
      <c r="K33" s="15">
        <v>29</v>
      </c>
      <c r="L33" s="15">
        <v>27</v>
      </c>
      <c r="M33" s="21" t="s">
        <v>256</v>
      </c>
      <c r="N33" s="13"/>
      <c r="O33" s="13"/>
      <c r="P33" s="13"/>
      <c r="Q33" s="13"/>
      <c r="R33" s="13"/>
      <c r="S33" s="13"/>
    </row>
    <row r="34" spans="1:19" ht="12.75" customHeight="1" x14ac:dyDescent="0.15">
      <c r="A34" s="17" t="s">
        <v>161</v>
      </c>
      <c r="B34" s="18" t="s">
        <v>202</v>
      </c>
      <c r="C34" s="14">
        <f t="shared" si="1"/>
        <v>9.5</v>
      </c>
      <c r="D34" s="15">
        <f t="shared" si="2"/>
        <v>90</v>
      </c>
      <c r="E34" s="15">
        <v>188</v>
      </c>
      <c r="F34" s="15">
        <v>0</v>
      </c>
      <c r="G34" s="15">
        <v>7</v>
      </c>
      <c r="H34" s="15">
        <v>10</v>
      </c>
      <c r="I34" s="15">
        <v>22</v>
      </c>
      <c r="J34" s="15">
        <v>18</v>
      </c>
      <c r="K34" s="15">
        <v>21</v>
      </c>
      <c r="L34" s="15">
        <v>12</v>
      </c>
      <c r="M34" s="21" t="s">
        <v>202</v>
      </c>
      <c r="N34" s="13"/>
      <c r="O34" s="13"/>
      <c r="P34" s="13"/>
      <c r="Q34" s="13"/>
      <c r="R34" s="13"/>
      <c r="S34" s="13"/>
    </row>
    <row r="35" spans="1:19" ht="12.75" customHeight="1" x14ac:dyDescent="0.15">
      <c r="A35" s="17" t="s">
        <v>217</v>
      </c>
      <c r="B35" s="18" t="s">
        <v>206</v>
      </c>
      <c r="C35" s="14">
        <f t="shared" si="1"/>
        <v>9.5</v>
      </c>
      <c r="D35" s="15">
        <f t="shared" si="2"/>
        <v>93</v>
      </c>
      <c r="E35" s="15">
        <v>188</v>
      </c>
      <c r="F35" s="15">
        <v>14</v>
      </c>
      <c r="G35" s="15">
        <v>14</v>
      </c>
      <c r="H35" s="15">
        <v>0</v>
      </c>
      <c r="I35" s="15">
        <v>22</v>
      </c>
      <c r="J35" s="15">
        <v>0</v>
      </c>
      <c r="K35" s="15">
        <v>29</v>
      </c>
      <c r="L35" s="15">
        <v>14</v>
      </c>
      <c r="M35" s="21" t="s">
        <v>207</v>
      </c>
      <c r="N35" s="13"/>
      <c r="O35" s="13"/>
      <c r="P35" s="13"/>
      <c r="Q35" s="13"/>
      <c r="R35" s="13"/>
      <c r="S35" s="13"/>
    </row>
    <row r="36" spans="1:19" ht="12.75" customHeight="1" x14ac:dyDescent="0.15">
      <c r="A36" s="17" t="s">
        <v>203</v>
      </c>
      <c r="B36" s="18" t="s">
        <v>247</v>
      </c>
      <c r="C36" s="14">
        <f t="shared" si="1"/>
        <v>10</v>
      </c>
      <c r="D36" s="15">
        <f t="shared" si="2"/>
        <v>94</v>
      </c>
      <c r="E36" s="15">
        <v>188</v>
      </c>
      <c r="F36" s="15">
        <v>14</v>
      </c>
      <c r="G36" s="15">
        <v>14</v>
      </c>
      <c r="H36" s="15">
        <v>0</v>
      </c>
      <c r="I36" s="15">
        <v>22</v>
      </c>
      <c r="J36" s="15">
        <v>0</v>
      </c>
      <c r="K36" s="15">
        <v>30</v>
      </c>
      <c r="L36" s="15">
        <v>14</v>
      </c>
      <c r="M36" s="21" t="s">
        <v>247</v>
      </c>
      <c r="N36" s="13"/>
      <c r="O36" s="13"/>
      <c r="P36" s="13"/>
      <c r="Q36" s="13"/>
      <c r="R36" s="13"/>
      <c r="S36" s="13"/>
    </row>
    <row r="37" spans="1:19" ht="12.75" customHeight="1" x14ac:dyDescent="0.15">
      <c r="A37" s="17" t="s">
        <v>139</v>
      </c>
      <c r="B37" s="18" t="s">
        <v>229</v>
      </c>
      <c r="C37" s="14">
        <f t="shared" si="1"/>
        <v>10</v>
      </c>
      <c r="D37" s="15">
        <f t="shared" si="2"/>
        <v>95</v>
      </c>
      <c r="E37" s="15">
        <v>188</v>
      </c>
      <c r="F37" s="15">
        <v>6</v>
      </c>
      <c r="G37" s="22">
        <v>0</v>
      </c>
      <c r="H37" s="15">
        <v>11</v>
      </c>
      <c r="I37" s="15">
        <v>22</v>
      </c>
      <c r="J37" s="22">
        <v>0</v>
      </c>
      <c r="K37" s="15">
        <v>29</v>
      </c>
      <c r="L37" s="15">
        <v>27</v>
      </c>
      <c r="M37" s="21" t="s">
        <v>229</v>
      </c>
      <c r="N37" s="13"/>
      <c r="O37" s="13"/>
      <c r="P37" s="13"/>
      <c r="Q37" s="13"/>
      <c r="R37" s="13"/>
      <c r="S37" s="13"/>
    </row>
    <row r="38" spans="1:19" ht="12.75" customHeight="1" x14ac:dyDescent="0.15">
      <c r="A38" s="17" t="s">
        <v>125</v>
      </c>
      <c r="B38" s="18" t="s">
        <v>231</v>
      </c>
      <c r="C38" s="14">
        <f t="shared" si="1"/>
        <v>10</v>
      </c>
      <c r="D38" s="15">
        <f t="shared" si="2"/>
        <v>94</v>
      </c>
      <c r="E38" s="15">
        <v>188</v>
      </c>
      <c r="F38" s="15">
        <v>14</v>
      </c>
      <c r="G38" s="15">
        <v>0</v>
      </c>
      <c r="H38" s="15">
        <v>10</v>
      </c>
      <c r="I38" s="15">
        <v>22</v>
      </c>
      <c r="J38" s="15">
        <v>0</v>
      </c>
      <c r="K38" s="15">
        <v>21</v>
      </c>
      <c r="L38" s="15">
        <v>27</v>
      </c>
      <c r="M38" s="21" t="s">
        <v>231</v>
      </c>
      <c r="N38" s="13"/>
      <c r="O38" s="13"/>
      <c r="P38" s="13"/>
      <c r="Q38" s="13"/>
      <c r="R38" s="13"/>
      <c r="S38" s="13"/>
    </row>
    <row r="39" spans="1:19" ht="12.75" customHeight="1" x14ac:dyDescent="0.15">
      <c r="A39" s="17" t="s">
        <v>184</v>
      </c>
      <c r="B39" s="18" t="s">
        <v>208</v>
      </c>
      <c r="C39" s="14">
        <f t="shared" si="1"/>
        <v>10</v>
      </c>
      <c r="D39" s="15">
        <f t="shared" si="2"/>
        <v>98</v>
      </c>
      <c r="E39" s="15">
        <v>188</v>
      </c>
      <c r="F39" s="15">
        <v>0</v>
      </c>
      <c r="G39" s="15">
        <v>0</v>
      </c>
      <c r="H39" s="15">
        <v>22</v>
      </c>
      <c r="I39" s="15">
        <v>22</v>
      </c>
      <c r="J39" s="15">
        <v>0</v>
      </c>
      <c r="K39" s="15">
        <v>29</v>
      </c>
      <c r="L39" s="15">
        <v>25</v>
      </c>
      <c r="M39" s="21" t="s">
        <v>208</v>
      </c>
      <c r="N39" s="13"/>
      <c r="O39" s="13"/>
      <c r="P39" s="13"/>
      <c r="Q39" s="13"/>
      <c r="R39" s="13"/>
      <c r="S39" s="13"/>
    </row>
    <row r="40" spans="1:19" ht="12.75" customHeight="1" x14ac:dyDescent="0.15">
      <c r="A40" s="17" t="s">
        <v>179</v>
      </c>
      <c r="B40" s="18" t="s">
        <v>244</v>
      </c>
      <c r="C40" s="14">
        <f t="shared" si="1"/>
        <v>10</v>
      </c>
      <c r="D40" s="15">
        <f t="shared" si="2"/>
        <v>94</v>
      </c>
      <c r="E40" s="15">
        <v>188</v>
      </c>
      <c r="F40" s="15">
        <v>0</v>
      </c>
      <c r="G40" s="15">
        <v>0</v>
      </c>
      <c r="H40" s="15">
        <v>22</v>
      </c>
      <c r="I40" s="15">
        <v>22</v>
      </c>
      <c r="J40" s="15">
        <v>8</v>
      </c>
      <c r="K40" s="15">
        <v>29</v>
      </c>
      <c r="L40" s="15">
        <v>13</v>
      </c>
      <c r="M40" s="21" t="s">
        <v>246</v>
      </c>
      <c r="N40" s="13"/>
      <c r="O40" s="13"/>
      <c r="P40" s="13"/>
      <c r="Q40" s="13"/>
      <c r="R40" s="13"/>
      <c r="S40" s="13"/>
    </row>
    <row r="41" spans="1:19" ht="12.75" customHeight="1" x14ac:dyDescent="0.15">
      <c r="A41" s="17" t="s">
        <v>194</v>
      </c>
      <c r="B41" s="18" t="s">
        <v>132</v>
      </c>
      <c r="C41" s="14">
        <f t="shared" si="1"/>
        <v>10.5</v>
      </c>
      <c r="D41" s="15">
        <f t="shared" si="2"/>
        <v>102</v>
      </c>
      <c r="E41" s="15">
        <v>188</v>
      </c>
      <c r="F41" s="15">
        <v>0</v>
      </c>
      <c r="G41" s="22">
        <v>0</v>
      </c>
      <c r="H41" s="15">
        <v>22</v>
      </c>
      <c r="I41" s="15">
        <v>0</v>
      </c>
      <c r="J41" s="15">
        <v>8</v>
      </c>
      <c r="K41" s="15">
        <v>30</v>
      </c>
      <c r="L41" s="15">
        <v>42</v>
      </c>
      <c r="M41" s="21" t="s">
        <v>147</v>
      </c>
      <c r="N41" s="13"/>
      <c r="O41" s="13"/>
      <c r="P41" s="13"/>
      <c r="Q41" s="13"/>
      <c r="R41" s="13"/>
      <c r="S41" s="13"/>
    </row>
    <row r="42" spans="1:19" ht="12.75" customHeight="1" x14ac:dyDescent="0.15">
      <c r="A42" s="17" t="s">
        <v>174</v>
      </c>
      <c r="B42" s="18" t="s">
        <v>173</v>
      </c>
      <c r="C42" s="14">
        <f t="shared" si="1"/>
        <v>10.5</v>
      </c>
      <c r="D42" s="15">
        <f t="shared" si="2"/>
        <v>99</v>
      </c>
      <c r="E42" s="15">
        <v>188</v>
      </c>
      <c r="F42" s="15">
        <v>6</v>
      </c>
      <c r="G42" s="15">
        <v>12</v>
      </c>
      <c r="H42" s="15">
        <v>11</v>
      </c>
      <c r="I42" s="15">
        <v>0</v>
      </c>
      <c r="J42" s="15">
        <v>0</v>
      </c>
      <c r="K42" s="15">
        <v>30</v>
      </c>
      <c r="L42" s="15">
        <v>40</v>
      </c>
      <c r="M42" s="21" t="s">
        <v>173</v>
      </c>
      <c r="N42" s="13"/>
      <c r="O42" s="13"/>
      <c r="P42" s="13"/>
      <c r="Q42" s="13"/>
      <c r="R42" s="13"/>
      <c r="S42" s="13"/>
    </row>
    <row r="43" spans="1:19" ht="12.75" customHeight="1" x14ac:dyDescent="0.15">
      <c r="A43" s="17" t="s">
        <v>175</v>
      </c>
      <c r="B43" s="18" t="s">
        <v>154</v>
      </c>
      <c r="C43" s="14">
        <f t="shared" si="1"/>
        <v>10.5</v>
      </c>
      <c r="D43" s="15">
        <f t="shared" si="2"/>
        <v>102</v>
      </c>
      <c r="E43" s="15">
        <v>188</v>
      </c>
      <c r="F43" s="15">
        <v>7</v>
      </c>
      <c r="G43" s="15">
        <v>6</v>
      </c>
      <c r="H43" s="15">
        <v>11</v>
      </c>
      <c r="I43" s="15">
        <v>22</v>
      </c>
      <c r="J43" s="15">
        <v>0</v>
      </c>
      <c r="K43" s="15">
        <v>29</v>
      </c>
      <c r="L43" s="15">
        <v>27</v>
      </c>
      <c r="M43" s="21" t="s">
        <v>154</v>
      </c>
      <c r="N43" s="13"/>
      <c r="O43" s="13"/>
      <c r="P43" s="13"/>
      <c r="Q43" s="13"/>
      <c r="R43" s="13"/>
      <c r="S43" s="13"/>
    </row>
    <row r="44" spans="1:19" ht="12.75" customHeight="1" x14ac:dyDescent="0.15">
      <c r="A44" s="17" t="s">
        <v>138</v>
      </c>
      <c r="B44" s="18" t="s">
        <v>218</v>
      </c>
      <c r="C44" s="14">
        <f t="shared" si="1"/>
        <v>10.5</v>
      </c>
      <c r="D44" s="15">
        <f t="shared" si="2"/>
        <v>103</v>
      </c>
      <c r="E44" s="15">
        <v>188</v>
      </c>
      <c r="F44" s="15">
        <v>7</v>
      </c>
      <c r="G44" s="15">
        <v>7</v>
      </c>
      <c r="H44" s="15">
        <v>10</v>
      </c>
      <c r="I44" s="15">
        <v>22</v>
      </c>
      <c r="J44" s="15">
        <v>0</v>
      </c>
      <c r="K44" s="15">
        <v>29</v>
      </c>
      <c r="L44" s="15">
        <v>28</v>
      </c>
      <c r="M44" s="21" t="s">
        <v>218</v>
      </c>
      <c r="N44" s="13"/>
      <c r="O44" s="13"/>
      <c r="P44" s="13"/>
      <c r="Q44" s="13"/>
      <c r="R44" s="13"/>
      <c r="S44" s="13"/>
    </row>
    <row r="45" spans="1:19" ht="12.75" customHeight="1" x14ac:dyDescent="0.15">
      <c r="A45" s="17" t="s">
        <v>169</v>
      </c>
      <c r="B45" s="18" t="s">
        <v>187</v>
      </c>
      <c r="C45" s="14">
        <f t="shared" si="1"/>
        <v>10.5</v>
      </c>
      <c r="D45" s="15">
        <f t="shared" si="2"/>
        <v>100</v>
      </c>
      <c r="E45" s="15">
        <v>188</v>
      </c>
      <c r="F45" s="15">
        <v>13</v>
      </c>
      <c r="G45" s="15">
        <v>0</v>
      </c>
      <c r="H45" s="15">
        <v>0</v>
      </c>
      <c r="I45" s="15">
        <v>22</v>
      </c>
      <c r="J45" s="15">
        <v>8</v>
      </c>
      <c r="K45" s="15">
        <v>29</v>
      </c>
      <c r="L45" s="15">
        <v>28</v>
      </c>
      <c r="M45" s="21" t="s">
        <v>187</v>
      </c>
      <c r="N45" s="13"/>
      <c r="O45" s="13"/>
      <c r="P45" s="13"/>
      <c r="Q45" s="13"/>
      <c r="R45" s="13"/>
      <c r="S45" s="13"/>
    </row>
    <row r="46" spans="1:19" ht="12.75" customHeight="1" x14ac:dyDescent="0.15">
      <c r="A46" s="17" t="s">
        <v>223</v>
      </c>
      <c r="B46" s="18" t="s">
        <v>128</v>
      </c>
      <c r="C46" s="14">
        <f t="shared" si="1"/>
        <v>10.5</v>
      </c>
      <c r="D46" s="15">
        <f t="shared" si="2"/>
        <v>101</v>
      </c>
      <c r="E46" s="15">
        <v>188</v>
      </c>
      <c r="F46" s="15">
        <v>0</v>
      </c>
      <c r="G46" s="15">
        <v>0</v>
      </c>
      <c r="H46" s="15">
        <v>22</v>
      </c>
      <c r="I46" s="15">
        <v>22</v>
      </c>
      <c r="J46" s="15">
        <v>0</v>
      </c>
      <c r="K46" s="15">
        <v>30</v>
      </c>
      <c r="L46" s="15">
        <v>27</v>
      </c>
      <c r="M46" s="21" t="s">
        <v>128</v>
      </c>
      <c r="N46" s="13"/>
      <c r="O46" s="13"/>
      <c r="P46" s="13"/>
      <c r="Q46" s="13"/>
      <c r="R46" s="13"/>
      <c r="S46" s="13"/>
    </row>
    <row r="47" spans="1:19" ht="12.75" customHeight="1" x14ac:dyDescent="0.15">
      <c r="A47" s="17" t="s">
        <v>225</v>
      </c>
      <c r="B47" s="18" t="s">
        <v>249</v>
      </c>
      <c r="C47" s="14">
        <f t="shared" si="1"/>
        <v>11</v>
      </c>
      <c r="D47" s="15">
        <f t="shared" si="2"/>
        <v>106</v>
      </c>
      <c r="E47" s="15">
        <v>188</v>
      </c>
      <c r="F47" s="15">
        <v>14</v>
      </c>
      <c r="G47" s="15">
        <v>14</v>
      </c>
      <c r="H47" s="15">
        <v>0</v>
      </c>
      <c r="I47" s="15">
        <v>22</v>
      </c>
      <c r="J47" s="15">
        <v>0</v>
      </c>
      <c r="K47" s="15">
        <v>29</v>
      </c>
      <c r="L47" s="15">
        <v>27</v>
      </c>
      <c r="M47" s="21" t="s">
        <v>249</v>
      </c>
      <c r="N47" s="13"/>
      <c r="O47" s="13"/>
      <c r="P47" s="13"/>
      <c r="Q47" s="13"/>
      <c r="R47" s="13"/>
      <c r="S47" s="13"/>
    </row>
    <row r="48" spans="1:19" ht="12.75" customHeight="1" x14ac:dyDescent="0.15">
      <c r="A48" s="17" t="s">
        <v>227</v>
      </c>
      <c r="B48" s="18" t="s">
        <v>258</v>
      </c>
      <c r="C48" s="14">
        <f t="shared" si="1"/>
        <v>11</v>
      </c>
      <c r="D48" s="15">
        <f t="shared" si="2"/>
        <v>106</v>
      </c>
      <c r="E48" s="15">
        <v>188</v>
      </c>
      <c r="F48" s="15">
        <v>7</v>
      </c>
      <c r="G48" s="15">
        <v>14</v>
      </c>
      <c r="H48" s="15">
        <v>0</v>
      </c>
      <c r="I48" s="15">
        <v>10</v>
      </c>
      <c r="J48" s="15">
        <v>18</v>
      </c>
      <c r="K48" s="15">
        <v>29</v>
      </c>
      <c r="L48" s="15">
        <v>28</v>
      </c>
      <c r="M48" s="21" t="s">
        <v>258</v>
      </c>
      <c r="N48" s="13"/>
      <c r="O48" s="13"/>
      <c r="P48" s="13"/>
      <c r="Q48" s="13"/>
      <c r="R48" s="13"/>
      <c r="S48" s="13"/>
    </row>
    <row r="49" spans="1:19" ht="12.75" customHeight="1" x14ac:dyDescent="0.15">
      <c r="A49" s="17" t="s">
        <v>213</v>
      </c>
      <c r="B49" s="18" t="s">
        <v>123</v>
      </c>
      <c r="C49" s="14">
        <f t="shared" si="1"/>
        <v>11</v>
      </c>
      <c r="D49" s="15">
        <f t="shared" si="2"/>
        <v>105</v>
      </c>
      <c r="E49" s="15">
        <v>188</v>
      </c>
      <c r="F49" s="15">
        <v>6</v>
      </c>
      <c r="G49" s="15">
        <v>14</v>
      </c>
      <c r="H49" s="15">
        <v>11</v>
      </c>
      <c r="I49" s="15">
        <v>22</v>
      </c>
      <c r="J49" s="22">
        <v>0</v>
      </c>
      <c r="K49" s="15">
        <v>38</v>
      </c>
      <c r="L49" s="15">
        <v>14</v>
      </c>
      <c r="M49" s="21" t="s">
        <v>124</v>
      </c>
      <c r="N49" s="13"/>
      <c r="O49" s="13"/>
      <c r="P49" s="13"/>
      <c r="Q49" s="13"/>
      <c r="R49" s="13"/>
      <c r="S49" s="13"/>
    </row>
    <row r="50" spans="1:19" ht="12.75" customHeight="1" x14ac:dyDescent="0.15">
      <c r="A50" s="17" t="s">
        <v>219</v>
      </c>
      <c r="B50" s="18" t="s">
        <v>144</v>
      </c>
      <c r="C50" s="14">
        <f t="shared" si="1"/>
        <v>11</v>
      </c>
      <c r="D50" s="15">
        <f t="shared" si="2"/>
        <v>108</v>
      </c>
      <c r="E50" s="15">
        <v>188</v>
      </c>
      <c r="F50" s="15">
        <v>14</v>
      </c>
      <c r="G50" s="15">
        <v>14</v>
      </c>
      <c r="H50" s="15">
        <v>10</v>
      </c>
      <c r="I50" s="15">
        <v>22</v>
      </c>
      <c r="J50" s="15">
        <v>0</v>
      </c>
      <c r="K50" s="15">
        <v>21</v>
      </c>
      <c r="L50" s="15">
        <v>27</v>
      </c>
      <c r="M50" s="21" t="s">
        <v>281</v>
      </c>
      <c r="N50" s="13"/>
      <c r="O50" s="13"/>
      <c r="P50" s="13"/>
      <c r="Q50" s="13"/>
      <c r="R50" s="13"/>
      <c r="S50" s="13"/>
    </row>
    <row r="51" spans="1:19" ht="12.75" customHeight="1" x14ac:dyDescent="0.15">
      <c r="A51" s="17" t="s">
        <v>257</v>
      </c>
      <c r="B51" s="18" t="s">
        <v>239</v>
      </c>
      <c r="C51" s="14">
        <f t="shared" si="1"/>
        <v>11</v>
      </c>
      <c r="D51" s="15">
        <f t="shared" si="2"/>
        <v>107</v>
      </c>
      <c r="E51" s="15">
        <v>188</v>
      </c>
      <c r="F51" s="15">
        <v>13</v>
      </c>
      <c r="G51" s="15">
        <v>0</v>
      </c>
      <c r="H51" s="15">
        <v>10</v>
      </c>
      <c r="I51" s="15">
        <v>0</v>
      </c>
      <c r="J51" s="15">
        <v>18</v>
      </c>
      <c r="K51" s="15">
        <v>39</v>
      </c>
      <c r="L51" s="15">
        <v>27</v>
      </c>
      <c r="M51" s="21" t="s">
        <v>239</v>
      </c>
      <c r="N51" s="13"/>
      <c r="O51" s="13"/>
      <c r="P51" s="13"/>
      <c r="Q51" s="13"/>
      <c r="R51" s="13"/>
      <c r="S51" s="13"/>
    </row>
    <row r="52" spans="1:19" ht="12.75" customHeight="1" x14ac:dyDescent="0.15">
      <c r="A52" s="17" t="s">
        <v>164</v>
      </c>
      <c r="B52" s="18" t="s">
        <v>242</v>
      </c>
      <c r="C52" s="14">
        <f t="shared" si="1"/>
        <v>11</v>
      </c>
      <c r="D52" s="15">
        <f t="shared" si="2"/>
        <v>104</v>
      </c>
      <c r="E52" s="15">
        <v>188</v>
      </c>
      <c r="F52" s="15">
        <v>7</v>
      </c>
      <c r="G52" s="15">
        <v>0</v>
      </c>
      <c r="H52" s="15">
        <v>22</v>
      </c>
      <c r="I52" s="15">
        <v>10</v>
      </c>
      <c r="J52" s="15">
        <v>8</v>
      </c>
      <c r="K52" s="15">
        <v>29</v>
      </c>
      <c r="L52" s="15">
        <v>28</v>
      </c>
      <c r="M52" s="21" t="s">
        <v>242</v>
      </c>
      <c r="N52" s="13"/>
      <c r="O52" s="13"/>
      <c r="P52" s="13"/>
      <c r="Q52" s="13"/>
      <c r="R52" s="13"/>
      <c r="S52" s="13"/>
    </row>
    <row r="53" spans="1:19" ht="12.75" customHeight="1" x14ac:dyDescent="0.15">
      <c r="A53" s="17" t="s">
        <v>215</v>
      </c>
      <c r="B53" s="18" t="s">
        <v>237</v>
      </c>
      <c r="C53" s="14">
        <f t="shared" si="1"/>
        <v>11.5</v>
      </c>
      <c r="D53" s="15">
        <f t="shared" si="2"/>
        <v>111</v>
      </c>
      <c r="E53" s="15">
        <v>188</v>
      </c>
      <c r="F53" s="15">
        <v>0</v>
      </c>
      <c r="G53" s="15">
        <v>14</v>
      </c>
      <c r="H53" s="15">
        <v>10</v>
      </c>
      <c r="I53" s="15">
        <v>22</v>
      </c>
      <c r="J53" s="15">
        <v>8</v>
      </c>
      <c r="K53" s="15">
        <v>29</v>
      </c>
      <c r="L53" s="15">
        <v>28</v>
      </c>
      <c r="M53" s="21" t="s">
        <v>237</v>
      </c>
      <c r="N53" s="13"/>
      <c r="O53" s="13"/>
      <c r="P53" s="13"/>
      <c r="Q53" s="13"/>
      <c r="R53" s="13"/>
      <c r="S53" s="13"/>
    </row>
    <row r="54" spans="1:19" ht="12.75" customHeight="1" x14ac:dyDescent="0.15">
      <c r="A54" s="17" t="s">
        <v>186</v>
      </c>
      <c r="B54" s="18" t="s">
        <v>126</v>
      </c>
      <c r="C54" s="14">
        <f t="shared" si="1"/>
        <v>11.5</v>
      </c>
      <c r="D54" s="15">
        <f t="shared" si="2"/>
        <v>110</v>
      </c>
      <c r="E54" s="15">
        <v>188</v>
      </c>
      <c r="F54" s="15">
        <v>12</v>
      </c>
      <c r="G54" s="15">
        <v>14</v>
      </c>
      <c r="H54" s="15">
        <v>22</v>
      </c>
      <c r="I54" s="15">
        <v>22</v>
      </c>
      <c r="J54" s="15">
        <v>0</v>
      </c>
      <c r="K54" s="15">
        <v>29</v>
      </c>
      <c r="L54" s="15">
        <v>11</v>
      </c>
      <c r="M54" s="21" t="s">
        <v>126</v>
      </c>
      <c r="N54" s="13"/>
      <c r="O54" s="13"/>
      <c r="P54" s="13"/>
      <c r="Q54" s="13"/>
      <c r="R54" s="13"/>
      <c r="S54" s="13"/>
    </row>
    <row r="55" spans="1:19" ht="12.75" customHeight="1" x14ac:dyDescent="0.15">
      <c r="A55" s="17" t="s">
        <v>114</v>
      </c>
      <c r="B55" s="18" t="s">
        <v>148</v>
      </c>
      <c r="C55" s="14">
        <f t="shared" si="1"/>
        <v>11.5</v>
      </c>
      <c r="D55" s="15">
        <f t="shared" si="2"/>
        <v>112</v>
      </c>
      <c r="E55" s="15">
        <v>188</v>
      </c>
      <c r="F55" s="15">
        <v>6</v>
      </c>
      <c r="G55" s="15">
        <v>14</v>
      </c>
      <c r="H55" s="15">
        <v>10</v>
      </c>
      <c r="I55" s="15">
        <v>22</v>
      </c>
      <c r="J55" s="15">
        <v>8</v>
      </c>
      <c r="K55" s="15">
        <v>38</v>
      </c>
      <c r="L55" s="15">
        <v>14</v>
      </c>
      <c r="M55" s="21" t="s">
        <v>148</v>
      </c>
      <c r="N55" s="13"/>
      <c r="O55" s="13"/>
      <c r="P55" s="13"/>
      <c r="Q55" s="13"/>
      <c r="R55" s="13"/>
      <c r="S55" s="13"/>
    </row>
    <row r="56" spans="1:19" ht="12.75" customHeight="1" x14ac:dyDescent="0.15">
      <c r="A56" s="17" t="s">
        <v>152</v>
      </c>
      <c r="B56" s="18" t="s">
        <v>153</v>
      </c>
      <c r="C56" s="14">
        <f t="shared" si="1"/>
        <v>11.5</v>
      </c>
      <c r="D56" s="15">
        <f t="shared" si="2"/>
        <v>109</v>
      </c>
      <c r="E56" s="15">
        <v>188</v>
      </c>
      <c r="F56" s="15">
        <v>14</v>
      </c>
      <c r="G56" s="15">
        <v>0</v>
      </c>
      <c r="H56" s="15">
        <v>0</v>
      </c>
      <c r="I56" s="15">
        <v>22</v>
      </c>
      <c r="J56" s="15">
        <v>18</v>
      </c>
      <c r="K56" s="15">
        <v>29</v>
      </c>
      <c r="L56" s="15">
        <v>26</v>
      </c>
      <c r="M56" s="21" t="s">
        <v>261</v>
      </c>
      <c r="N56" s="13"/>
      <c r="O56" s="13"/>
      <c r="P56" s="13"/>
      <c r="Q56" s="13"/>
      <c r="R56" s="13"/>
      <c r="S56" s="13"/>
    </row>
    <row r="57" spans="1:19" ht="12.75" customHeight="1" x14ac:dyDescent="0.15">
      <c r="A57" s="17" t="s">
        <v>143</v>
      </c>
      <c r="B57" s="18" t="s">
        <v>228</v>
      </c>
      <c r="C57" s="14">
        <f t="shared" si="1"/>
        <v>11.5</v>
      </c>
      <c r="D57" s="15">
        <f t="shared" si="2"/>
        <v>111</v>
      </c>
      <c r="E57" s="15">
        <v>188</v>
      </c>
      <c r="F57" s="15">
        <v>14</v>
      </c>
      <c r="G57" s="15">
        <v>0</v>
      </c>
      <c r="H57" s="15">
        <v>22</v>
      </c>
      <c r="I57" s="15">
        <v>0</v>
      </c>
      <c r="J57" s="15">
        <v>8</v>
      </c>
      <c r="K57" s="15">
        <v>56</v>
      </c>
      <c r="L57" s="15">
        <v>11</v>
      </c>
      <c r="M57" s="21" t="s">
        <v>228</v>
      </c>
      <c r="N57" s="13"/>
      <c r="O57" s="13"/>
      <c r="P57" s="13"/>
      <c r="Q57" s="13"/>
      <c r="R57" s="13"/>
      <c r="S57" s="13"/>
    </row>
    <row r="58" spans="1:19" ht="12.75" customHeight="1" x14ac:dyDescent="0.15">
      <c r="A58" s="17" t="s">
        <v>178</v>
      </c>
      <c r="B58" s="18" t="s">
        <v>214</v>
      </c>
      <c r="C58" s="14">
        <f t="shared" si="1"/>
        <v>12</v>
      </c>
      <c r="D58" s="15">
        <f t="shared" si="2"/>
        <v>113</v>
      </c>
      <c r="E58" s="15">
        <v>188</v>
      </c>
      <c r="F58" s="15">
        <v>0</v>
      </c>
      <c r="G58" s="15">
        <v>6</v>
      </c>
      <c r="H58" s="15">
        <v>22</v>
      </c>
      <c r="I58" s="15">
        <v>22</v>
      </c>
      <c r="J58" s="15">
        <v>7</v>
      </c>
      <c r="K58" s="15">
        <v>29</v>
      </c>
      <c r="L58" s="15">
        <v>27</v>
      </c>
      <c r="M58" s="21" t="s">
        <v>214</v>
      </c>
      <c r="N58" s="13"/>
      <c r="O58" s="13"/>
      <c r="P58" s="13"/>
      <c r="Q58" s="13"/>
      <c r="R58" s="13"/>
      <c r="S58" s="13"/>
    </row>
    <row r="59" spans="1:19" ht="12.75" customHeight="1" x14ac:dyDescent="0.15">
      <c r="A59" s="17" t="s">
        <v>201</v>
      </c>
      <c r="B59" s="18" t="s">
        <v>260</v>
      </c>
      <c r="C59" s="14">
        <f t="shared" si="1"/>
        <v>12</v>
      </c>
      <c r="D59" s="15">
        <f t="shared" si="2"/>
        <v>115</v>
      </c>
      <c r="E59" s="15">
        <v>188</v>
      </c>
      <c r="F59" s="15">
        <v>7</v>
      </c>
      <c r="G59" s="15">
        <v>0</v>
      </c>
      <c r="H59" s="15">
        <v>11</v>
      </c>
      <c r="I59" s="15">
        <v>22</v>
      </c>
      <c r="J59" s="15">
        <v>18</v>
      </c>
      <c r="K59" s="15">
        <v>29</v>
      </c>
      <c r="L59" s="15">
        <v>28</v>
      </c>
      <c r="M59" s="21" t="s">
        <v>260</v>
      </c>
      <c r="N59" s="13"/>
      <c r="O59" s="13"/>
      <c r="P59" s="13"/>
      <c r="Q59" s="13"/>
      <c r="R59" s="13"/>
      <c r="S59" s="13"/>
    </row>
    <row r="60" spans="1:19" ht="12.75" customHeight="1" x14ac:dyDescent="0.15">
      <c r="A60" s="17" t="s">
        <v>177</v>
      </c>
      <c r="B60" s="18" t="s">
        <v>170</v>
      </c>
      <c r="C60" s="14">
        <f t="shared" si="1"/>
        <v>12</v>
      </c>
      <c r="D60" s="15">
        <f t="shared" si="2"/>
        <v>117</v>
      </c>
      <c r="E60" s="15">
        <v>188</v>
      </c>
      <c r="F60" s="15">
        <v>12</v>
      </c>
      <c r="G60" s="15">
        <v>0</v>
      </c>
      <c r="H60" s="15">
        <v>22</v>
      </c>
      <c r="I60" s="15">
        <v>22</v>
      </c>
      <c r="J60" s="15">
        <v>8</v>
      </c>
      <c r="K60" s="15">
        <v>29</v>
      </c>
      <c r="L60" s="15">
        <v>24</v>
      </c>
      <c r="M60" s="21" t="s">
        <v>170</v>
      </c>
      <c r="N60" s="13"/>
      <c r="O60" s="13"/>
      <c r="P60" s="13"/>
      <c r="Q60" s="13"/>
      <c r="R60" s="13"/>
      <c r="S60" s="13"/>
    </row>
    <row r="61" spans="1:19" ht="12.75" customHeight="1" x14ac:dyDescent="0.15">
      <c r="A61" s="17" t="s">
        <v>189</v>
      </c>
      <c r="B61" s="18" t="s">
        <v>198</v>
      </c>
      <c r="C61" s="14">
        <f t="shared" si="1"/>
        <v>12.5</v>
      </c>
      <c r="D61" s="15">
        <f t="shared" si="2"/>
        <v>122</v>
      </c>
      <c r="E61" s="15">
        <v>188</v>
      </c>
      <c r="F61" s="15">
        <v>14</v>
      </c>
      <c r="G61" s="15">
        <v>14</v>
      </c>
      <c r="H61" s="15">
        <v>10</v>
      </c>
      <c r="I61" s="15">
        <v>22</v>
      </c>
      <c r="J61" s="15">
        <v>8</v>
      </c>
      <c r="K61" s="15">
        <v>29</v>
      </c>
      <c r="L61" s="15">
        <v>25</v>
      </c>
      <c r="M61" s="21" t="s">
        <v>198</v>
      </c>
      <c r="N61" s="13"/>
      <c r="O61" s="13"/>
      <c r="P61" s="13"/>
      <c r="Q61" s="13"/>
      <c r="R61" s="13"/>
      <c r="S61" s="13"/>
    </row>
    <row r="62" spans="1:19" ht="12.75" customHeight="1" x14ac:dyDescent="0.15">
      <c r="A62" s="17" t="s">
        <v>195</v>
      </c>
      <c r="B62" s="18" t="s">
        <v>136</v>
      </c>
      <c r="C62" s="14">
        <f t="shared" si="1"/>
        <v>12.5</v>
      </c>
      <c r="D62" s="15">
        <f t="shared" si="2"/>
        <v>118</v>
      </c>
      <c r="E62" s="15">
        <v>188</v>
      </c>
      <c r="F62" s="15">
        <v>7</v>
      </c>
      <c r="G62" s="15">
        <v>0</v>
      </c>
      <c r="H62" s="15">
        <v>22</v>
      </c>
      <c r="I62" s="15">
        <v>0</v>
      </c>
      <c r="J62" s="15">
        <v>0</v>
      </c>
      <c r="K62" s="15">
        <v>47</v>
      </c>
      <c r="L62" s="15">
        <v>42</v>
      </c>
      <c r="M62" s="21" t="s">
        <v>136</v>
      </c>
      <c r="N62" s="13"/>
      <c r="O62" s="13"/>
      <c r="P62" s="13"/>
      <c r="Q62" s="13"/>
      <c r="R62" s="13"/>
      <c r="S62" s="13"/>
    </row>
    <row r="63" spans="1:19" ht="12.75" customHeight="1" x14ac:dyDescent="0.15">
      <c r="A63" s="17" t="s">
        <v>248</v>
      </c>
      <c r="B63" s="18" t="s">
        <v>190</v>
      </c>
      <c r="C63" s="14">
        <f t="shared" si="1"/>
        <v>12.5</v>
      </c>
      <c r="D63" s="15">
        <f t="shared" si="2"/>
        <v>118</v>
      </c>
      <c r="E63" s="15">
        <v>188</v>
      </c>
      <c r="F63" s="15">
        <v>13</v>
      </c>
      <c r="G63" s="15">
        <v>13</v>
      </c>
      <c r="H63" s="15">
        <v>0</v>
      </c>
      <c r="I63" s="15">
        <v>22</v>
      </c>
      <c r="J63" s="15">
        <v>0</v>
      </c>
      <c r="K63" s="15">
        <v>29</v>
      </c>
      <c r="L63" s="15">
        <v>41</v>
      </c>
      <c r="M63" s="21" t="s">
        <v>190</v>
      </c>
      <c r="N63" s="13"/>
      <c r="O63" s="13"/>
      <c r="P63" s="13"/>
      <c r="Q63" s="13"/>
      <c r="R63" s="13"/>
      <c r="S63" s="13"/>
    </row>
    <row r="64" spans="1:19" ht="12.75" customHeight="1" x14ac:dyDescent="0.15">
      <c r="A64" s="17" t="s">
        <v>232</v>
      </c>
      <c r="B64" s="18" t="s">
        <v>216</v>
      </c>
      <c r="C64" s="14">
        <f t="shared" si="1"/>
        <v>13</v>
      </c>
      <c r="D64" s="15">
        <f t="shared" si="2"/>
        <v>124</v>
      </c>
      <c r="E64" s="15">
        <v>188</v>
      </c>
      <c r="F64" s="15">
        <v>14</v>
      </c>
      <c r="G64" s="15">
        <v>14</v>
      </c>
      <c r="H64" s="15">
        <v>22</v>
      </c>
      <c r="I64" s="15">
        <v>18</v>
      </c>
      <c r="J64" s="15">
        <v>0</v>
      </c>
      <c r="K64" s="15">
        <v>29</v>
      </c>
      <c r="L64" s="15">
        <v>27</v>
      </c>
      <c r="M64" s="21" t="s">
        <v>216</v>
      </c>
      <c r="N64" s="13"/>
      <c r="O64" s="13"/>
      <c r="P64" s="13"/>
      <c r="Q64" s="13"/>
      <c r="R64" s="13"/>
      <c r="S64" s="13"/>
    </row>
    <row r="65" spans="1:19" ht="12.75" customHeight="1" x14ac:dyDescent="0.15">
      <c r="A65" s="17" t="s">
        <v>156</v>
      </c>
      <c r="B65" s="18" t="s">
        <v>200</v>
      </c>
      <c r="C65" s="14">
        <f t="shared" si="1"/>
        <v>13.5</v>
      </c>
      <c r="D65" s="15">
        <f t="shared" si="2"/>
        <v>129</v>
      </c>
      <c r="E65" s="15">
        <v>188</v>
      </c>
      <c r="F65" s="15">
        <v>14</v>
      </c>
      <c r="G65" s="15">
        <v>14</v>
      </c>
      <c r="H65" s="15">
        <v>0</v>
      </c>
      <c r="I65" s="15">
        <v>22</v>
      </c>
      <c r="J65" s="15">
        <v>8</v>
      </c>
      <c r="K65" s="15">
        <v>29</v>
      </c>
      <c r="L65" s="15">
        <v>42</v>
      </c>
      <c r="M65" s="21" t="s">
        <v>200</v>
      </c>
      <c r="N65" s="13"/>
      <c r="O65" s="13"/>
      <c r="P65" s="13"/>
      <c r="Q65" s="13"/>
      <c r="R65" s="13"/>
      <c r="S65" s="13"/>
    </row>
    <row r="66" spans="1:19" ht="12.75" customHeight="1" x14ac:dyDescent="0.15">
      <c r="A66" s="17" t="s">
        <v>205</v>
      </c>
      <c r="B66" s="18" t="s">
        <v>176</v>
      </c>
      <c r="C66" s="14">
        <f t="shared" si="1"/>
        <v>13.5</v>
      </c>
      <c r="D66" s="15">
        <f t="shared" si="2"/>
        <v>128</v>
      </c>
      <c r="E66" s="15">
        <v>188</v>
      </c>
      <c r="F66" s="15">
        <v>14</v>
      </c>
      <c r="G66" s="15">
        <v>14</v>
      </c>
      <c r="H66" s="15">
        <v>22</v>
      </c>
      <c r="I66" s="15">
        <v>22</v>
      </c>
      <c r="J66" s="22">
        <v>0</v>
      </c>
      <c r="K66" s="15">
        <v>56</v>
      </c>
      <c r="L66" s="22">
        <v>0</v>
      </c>
      <c r="M66" s="21" t="s">
        <v>176</v>
      </c>
      <c r="N66" s="13"/>
      <c r="O66" s="13"/>
      <c r="P66" s="13"/>
      <c r="Q66" s="13"/>
      <c r="R66" s="13"/>
      <c r="S66" s="13"/>
    </row>
    <row r="67" spans="1:19" ht="12.75" customHeight="1" x14ac:dyDescent="0.15">
      <c r="A67" s="17" t="s">
        <v>141</v>
      </c>
      <c r="B67" s="18" t="s">
        <v>250</v>
      </c>
      <c r="C67" s="14">
        <f t="shared" si="1"/>
        <v>13.5</v>
      </c>
      <c r="D67" s="15">
        <f t="shared" si="2"/>
        <v>127</v>
      </c>
      <c r="E67" s="15">
        <v>188</v>
      </c>
      <c r="F67" s="15">
        <v>0</v>
      </c>
      <c r="G67" s="15">
        <v>13</v>
      </c>
      <c r="H67" s="15">
        <v>22</v>
      </c>
      <c r="I67" s="15">
        <v>22</v>
      </c>
      <c r="J67" s="22">
        <v>0</v>
      </c>
      <c r="K67" s="15">
        <v>29</v>
      </c>
      <c r="L67" s="15">
        <v>41</v>
      </c>
      <c r="M67" s="21" t="s">
        <v>250</v>
      </c>
      <c r="N67" s="13"/>
      <c r="O67" s="13"/>
      <c r="P67" s="13"/>
      <c r="Q67" s="13"/>
      <c r="R67" s="13"/>
      <c r="S67" s="13"/>
    </row>
    <row r="68" spans="1:19" ht="12.75" customHeight="1" x14ac:dyDescent="0.15">
      <c r="A68" s="17" t="s">
        <v>135</v>
      </c>
      <c r="B68" s="18" t="s">
        <v>251</v>
      </c>
      <c r="C68" s="14">
        <f t="shared" si="1"/>
        <v>14.5</v>
      </c>
      <c r="D68" s="15">
        <f t="shared" si="2"/>
        <v>139</v>
      </c>
      <c r="E68" s="15">
        <v>188</v>
      </c>
      <c r="F68" s="15">
        <v>6</v>
      </c>
      <c r="G68" s="15">
        <v>6</v>
      </c>
      <c r="H68" s="15">
        <v>22</v>
      </c>
      <c r="I68" s="15">
        <v>22</v>
      </c>
      <c r="J68" s="15">
        <v>8</v>
      </c>
      <c r="K68" s="15">
        <v>48</v>
      </c>
      <c r="L68" s="15">
        <v>27</v>
      </c>
      <c r="M68" s="21" t="s">
        <v>251</v>
      </c>
      <c r="N68" s="13"/>
      <c r="O68" s="13"/>
      <c r="P68" s="13"/>
      <c r="Q68" s="13"/>
      <c r="R68" s="13"/>
      <c r="S68" s="13"/>
    </row>
    <row r="69" spans="1:19" ht="12.75" customHeight="1" x14ac:dyDescent="0.15">
      <c r="A69" s="17" t="s">
        <v>192</v>
      </c>
      <c r="B69" s="18" t="s">
        <v>180</v>
      </c>
      <c r="C69" s="14">
        <f t="shared" si="1"/>
        <v>14.5</v>
      </c>
      <c r="D69" s="15">
        <f t="shared" si="2"/>
        <v>140</v>
      </c>
      <c r="E69" s="15">
        <v>188</v>
      </c>
      <c r="F69" s="15">
        <v>14</v>
      </c>
      <c r="G69" s="15">
        <v>14</v>
      </c>
      <c r="H69" s="15">
        <v>10</v>
      </c>
      <c r="I69" s="15">
        <v>22</v>
      </c>
      <c r="J69" s="15">
        <v>8</v>
      </c>
      <c r="K69" s="15">
        <v>30</v>
      </c>
      <c r="L69" s="15">
        <v>42</v>
      </c>
      <c r="M69" s="21" t="s">
        <v>180</v>
      </c>
      <c r="N69" s="13"/>
      <c r="O69" s="13"/>
      <c r="P69" s="13"/>
      <c r="Q69" s="13"/>
      <c r="R69" s="13"/>
      <c r="S69" s="13"/>
    </row>
    <row r="70" spans="1:19" ht="12.75" customHeight="1" x14ac:dyDescent="0.1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</row>
    <row r="71" spans="1:19" ht="12.75" customHeight="1" x14ac:dyDescent="0.1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</row>
    <row r="72" spans="1:19" ht="12.75" customHeight="1" x14ac:dyDescent="0.1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</row>
    <row r="73" spans="1:19" ht="12.75" customHeight="1" x14ac:dyDescent="0.1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</row>
    <row r="74" spans="1:19" ht="12.75" customHeight="1" x14ac:dyDescent="0.1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</row>
    <row r="75" spans="1:19" ht="12.75" customHeight="1" x14ac:dyDescent="0.1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</row>
    <row r="76" spans="1:19" ht="12.75" customHeight="1" x14ac:dyDescent="0.1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</row>
    <row r="77" spans="1:19" ht="12.75" customHeight="1" x14ac:dyDescent="0.1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</row>
    <row r="78" spans="1:19" ht="12.75" customHeight="1" x14ac:dyDescent="0.1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</row>
    <row r="79" spans="1:19" ht="12.75" customHeight="1" x14ac:dyDescent="0.1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</row>
    <row r="80" spans="1:19" ht="12.75" customHeight="1" x14ac:dyDescent="0.1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</row>
    <row r="81" spans="1:19" ht="12.75" customHeight="1" x14ac:dyDescent="0.1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</row>
    <row r="82" spans="1:19" ht="12.75" customHeight="1" x14ac:dyDescent="0.1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</row>
    <row r="83" spans="1:19" ht="12.75" customHeight="1" x14ac:dyDescent="0.1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</row>
    <row r="84" spans="1:19" ht="12.75" customHeight="1" x14ac:dyDescent="0.1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</row>
    <row r="85" spans="1:19" ht="12.75" customHeight="1" x14ac:dyDescent="0.1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</row>
    <row r="86" spans="1:19" ht="12.75" customHeight="1" x14ac:dyDescent="0.1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</row>
    <row r="87" spans="1:19" ht="12.75" customHeight="1" x14ac:dyDescent="0.1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</row>
    <row r="88" spans="1:19" ht="12.75" customHeight="1" x14ac:dyDescent="0.1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</row>
    <row r="89" spans="1:19" ht="12.75" customHeight="1" x14ac:dyDescent="0.1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</row>
    <row r="90" spans="1:19" ht="12.75" customHeight="1" x14ac:dyDescent="0.1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</row>
    <row r="91" spans="1:19" ht="12.75" customHeight="1" x14ac:dyDescent="0.1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</row>
    <row r="92" spans="1:19" ht="12.75" customHeight="1" x14ac:dyDescent="0.1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</row>
    <row r="93" spans="1:19" ht="12.75" customHeight="1" x14ac:dyDescent="0.1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</row>
    <row r="94" spans="1:19" ht="12.75" customHeight="1" x14ac:dyDescent="0.1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</row>
    <row r="95" spans="1:19" ht="12.75" customHeight="1" x14ac:dyDescent="0.1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</row>
    <row r="96" spans="1:19" ht="12.75" customHeight="1" x14ac:dyDescent="0.1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</row>
    <row r="97" spans="1:19" ht="12.75" customHeight="1" x14ac:dyDescent="0.1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</row>
    <row r="98" spans="1:19" ht="12.75" customHeight="1" x14ac:dyDescent="0.1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</row>
    <row r="99" spans="1:19" ht="12.75" customHeight="1" x14ac:dyDescent="0.1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</row>
    <row r="100" spans="1:19" ht="12.75" customHeight="1" x14ac:dyDescent="0.1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</row>
    <row r="101" spans="1:19" ht="12.75" customHeight="1" x14ac:dyDescent="0.1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</row>
    <row r="102" spans="1:19" ht="12.75" customHeight="1" x14ac:dyDescent="0.1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</row>
    <row r="103" spans="1:19" ht="12.75" customHeight="1" x14ac:dyDescent="0.1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</row>
    <row r="104" spans="1:19" ht="12.75" customHeight="1" x14ac:dyDescent="0.1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</row>
    <row r="105" spans="1:19" ht="12.75" customHeight="1" x14ac:dyDescent="0.1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</row>
    <row r="106" spans="1:19" ht="12.75" customHeight="1" x14ac:dyDescent="0.1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</row>
    <row r="107" spans="1:19" ht="12.75" customHeight="1" x14ac:dyDescent="0.1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</row>
    <row r="108" spans="1:19" ht="12.75" customHeight="1" x14ac:dyDescent="0.1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</row>
    <row r="109" spans="1:19" ht="12.75" customHeight="1" x14ac:dyDescent="0.1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</row>
    <row r="110" spans="1:19" ht="12.75" customHeight="1" x14ac:dyDescent="0.1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</row>
    <row r="111" spans="1:19" ht="12.75" customHeight="1" x14ac:dyDescent="0.1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</row>
    <row r="112" spans="1:19" ht="12.75" customHeight="1" x14ac:dyDescent="0.1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</row>
    <row r="113" spans="1:19" ht="12.75" customHeight="1" x14ac:dyDescent="0.1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</row>
    <row r="114" spans="1:19" ht="12.75" customHeight="1" x14ac:dyDescent="0.1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</row>
    <row r="115" spans="1:19" ht="12.75" customHeight="1" x14ac:dyDescent="0.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</row>
    <row r="116" spans="1:19" ht="12.75" customHeight="1" x14ac:dyDescent="0.1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</row>
    <row r="117" spans="1:19" ht="12.75" customHeight="1" x14ac:dyDescent="0.1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</row>
    <row r="118" spans="1:19" ht="12.75" customHeight="1" x14ac:dyDescent="0.1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</row>
    <row r="119" spans="1:19" ht="12.75" customHeight="1" x14ac:dyDescent="0.1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</row>
    <row r="120" spans="1:19" ht="12.75" customHeight="1" x14ac:dyDescent="0.1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</row>
    <row r="121" spans="1:19" ht="12.75" customHeight="1" x14ac:dyDescent="0.1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</row>
    <row r="122" spans="1:19" ht="12.75" customHeight="1" x14ac:dyDescent="0.1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</row>
    <row r="123" spans="1:19" ht="12.75" customHeight="1" x14ac:dyDescent="0.1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</row>
    <row r="124" spans="1:19" ht="12.75" customHeight="1" x14ac:dyDescent="0.1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</row>
    <row r="125" spans="1:19" ht="12.75" customHeight="1" x14ac:dyDescent="0.1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</row>
    <row r="126" spans="1:19" ht="12.75" customHeight="1" x14ac:dyDescent="0.1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</row>
    <row r="127" spans="1:19" ht="12.75" customHeight="1" x14ac:dyDescent="0.1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</row>
    <row r="128" spans="1:19" ht="12.75" customHeight="1" x14ac:dyDescent="0.1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</row>
    <row r="129" spans="1:19" ht="12.75" customHeight="1" x14ac:dyDescent="0.1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</row>
    <row r="130" spans="1:19" ht="12.75" customHeight="1" x14ac:dyDescent="0.1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</row>
    <row r="131" spans="1:19" ht="12.75" customHeight="1" x14ac:dyDescent="0.1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</row>
    <row r="132" spans="1:19" ht="12.75" customHeight="1" x14ac:dyDescent="0.1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</row>
    <row r="133" spans="1:19" ht="12.75" customHeight="1" x14ac:dyDescent="0.1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</row>
    <row r="134" spans="1:19" ht="12.75" customHeight="1" x14ac:dyDescent="0.1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</row>
    <row r="135" spans="1:19" ht="12.75" customHeight="1" x14ac:dyDescent="0.1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</row>
    <row r="136" spans="1:19" ht="12.75" customHeight="1" x14ac:dyDescent="0.1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</row>
    <row r="137" spans="1:19" ht="12.75" customHeight="1" x14ac:dyDescent="0.1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</row>
    <row r="138" spans="1:19" ht="12.75" customHeight="1" x14ac:dyDescent="0.1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</row>
    <row r="139" spans="1:19" ht="12.75" customHeight="1" x14ac:dyDescent="0.1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</row>
    <row r="140" spans="1:19" ht="12.75" customHeight="1" x14ac:dyDescent="0.1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</row>
    <row r="141" spans="1:19" ht="12.75" customHeight="1" x14ac:dyDescent="0.1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</row>
    <row r="142" spans="1:19" ht="12.75" customHeight="1" x14ac:dyDescent="0.1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</row>
    <row r="143" spans="1:19" ht="12.75" customHeight="1" x14ac:dyDescent="0.1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</row>
    <row r="144" spans="1:19" ht="12.75" customHeight="1" x14ac:dyDescent="0.1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</row>
    <row r="145" spans="1:19" ht="12.75" customHeight="1" x14ac:dyDescent="0.1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</row>
    <row r="146" spans="1:19" ht="12.75" customHeight="1" x14ac:dyDescent="0.1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</row>
    <row r="147" spans="1:19" ht="12.75" customHeight="1" x14ac:dyDescent="0.1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</row>
    <row r="148" spans="1:19" ht="12.75" customHeight="1" x14ac:dyDescent="0.1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</row>
    <row r="149" spans="1:19" ht="12.75" customHeight="1" x14ac:dyDescent="0.1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</row>
    <row r="150" spans="1:19" ht="12.75" customHeight="1" x14ac:dyDescent="0.1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</row>
    <row r="151" spans="1:19" ht="12.75" customHeight="1" x14ac:dyDescent="0.1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</row>
    <row r="152" spans="1:19" ht="12.75" customHeight="1" x14ac:dyDescent="0.1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</row>
    <row r="153" spans="1:19" ht="12.75" customHeight="1" x14ac:dyDescent="0.1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</row>
    <row r="154" spans="1:19" ht="12.75" customHeight="1" x14ac:dyDescent="0.1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</row>
    <row r="155" spans="1:19" ht="12.75" customHeight="1" x14ac:dyDescent="0.1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</row>
    <row r="156" spans="1:19" ht="12.75" customHeight="1" x14ac:dyDescent="0.1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</row>
    <row r="157" spans="1:19" ht="12.75" customHeight="1" x14ac:dyDescent="0.1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</row>
    <row r="158" spans="1:19" ht="12.75" customHeight="1" x14ac:dyDescent="0.1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</row>
    <row r="159" spans="1:19" ht="12.75" customHeight="1" x14ac:dyDescent="0.1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</row>
    <row r="160" spans="1:19" ht="12.75" customHeight="1" x14ac:dyDescent="0.1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</row>
    <row r="161" spans="1:19" ht="12.75" customHeight="1" x14ac:dyDescent="0.1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</row>
    <row r="162" spans="1:19" ht="12.75" customHeight="1" x14ac:dyDescent="0.1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</row>
    <row r="163" spans="1:19" ht="12.75" customHeight="1" x14ac:dyDescent="0.1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</row>
    <row r="164" spans="1:19" ht="12.75" customHeight="1" x14ac:dyDescent="0.1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</row>
    <row r="165" spans="1:19" ht="12.75" customHeight="1" x14ac:dyDescent="0.1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</row>
    <row r="166" spans="1:19" ht="12.75" customHeight="1" x14ac:dyDescent="0.1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</row>
    <row r="167" spans="1:19" ht="12.75" customHeight="1" x14ac:dyDescent="0.1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</row>
    <row r="168" spans="1:19" ht="12.75" customHeight="1" x14ac:dyDescent="0.1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</row>
    <row r="169" spans="1:19" ht="12.75" customHeight="1" x14ac:dyDescent="0.1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</row>
    <row r="170" spans="1:19" ht="12.75" customHeight="1" x14ac:dyDescent="0.1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</row>
    <row r="171" spans="1:19" ht="12.75" customHeight="1" x14ac:dyDescent="0.1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</row>
    <row r="172" spans="1:19" ht="12.75" customHeight="1" x14ac:dyDescent="0.1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</row>
    <row r="173" spans="1:19" ht="12.75" customHeight="1" x14ac:dyDescent="0.1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</row>
    <row r="174" spans="1:19" ht="12.75" customHeight="1" x14ac:dyDescent="0.1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</row>
    <row r="175" spans="1:19" ht="12.75" customHeight="1" x14ac:dyDescent="0.1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</row>
    <row r="176" spans="1:19" ht="12.75" customHeight="1" x14ac:dyDescent="0.1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</row>
    <row r="177" spans="1:19" ht="12.75" customHeight="1" x14ac:dyDescent="0.1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</row>
    <row r="178" spans="1:19" ht="12.75" customHeight="1" x14ac:dyDescent="0.1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</row>
    <row r="179" spans="1:19" ht="12.75" customHeight="1" x14ac:dyDescent="0.1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</row>
    <row r="180" spans="1:19" ht="12.75" customHeight="1" x14ac:dyDescent="0.1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</row>
    <row r="181" spans="1:19" ht="12.75" customHeight="1" x14ac:dyDescent="0.1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</row>
    <row r="182" spans="1:19" ht="12.75" customHeight="1" x14ac:dyDescent="0.1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</row>
    <row r="183" spans="1:19" ht="12.75" customHeight="1" x14ac:dyDescent="0.1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</row>
    <row r="184" spans="1:19" ht="12.75" customHeight="1" x14ac:dyDescent="0.1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</row>
    <row r="185" spans="1:19" ht="12.75" customHeight="1" x14ac:dyDescent="0.1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</row>
    <row r="186" spans="1:19" ht="12.75" customHeight="1" x14ac:dyDescent="0.1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</row>
    <row r="187" spans="1:19" ht="12.75" customHeight="1" x14ac:dyDescent="0.1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</row>
    <row r="188" spans="1:19" ht="12.75" customHeight="1" x14ac:dyDescent="0.1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</row>
    <row r="189" spans="1:19" ht="12.75" customHeight="1" x14ac:dyDescent="0.1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</row>
    <row r="190" spans="1:19" ht="12.75" customHeight="1" x14ac:dyDescent="0.1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</row>
    <row r="191" spans="1:19" ht="12.75" customHeight="1" x14ac:dyDescent="0.1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</row>
    <row r="192" spans="1:19" ht="12.75" customHeight="1" x14ac:dyDescent="0.1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</row>
    <row r="193" spans="1:19" ht="12.75" customHeight="1" x14ac:dyDescent="0.1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</row>
    <row r="194" spans="1:19" ht="12.75" customHeight="1" x14ac:dyDescent="0.1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</row>
    <row r="195" spans="1:19" ht="12.75" customHeight="1" x14ac:dyDescent="0.1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</row>
    <row r="196" spans="1:19" ht="12.75" customHeight="1" x14ac:dyDescent="0.1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</row>
    <row r="197" spans="1:19" ht="12.75" customHeight="1" x14ac:dyDescent="0.1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</row>
    <row r="198" spans="1:19" ht="12.75" customHeight="1" x14ac:dyDescent="0.1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</row>
    <row r="199" spans="1:19" ht="12.75" customHeight="1" x14ac:dyDescent="0.1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</row>
    <row r="200" spans="1:19" ht="12.75" customHeight="1" x14ac:dyDescent="0.1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</row>
    <row r="201" spans="1:19" ht="12.75" customHeight="1" x14ac:dyDescent="0.1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</row>
    <row r="202" spans="1:19" ht="12.75" customHeight="1" x14ac:dyDescent="0.1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</row>
    <row r="203" spans="1:19" ht="12.75" customHeight="1" x14ac:dyDescent="0.1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</row>
    <row r="204" spans="1:19" ht="12.75" customHeight="1" x14ac:dyDescent="0.1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</row>
    <row r="205" spans="1:19" ht="12.75" customHeight="1" x14ac:dyDescent="0.1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</row>
    <row r="206" spans="1:19" ht="12.75" customHeight="1" x14ac:dyDescent="0.1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</row>
    <row r="207" spans="1:19" ht="12.75" customHeight="1" x14ac:dyDescent="0.1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</row>
    <row r="208" spans="1:19" ht="12.75" customHeight="1" x14ac:dyDescent="0.1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</row>
    <row r="209" spans="1:19" ht="12.75" customHeight="1" x14ac:dyDescent="0.1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</row>
    <row r="210" spans="1:19" ht="12.75" customHeight="1" x14ac:dyDescent="0.1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</row>
    <row r="211" spans="1:19" ht="12.75" customHeight="1" x14ac:dyDescent="0.1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</row>
    <row r="212" spans="1:19" ht="12.75" customHeight="1" x14ac:dyDescent="0.1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</row>
    <row r="213" spans="1:19" ht="12.75" customHeight="1" x14ac:dyDescent="0.1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</row>
    <row r="214" spans="1:19" ht="12.75" customHeight="1" x14ac:dyDescent="0.1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</row>
    <row r="215" spans="1:19" ht="12.75" customHeight="1" x14ac:dyDescent="0.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</row>
    <row r="216" spans="1:19" ht="12.75" customHeight="1" x14ac:dyDescent="0.1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</row>
    <row r="217" spans="1:19" ht="12.75" customHeight="1" x14ac:dyDescent="0.1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</row>
    <row r="218" spans="1:19" ht="12.75" customHeight="1" x14ac:dyDescent="0.1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</row>
    <row r="219" spans="1:19" ht="12.75" customHeight="1" x14ac:dyDescent="0.1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</row>
    <row r="220" spans="1:19" ht="12.75" customHeight="1" x14ac:dyDescent="0.1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</row>
    <row r="221" spans="1:19" ht="12.75" customHeight="1" x14ac:dyDescent="0.1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</row>
    <row r="222" spans="1:19" ht="12.75" customHeight="1" x14ac:dyDescent="0.1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</row>
    <row r="223" spans="1:19" ht="12.75" customHeight="1" x14ac:dyDescent="0.1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</row>
    <row r="224" spans="1:19" ht="12.75" customHeight="1" x14ac:dyDescent="0.1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</row>
    <row r="225" spans="1:19" ht="12.75" customHeight="1" x14ac:dyDescent="0.1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</row>
    <row r="226" spans="1:19" ht="12.75" customHeight="1" x14ac:dyDescent="0.1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</row>
    <row r="227" spans="1:19" ht="12.75" customHeight="1" x14ac:dyDescent="0.1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</row>
    <row r="228" spans="1:19" ht="12.75" customHeight="1" x14ac:dyDescent="0.1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</row>
    <row r="229" spans="1:19" ht="12.75" customHeight="1" x14ac:dyDescent="0.1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</row>
    <row r="230" spans="1:19" ht="12.75" customHeight="1" x14ac:dyDescent="0.1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</row>
    <row r="231" spans="1:19" ht="12.75" customHeight="1" x14ac:dyDescent="0.1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</row>
    <row r="232" spans="1:19" ht="12.75" customHeight="1" x14ac:dyDescent="0.1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</row>
    <row r="233" spans="1:19" ht="12.75" customHeight="1" x14ac:dyDescent="0.1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</row>
    <row r="234" spans="1:19" ht="12.75" customHeight="1" x14ac:dyDescent="0.1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</row>
    <row r="235" spans="1:19" ht="12.75" customHeight="1" x14ac:dyDescent="0.1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</row>
    <row r="236" spans="1:19" ht="12.75" customHeight="1" x14ac:dyDescent="0.1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</row>
    <row r="237" spans="1:19" ht="12.75" customHeight="1" x14ac:dyDescent="0.1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</row>
    <row r="238" spans="1:19" ht="12.75" customHeight="1" x14ac:dyDescent="0.1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</row>
    <row r="239" spans="1:19" ht="12.75" customHeight="1" x14ac:dyDescent="0.1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</row>
    <row r="240" spans="1:19" ht="12.75" customHeight="1" x14ac:dyDescent="0.1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</row>
    <row r="241" spans="1:19" ht="12.75" customHeight="1" x14ac:dyDescent="0.1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</row>
    <row r="242" spans="1:19" ht="12.75" customHeight="1" x14ac:dyDescent="0.1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</row>
    <row r="243" spans="1:19" ht="12.75" customHeight="1" x14ac:dyDescent="0.1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</row>
    <row r="244" spans="1:19" ht="12.75" customHeight="1" x14ac:dyDescent="0.1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</row>
    <row r="245" spans="1:19" ht="12.75" customHeight="1" x14ac:dyDescent="0.1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</row>
    <row r="246" spans="1:19" ht="12.75" customHeight="1" x14ac:dyDescent="0.1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</row>
    <row r="247" spans="1:19" ht="12.75" customHeight="1" x14ac:dyDescent="0.1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</row>
    <row r="248" spans="1:19" ht="12.75" customHeight="1" x14ac:dyDescent="0.1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</row>
    <row r="249" spans="1:19" ht="12.75" customHeight="1" x14ac:dyDescent="0.1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</row>
    <row r="250" spans="1:19" ht="12.75" customHeight="1" x14ac:dyDescent="0.1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</row>
    <row r="251" spans="1:19" ht="12.75" customHeight="1" x14ac:dyDescent="0.1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</row>
    <row r="252" spans="1:19" ht="12.75" customHeight="1" x14ac:dyDescent="0.1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</row>
    <row r="253" spans="1:19" ht="12.75" customHeight="1" x14ac:dyDescent="0.1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</row>
    <row r="254" spans="1:19" ht="12.75" customHeight="1" x14ac:dyDescent="0.1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</row>
    <row r="255" spans="1:19" ht="12.75" customHeight="1" x14ac:dyDescent="0.1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</row>
    <row r="256" spans="1:19" ht="12.75" customHeight="1" x14ac:dyDescent="0.1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</row>
    <row r="257" spans="1:19" ht="12.75" customHeight="1" x14ac:dyDescent="0.1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</row>
    <row r="258" spans="1:19" ht="12.75" customHeight="1" x14ac:dyDescent="0.1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</row>
    <row r="259" spans="1:19" ht="12.75" customHeight="1" x14ac:dyDescent="0.1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</row>
    <row r="260" spans="1:19" ht="12.75" customHeight="1" x14ac:dyDescent="0.1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</row>
    <row r="261" spans="1:19" ht="12.75" customHeight="1" x14ac:dyDescent="0.1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</row>
    <row r="262" spans="1:19" ht="12.75" customHeight="1" x14ac:dyDescent="0.1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</row>
    <row r="263" spans="1:19" ht="12.75" customHeight="1" x14ac:dyDescent="0.1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</row>
    <row r="264" spans="1:19" ht="12.75" customHeight="1" x14ac:dyDescent="0.1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</row>
    <row r="265" spans="1:19" ht="12.75" customHeight="1" x14ac:dyDescent="0.1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</row>
    <row r="266" spans="1:19" ht="12.75" customHeight="1" x14ac:dyDescent="0.1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</row>
    <row r="267" spans="1:19" ht="12.75" customHeight="1" x14ac:dyDescent="0.1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</row>
    <row r="268" spans="1:19" ht="12.75" customHeight="1" x14ac:dyDescent="0.1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</row>
    <row r="269" spans="1:19" ht="12.75" customHeight="1" x14ac:dyDescent="0.1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</row>
    <row r="270" spans="1:19" ht="12.75" customHeight="1" x14ac:dyDescent="0.1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</row>
    <row r="271" spans="1:19" ht="12.75" customHeight="1" x14ac:dyDescent="0.1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</row>
    <row r="272" spans="1:19" ht="12.75" customHeight="1" x14ac:dyDescent="0.1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</row>
    <row r="273" spans="1:19" ht="12.75" customHeight="1" x14ac:dyDescent="0.1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</row>
    <row r="274" spans="1:19" ht="12.75" customHeight="1" x14ac:dyDescent="0.1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</row>
    <row r="275" spans="1:19" ht="12.75" customHeight="1" x14ac:dyDescent="0.1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</row>
    <row r="276" spans="1:19" ht="12.75" customHeight="1" x14ac:dyDescent="0.1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</row>
    <row r="277" spans="1:19" ht="12.75" customHeight="1" x14ac:dyDescent="0.1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</row>
    <row r="278" spans="1:19" ht="12.75" customHeight="1" x14ac:dyDescent="0.1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</row>
    <row r="279" spans="1:19" ht="12.75" customHeight="1" x14ac:dyDescent="0.1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</row>
    <row r="280" spans="1:19" ht="12.75" customHeight="1" x14ac:dyDescent="0.1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</row>
    <row r="281" spans="1:19" ht="12.75" customHeight="1" x14ac:dyDescent="0.1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</row>
    <row r="282" spans="1:19" ht="12.75" customHeight="1" x14ac:dyDescent="0.1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</row>
    <row r="283" spans="1:19" ht="12.75" customHeight="1" x14ac:dyDescent="0.1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</row>
    <row r="284" spans="1:19" ht="12.75" customHeight="1" x14ac:dyDescent="0.1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</row>
    <row r="285" spans="1:19" ht="12.75" customHeight="1" x14ac:dyDescent="0.1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</row>
    <row r="286" spans="1:19" ht="12.75" customHeight="1" x14ac:dyDescent="0.1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</row>
    <row r="287" spans="1:19" ht="12.75" customHeight="1" x14ac:dyDescent="0.1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</row>
    <row r="288" spans="1:19" ht="12.75" customHeight="1" x14ac:dyDescent="0.1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</row>
    <row r="289" spans="1:19" ht="12.75" customHeight="1" x14ac:dyDescent="0.1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</row>
    <row r="290" spans="1:19" ht="12.75" customHeight="1" x14ac:dyDescent="0.1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</row>
    <row r="291" spans="1:19" ht="12.75" customHeight="1" x14ac:dyDescent="0.1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</row>
    <row r="292" spans="1:19" ht="12.75" customHeight="1" x14ac:dyDescent="0.1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</row>
    <row r="293" spans="1:19" ht="12.75" customHeight="1" x14ac:dyDescent="0.1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</row>
    <row r="294" spans="1:19" ht="12.75" customHeight="1" x14ac:dyDescent="0.1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</row>
    <row r="295" spans="1:19" ht="12.75" customHeight="1" x14ac:dyDescent="0.1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</row>
    <row r="296" spans="1:19" ht="12.75" customHeight="1" x14ac:dyDescent="0.1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</row>
    <row r="297" spans="1:19" ht="12.75" customHeight="1" x14ac:dyDescent="0.1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</row>
    <row r="298" spans="1:19" ht="12.75" customHeight="1" x14ac:dyDescent="0.1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</row>
    <row r="299" spans="1:19" ht="12.75" customHeight="1" x14ac:dyDescent="0.1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</row>
    <row r="300" spans="1:19" ht="12.75" customHeight="1" x14ac:dyDescent="0.1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</row>
    <row r="301" spans="1:19" ht="12.75" customHeight="1" x14ac:dyDescent="0.1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</row>
    <row r="302" spans="1:19" ht="12.75" customHeight="1" x14ac:dyDescent="0.1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</row>
    <row r="303" spans="1:19" ht="12.75" customHeight="1" x14ac:dyDescent="0.1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</row>
    <row r="304" spans="1:19" ht="12.75" customHeight="1" x14ac:dyDescent="0.1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</row>
    <row r="305" spans="1:19" ht="12.75" customHeight="1" x14ac:dyDescent="0.1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</row>
    <row r="306" spans="1:19" ht="12.75" customHeight="1" x14ac:dyDescent="0.1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</row>
    <row r="307" spans="1:19" ht="12.75" customHeight="1" x14ac:dyDescent="0.1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</row>
    <row r="308" spans="1:19" ht="12.75" customHeight="1" x14ac:dyDescent="0.1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</row>
    <row r="309" spans="1:19" ht="12.75" customHeight="1" x14ac:dyDescent="0.1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</row>
    <row r="310" spans="1:19" ht="12.75" customHeight="1" x14ac:dyDescent="0.1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</row>
    <row r="311" spans="1:19" ht="12.75" customHeight="1" x14ac:dyDescent="0.1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</row>
    <row r="312" spans="1:19" ht="12.75" customHeight="1" x14ac:dyDescent="0.1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</row>
    <row r="313" spans="1:19" ht="12.75" customHeight="1" x14ac:dyDescent="0.1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</row>
    <row r="314" spans="1:19" ht="12.75" customHeight="1" x14ac:dyDescent="0.1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</row>
    <row r="315" spans="1:19" ht="12.75" customHeight="1" x14ac:dyDescent="0.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</row>
    <row r="316" spans="1:19" ht="12.75" customHeight="1" x14ac:dyDescent="0.1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</row>
    <row r="317" spans="1:19" ht="12.75" customHeight="1" x14ac:dyDescent="0.1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</row>
    <row r="318" spans="1:19" ht="12.75" customHeight="1" x14ac:dyDescent="0.1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</row>
    <row r="319" spans="1:19" ht="12.75" customHeight="1" x14ac:dyDescent="0.1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</row>
    <row r="320" spans="1:19" ht="12.75" customHeight="1" x14ac:dyDescent="0.1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</row>
    <row r="321" spans="1:19" ht="12.75" customHeight="1" x14ac:dyDescent="0.1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</row>
    <row r="322" spans="1:19" ht="12.75" customHeight="1" x14ac:dyDescent="0.1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</row>
    <row r="323" spans="1:19" ht="12.75" customHeight="1" x14ac:dyDescent="0.1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</row>
    <row r="324" spans="1:19" ht="12.75" customHeight="1" x14ac:dyDescent="0.1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</row>
    <row r="325" spans="1:19" ht="12.75" customHeight="1" x14ac:dyDescent="0.1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</row>
    <row r="326" spans="1:19" ht="12.75" customHeight="1" x14ac:dyDescent="0.1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</row>
    <row r="327" spans="1:19" ht="12.75" customHeight="1" x14ac:dyDescent="0.1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</row>
    <row r="328" spans="1:19" ht="12.75" customHeight="1" x14ac:dyDescent="0.1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</row>
    <row r="329" spans="1:19" ht="12.75" customHeight="1" x14ac:dyDescent="0.1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</row>
    <row r="330" spans="1:19" ht="12.75" customHeight="1" x14ac:dyDescent="0.1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</row>
    <row r="331" spans="1:19" ht="12.75" customHeight="1" x14ac:dyDescent="0.1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</row>
    <row r="332" spans="1:19" ht="12.75" customHeight="1" x14ac:dyDescent="0.1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</row>
    <row r="333" spans="1:19" ht="12.75" customHeight="1" x14ac:dyDescent="0.1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</row>
    <row r="334" spans="1:19" ht="12.75" customHeight="1" x14ac:dyDescent="0.1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</row>
    <row r="335" spans="1:19" ht="12.75" customHeight="1" x14ac:dyDescent="0.1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</row>
    <row r="336" spans="1:19" ht="12.75" customHeight="1" x14ac:dyDescent="0.1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</row>
    <row r="337" spans="1:19" ht="12.75" customHeight="1" x14ac:dyDescent="0.1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</row>
    <row r="338" spans="1:19" ht="12.75" customHeight="1" x14ac:dyDescent="0.1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</row>
    <row r="339" spans="1:19" ht="12.75" customHeight="1" x14ac:dyDescent="0.1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</row>
    <row r="340" spans="1:19" ht="12.75" customHeight="1" x14ac:dyDescent="0.1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</row>
    <row r="341" spans="1:19" ht="12.75" customHeight="1" x14ac:dyDescent="0.1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</row>
    <row r="342" spans="1:19" ht="12.75" customHeight="1" x14ac:dyDescent="0.1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</row>
    <row r="343" spans="1:19" ht="12.75" customHeight="1" x14ac:dyDescent="0.1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</row>
    <row r="344" spans="1:19" ht="12.75" customHeight="1" x14ac:dyDescent="0.1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</row>
    <row r="345" spans="1:19" ht="12.75" customHeight="1" x14ac:dyDescent="0.1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</row>
    <row r="346" spans="1:19" ht="12.75" customHeight="1" x14ac:dyDescent="0.1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</row>
    <row r="347" spans="1:19" ht="12.75" customHeight="1" x14ac:dyDescent="0.1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</row>
    <row r="348" spans="1:19" ht="12.75" customHeight="1" x14ac:dyDescent="0.1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</row>
    <row r="349" spans="1:19" ht="12.75" customHeight="1" x14ac:dyDescent="0.1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</row>
    <row r="350" spans="1:19" ht="12.75" customHeight="1" x14ac:dyDescent="0.1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</row>
    <row r="351" spans="1:19" ht="12.75" customHeight="1" x14ac:dyDescent="0.1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</row>
    <row r="352" spans="1:19" ht="12.75" customHeight="1" x14ac:dyDescent="0.1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</row>
    <row r="353" spans="1:19" ht="12.75" customHeight="1" x14ac:dyDescent="0.1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</row>
    <row r="354" spans="1:19" ht="12.75" customHeight="1" x14ac:dyDescent="0.1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</row>
    <row r="355" spans="1:19" ht="12.75" customHeight="1" x14ac:dyDescent="0.1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</row>
    <row r="356" spans="1:19" ht="12.75" customHeight="1" x14ac:dyDescent="0.1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</row>
    <row r="357" spans="1:19" ht="12.75" customHeight="1" x14ac:dyDescent="0.1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</row>
    <row r="358" spans="1:19" ht="12.75" customHeight="1" x14ac:dyDescent="0.1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</row>
    <row r="359" spans="1:19" ht="12.75" customHeight="1" x14ac:dyDescent="0.1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</row>
    <row r="360" spans="1:19" ht="12.75" customHeight="1" x14ac:dyDescent="0.1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</row>
    <row r="361" spans="1:19" ht="12.75" customHeight="1" x14ac:dyDescent="0.1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</row>
    <row r="362" spans="1:19" ht="12.75" customHeight="1" x14ac:dyDescent="0.1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</row>
    <row r="363" spans="1:19" ht="12.75" customHeight="1" x14ac:dyDescent="0.1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</row>
    <row r="364" spans="1:19" ht="12.75" customHeight="1" x14ac:dyDescent="0.1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</row>
    <row r="365" spans="1:19" ht="12.75" customHeight="1" x14ac:dyDescent="0.1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</row>
    <row r="366" spans="1:19" ht="12.75" customHeight="1" x14ac:dyDescent="0.1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</row>
    <row r="367" spans="1:19" ht="12.75" customHeight="1" x14ac:dyDescent="0.1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</row>
    <row r="368" spans="1:19" ht="12.75" customHeight="1" x14ac:dyDescent="0.1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</row>
    <row r="369" spans="1:19" ht="12.75" customHeight="1" x14ac:dyDescent="0.1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</row>
    <row r="370" spans="1:19" ht="12.75" customHeight="1" x14ac:dyDescent="0.1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</row>
    <row r="371" spans="1:19" ht="12.75" customHeight="1" x14ac:dyDescent="0.1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</row>
    <row r="372" spans="1:19" ht="12.75" customHeight="1" x14ac:dyDescent="0.1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</row>
    <row r="373" spans="1:19" ht="12.75" customHeight="1" x14ac:dyDescent="0.1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</row>
    <row r="374" spans="1:19" ht="12.75" customHeight="1" x14ac:dyDescent="0.1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</row>
    <row r="375" spans="1:19" ht="12.75" customHeight="1" x14ac:dyDescent="0.1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</row>
    <row r="376" spans="1:19" ht="12.75" customHeight="1" x14ac:dyDescent="0.1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</row>
    <row r="377" spans="1:19" ht="12.75" customHeight="1" x14ac:dyDescent="0.1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</row>
    <row r="378" spans="1:19" ht="12.75" customHeight="1" x14ac:dyDescent="0.1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</row>
    <row r="379" spans="1:19" ht="12.75" customHeight="1" x14ac:dyDescent="0.1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</row>
    <row r="380" spans="1:19" ht="12.75" customHeight="1" x14ac:dyDescent="0.1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</row>
    <row r="381" spans="1:19" ht="12.75" customHeight="1" x14ac:dyDescent="0.1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</row>
    <row r="382" spans="1:19" ht="12.75" customHeight="1" x14ac:dyDescent="0.1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</row>
    <row r="383" spans="1:19" ht="12.75" customHeight="1" x14ac:dyDescent="0.1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</row>
    <row r="384" spans="1:19" ht="12.75" customHeight="1" x14ac:dyDescent="0.1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</row>
    <row r="385" spans="1:19" ht="12.75" customHeight="1" x14ac:dyDescent="0.1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</row>
    <row r="386" spans="1:19" ht="12.75" customHeight="1" x14ac:dyDescent="0.1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</row>
    <row r="387" spans="1:19" ht="12.75" customHeight="1" x14ac:dyDescent="0.1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</row>
    <row r="388" spans="1:19" ht="12.75" customHeight="1" x14ac:dyDescent="0.1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</row>
    <row r="389" spans="1:19" ht="12.75" customHeight="1" x14ac:dyDescent="0.1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</row>
    <row r="390" spans="1:19" ht="12.75" customHeight="1" x14ac:dyDescent="0.1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</row>
    <row r="391" spans="1:19" ht="12.75" customHeight="1" x14ac:dyDescent="0.1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</row>
    <row r="392" spans="1:19" ht="12.75" customHeight="1" x14ac:dyDescent="0.1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</row>
    <row r="393" spans="1:19" ht="12.75" customHeight="1" x14ac:dyDescent="0.1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</row>
    <row r="394" spans="1:19" ht="12.75" customHeight="1" x14ac:dyDescent="0.1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</row>
    <row r="395" spans="1:19" ht="12.75" customHeight="1" x14ac:dyDescent="0.1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</row>
    <row r="396" spans="1:19" ht="12.75" customHeight="1" x14ac:dyDescent="0.1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</row>
    <row r="397" spans="1:19" ht="12.75" customHeight="1" x14ac:dyDescent="0.1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</row>
    <row r="398" spans="1:19" ht="12.75" customHeight="1" x14ac:dyDescent="0.1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</row>
    <row r="399" spans="1:19" ht="12.75" customHeight="1" x14ac:dyDescent="0.1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</row>
    <row r="400" spans="1:19" ht="12.75" customHeight="1" x14ac:dyDescent="0.1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</row>
    <row r="401" spans="1:19" ht="12.75" customHeight="1" x14ac:dyDescent="0.1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</row>
    <row r="402" spans="1:19" ht="12.75" customHeight="1" x14ac:dyDescent="0.1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</row>
    <row r="403" spans="1:19" ht="12.75" customHeight="1" x14ac:dyDescent="0.1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</row>
    <row r="404" spans="1:19" ht="12.75" customHeight="1" x14ac:dyDescent="0.1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</row>
    <row r="405" spans="1:19" ht="12.75" customHeight="1" x14ac:dyDescent="0.1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</row>
    <row r="406" spans="1:19" ht="12.75" customHeight="1" x14ac:dyDescent="0.1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</row>
    <row r="407" spans="1:19" ht="12.75" customHeight="1" x14ac:dyDescent="0.1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</row>
    <row r="408" spans="1:19" ht="12.75" customHeight="1" x14ac:dyDescent="0.1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</row>
    <row r="409" spans="1:19" ht="12.75" customHeight="1" x14ac:dyDescent="0.1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</row>
    <row r="410" spans="1:19" ht="12.75" customHeight="1" x14ac:dyDescent="0.1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</row>
    <row r="411" spans="1:19" ht="12.75" customHeight="1" x14ac:dyDescent="0.1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</row>
    <row r="412" spans="1:19" ht="12.75" customHeight="1" x14ac:dyDescent="0.1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</row>
    <row r="413" spans="1:19" ht="12.75" customHeight="1" x14ac:dyDescent="0.1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</row>
    <row r="414" spans="1:19" ht="12.75" customHeight="1" x14ac:dyDescent="0.1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</row>
    <row r="415" spans="1:19" ht="12.75" customHeight="1" x14ac:dyDescent="0.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</row>
    <row r="416" spans="1:19" ht="12.75" customHeight="1" x14ac:dyDescent="0.1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</row>
    <row r="417" spans="1:19" ht="12.75" customHeight="1" x14ac:dyDescent="0.1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</row>
    <row r="418" spans="1:19" ht="12.75" customHeight="1" x14ac:dyDescent="0.1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</row>
    <row r="419" spans="1:19" ht="12.75" customHeight="1" x14ac:dyDescent="0.1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</row>
    <row r="420" spans="1:19" ht="12.75" customHeight="1" x14ac:dyDescent="0.1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</row>
    <row r="421" spans="1:19" ht="12.75" customHeight="1" x14ac:dyDescent="0.1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</row>
    <row r="422" spans="1:19" ht="12.75" customHeight="1" x14ac:dyDescent="0.1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</row>
    <row r="423" spans="1:19" ht="12.75" customHeight="1" x14ac:dyDescent="0.1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</row>
    <row r="424" spans="1:19" ht="12.75" customHeight="1" x14ac:dyDescent="0.1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</row>
    <row r="425" spans="1:19" ht="12.75" customHeight="1" x14ac:dyDescent="0.1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</row>
    <row r="426" spans="1:19" ht="12.75" customHeight="1" x14ac:dyDescent="0.1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</row>
    <row r="427" spans="1:19" ht="12.75" customHeight="1" x14ac:dyDescent="0.1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</row>
    <row r="428" spans="1:19" ht="12.75" customHeight="1" x14ac:dyDescent="0.1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</row>
    <row r="429" spans="1:19" ht="12.75" customHeight="1" x14ac:dyDescent="0.1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</row>
    <row r="430" spans="1:19" ht="12.75" customHeight="1" x14ac:dyDescent="0.1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</row>
    <row r="431" spans="1:19" ht="12.75" customHeight="1" x14ac:dyDescent="0.1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</row>
    <row r="432" spans="1:19" ht="12.75" customHeight="1" x14ac:dyDescent="0.1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</row>
    <row r="433" spans="1:19" ht="12.75" customHeight="1" x14ac:dyDescent="0.1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</row>
    <row r="434" spans="1:19" ht="12.75" customHeight="1" x14ac:dyDescent="0.1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</row>
    <row r="435" spans="1:19" ht="12.75" customHeight="1" x14ac:dyDescent="0.1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</row>
    <row r="436" spans="1:19" ht="12.75" customHeight="1" x14ac:dyDescent="0.1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</row>
    <row r="437" spans="1:19" ht="12.75" customHeight="1" x14ac:dyDescent="0.1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</row>
    <row r="438" spans="1:19" ht="12.75" customHeight="1" x14ac:dyDescent="0.1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</row>
    <row r="439" spans="1:19" ht="12.75" customHeight="1" x14ac:dyDescent="0.1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</row>
    <row r="440" spans="1:19" ht="12.75" customHeight="1" x14ac:dyDescent="0.1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</row>
    <row r="441" spans="1:19" ht="12.75" customHeight="1" x14ac:dyDescent="0.1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</row>
    <row r="442" spans="1:19" ht="12.75" customHeight="1" x14ac:dyDescent="0.1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</row>
    <row r="443" spans="1:19" ht="12.75" customHeight="1" x14ac:dyDescent="0.1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</row>
    <row r="444" spans="1:19" ht="12.75" customHeight="1" x14ac:dyDescent="0.1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</row>
    <row r="445" spans="1:19" ht="12.75" customHeight="1" x14ac:dyDescent="0.1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</row>
    <row r="446" spans="1:19" ht="12.75" customHeight="1" x14ac:dyDescent="0.1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</row>
    <row r="447" spans="1:19" ht="12.75" customHeight="1" x14ac:dyDescent="0.1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</row>
    <row r="448" spans="1:19" ht="12.75" customHeight="1" x14ac:dyDescent="0.1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</row>
    <row r="449" spans="1:19" ht="12.75" customHeight="1" x14ac:dyDescent="0.1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</row>
    <row r="450" spans="1:19" ht="12.75" customHeight="1" x14ac:dyDescent="0.1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</row>
    <row r="451" spans="1:19" ht="12.75" customHeight="1" x14ac:dyDescent="0.1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</row>
    <row r="452" spans="1:19" ht="12.75" customHeight="1" x14ac:dyDescent="0.1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</row>
    <row r="453" spans="1:19" ht="12.75" customHeight="1" x14ac:dyDescent="0.1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</row>
    <row r="454" spans="1:19" ht="12.75" customHeight="1" x14ac:dyDescent="0.1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</row>
    <row r="455" spans="1:19" ht="12.75" customHeight="1" x14ac:dyDescent="0.1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</row>
    <row r="456" spans="1:19" ht="12.75" customHeight="1" x14ac:dyDescent="0.1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</row>
    <row r="457" spans="1:19" ht="12.75" customHeight="1" x14ac:dyDescent="0.1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</row>
    <row r="458" spans="1:19" ht="12.75" customHeight="1" x14ac:dyDescent="0.1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</row>
    <row r="459" spans="1:19" ht="12.75" customHeight="1" x14ac:dyDescent="0.1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</row>
    <row r="460" spans="1:19" ht="12.75" customHeight="1" x14ac:dyDescent="0.1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</row>
    <row r="461" spans="1:19" ht="12.75" customHeight="1" x14ac:dyDescent="0.1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</row>
    <row r="462" spans="1:19" ht="12.75" customHeight="1" x14ac:dyDescent="0.1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</row>
    <row r="463" spans="1:19" ht="12.75" customHeight="1" x14ac:dyDescent="0.1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</row>
    <row r="464" spans="1:19" ht="12.75" customHeight="1" x14ac:dyDescent="0.1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</row>
    <row r="465" spans="1:19" ht="12.75" customHeight="1" x14ac:dyDescent="0.1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</row>
    <row r="466" spans="1:19" ht="12.75" customHeight="1" x14ac:dyDescent="0.1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</row>
    <row r="467" spans="1:19" ht="12.75" customHeight="1" x14ac:dyDescent="0.1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</row>
    <row r="468" spans="1:19" ht="12.75" customHeight="1" x14ac:dyDescent="0.1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</row>
    <row r="469" spans="1:19" ht="12.75" customHeight="1" x14ac:dyDescent="0.1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</row>
    <row r="470" spans="1:19" ht="12.75" customHeight="1" x14ac:dyDescent="0.1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</row>
    <row r="471" spans="1:19" ht="12.75" customHeight="1" x14ac:dyDescent="0.1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</row>
    <row r="472" spans="1:19" ht="12.75" customHeight="1" x14ac:dyDescent="0.1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</row>
    <row r="473" spans="1:19" ht="12.75" customHeight="1" x14ac:dyDescent="0.1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</row>
    <row r="474" spans="1:19" ht="12.75" customHeight="1" x14ac:dyDescent="0.1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</row>
    <row r="475" spans="1:19" ht="12.75" customHeight="1" x14ac:dyDescent="0.1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</row>
    <row r="476" spans="1:19" ht="12.75" customHeight="1" x14ac:dyDescent="0.1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</row>
    <row r="477" spans="1:19" ht="12.75" customHeight="1" x14ac:dyDescent="0.1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</row>
    <row r="478" spans="1:19" ht="12.75" customHeight="1" x14ac:dyDescent="0.1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</row>
    <row r="479" spans="1:19" ht="12.75" customHeight="1" x14ac:dyDescent="0.1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</row>
    <row r="480" spans="1:19" ht="12.75" customHeight="1" x14ac:dyDescent="0.1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</row>
    <row r="481" spans="1:19" ht="12.75" customHeight="1" x14ac:dyDescent="0.1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</row>
    <row r="482" spans="1:19" ht="12.75" customHeight="1" x14ac:dyDescent="0.1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</row>
    <row r="483" spans="1:19" ht="12.75" customHeight="1" x14ac:dyDescent="0.1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</row>
    <row r="484" spans="1:19" ht="12.75" customHeight="1" x14ac:dyDescent="0.1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</row>
    <row r="485" spans="1:19" ht="12.75" customHeight="1" x14ac:dyDescent="0.1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</row>
    <row r="486" spans="1:19" ht="12.75" customHeight="1" x14ac:dyDescent="0.1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</row>
    <row r="487" spans="1:19" ht="12.75" customHeight="1" x14ac:dyDescent="0.1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</row>
    <row r="488" spans="1:19" ht="12.75" customHeight="1" x14ac:dyDescent="0.1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</row>
    <row r="489" spans="1:19" ht="12.75" customHeight="1" x14ac:dyDescent="0.1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</row>
    <row r="490" spans="1:19" ht="12.75" customHeight="1" x14ac:dyDescent="0.1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</row>
    <row r="491" spans="1:19" ht="12.75" customHeight="1" x14ac:dyDescent="0.1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</row>
    <row r="492" spans="1:19" ht="12.75" customHeight="1" x14ac:dyDescent="0.1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</row>
    <row r="493" spans="1:19" ht="12.75" customHeight="1" x14ac:dyDescent="0.1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</row>
    <row r="494" spans="1:19" ht="12.75" customHeight="1" x14ac:dyDescent="0.1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</row>
    <row r="495" spans="1:19" ht="12.75" customHeight="1" x14ac:dyDescent="0.1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</row>
    <row r="496" spans="1:19" ht="12.75" customHeight="1" x14ac:dyDescent="0.1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</row>
    <row r="497" spans="1:19" ht="12.75" customHeight="1" x14ac:dyDescent="0.1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</row>
    <row r="498" spans="1:19" ht="12.75" customHeight="1" x14ac:dyDescent="0.1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</row>
    <row r="499" spans="1:19" ht="12.75" customHeight="1" x14ac:dyDescent="0.1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</row>
    <row r="500" spans="1:19" ht="12.75" customHeight="1" x14ac:dyDescent="0.1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</row>
    <row r="501" spans="1:19" ht="12.75" customHeight="1" x14ac:dyDescent="0.1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</row>
    <row r="502" spans="1:19" ht="12.75" customHeight="1" x14ac:dyDescent="0.1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</row>
    <row r="503" spans="1:19" ht="12.75" customHeight="1" x14ac:dyDescent="0.1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</row>
    <row r="504" spans="1:19" ht="12.75" customHeight="1" x14ac:dyDescent="0.1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</row>
    <row r="505" spans="1:19" ht="12.75" customHeight="1" x14ac:dyDescent="0.1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</row>
    <row r="506" spans="1:19" ht="12.75" customHeight="1" x14ac:dyDescent="0.1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</row>
    <row r="507" spans="1:19" ht="12.75" customHeight="1" x14ac:dyDescent="0.1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</row>
    <row r="508" spans="1:19" ht="12.75" customHeight="1" x14ac:dyDescent="0.1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</row>
    <row r="509" spans="1:19" ht="12.75" customHeight="1" x14ac:dyDescent="0.1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</row>
    <row r="510" spans="1:19" ht="12.75" customHeight="1" x14ac:dyDescent="0.1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</row>
    <row r="511" spans="1:19" ht="12.75" customHeight="1" x14ac:dyDescent="0.1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</row>
    <row r="512" spans="1:19" ht="12.75" customHeight="1" x14ac:dyDescent="0.1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</row>
    <row r="513" spans="1:19" ht="12.75" customHeight="1" x14ac:dyDescent="0.1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</row>
    <row r="514" spans="1:19" ht="12.75" customHeight="1" x14ac:dyDescent="0.1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</row>
    <row r="515" spans="1:19" ht="12.75" customHeight="1" x14ac:dyDescent="0.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</row>
    <row r="516" spans="1:19" ht="12.75" customHeight="1" x14ac:dyDescent="0.1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</row>
    <row r="517" spans="1:19" ht="12.75" customHeight="1" x14ac:dyDescent="0.1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</row>
    <row r="518" spans="1:19" ht="12.75" customHeight="1" x14ac:dyDescent="0.1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</row>
    <row r="519" spans="1:19" ht="12.75" customHeight="1" x14ac:dyDescent="0.1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</row>
    <row r="520" spans="1:19" ht="12.75" customHeight="1" x14ac:dyDescent="0.1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</row>
    <row r="521" spans="1:19" ht="12.75" customHeight="1" x14ac:dyDescent="0.1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</row>
    <row r="522" spans="1:19" ht="12.75" customHeight="1" x14ac:dyDescent="0.1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</row>
    <row r="523" spans="1:19" ht="12.75" customHeight="1" x14ac:dyDescent="0.1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</row>
    <row r="524" spans="1:19" ht="12.75" customHeight="1" x14ac:dyDescent="0.1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</row>
    <row r="525" spans="1:19" ht="12.75" customHeight="1" x14ac:dyDescent="0.1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</row>
    <row r="526" spans="1:19" ht="12.75" customHeight="1" x14ac:dyDescent="0.1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</row>
    <row r="527" spans="1:19" ht="12.75" customHeight="1" x14ac:dyDescent="0.1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</row>
    <row r="528" spans="1:19" ht="12.75" customHeight="1" x14ac:dyDescent="0.1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</row>
    <row r="529" spans="1:19" ht="12.75" customHeight="1" x14ac:dyDescent="0.1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</row>
    <row r="530" spans="1:19" ht="12.75" customHeight="1" x14ac:dyDescent="0.1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</row>
    <row r="531" spans="1:19" ht="12.75" customHeight="1" x14ac:dyDescent="0.1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</row>
    <row r="532" spans="1:19" ht="12.75" customHeight="1" x14ac:dyDescent="0.1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</row>
    <row r="533" spans="1:19" ht="12.75" customHeight="1" x14ac:dyDescent="0.1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</row>
    <row r="534" spans="1:19" ht="12.75" customHeight="1" x14ac:dyDescent="0.1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</row>
    <row r="535" spans="1:19" ht="12.75" customHeight="1" x14ac:dyDescent="0.1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</row>
    <row r="536" spans="1:19" ht="12.75" customHeight="1" x14ac:dyDescent="0.1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</row>
    <row r="537" spans="1:19" ht="12.75" customHeight="1" x14ac:dyDescent="0.1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</row>
    <row r="538" spans="1:19" ht="12.75" customHeight="1" x14ac:dyDescent="0.1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</row>
    <row r="539" spans="1:19" ht="12.75" customHeight="1" x14ac:dyDescent="0.1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</row>
    <row r="540" spans="1:19" ht="12.75" customHeight="1" x14ac:dyDescent="0.1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</row>
    <row r="541" spans="1:19" ht="12.75" customHeight="1" x14ac:dyDescent="0.1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</row>
    <row r="542" spans="1:19" ht="12.75" customHeight="1" x14ac:dyDescent="0.1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</row>
    <row r="543" spans="1:19" ht="12.75" customHeight="1" x14ac:dyDescent="0.1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</row>
    <row r="544" spans="1:19" ht="12.75" customHeight="1" x14ac:dyDescent="0.1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</row>
    <row r="545" spans="1:19" ht="12.75" customHeight="1" x14ac:dyDescent="0.1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</row>
    <row r="546" spans="1:19" ht="12.75" customHeight="1" x14ac:dyDescent="0.1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</row>
    <row r="547" spans="1:19" ht="12.75" customHeight="1" x14ac:dyDescent="0.1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</row>
    <row r="548" spans="1:19" ht="12.75" customHeight="1" x14ac:dyDescent="0.1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</row>
    <row r="549" spans="1:19" ht="12.75" customHeight="1" x14ac:dyDescent="0.1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</row>
    <row r="550" spans="1:19" ht="12.75" customHeight="1" x14ac:dyDescent="0.1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</row>
    <row r="551" spans="1:19" ht="12.75" customHeight="1" x14ac:dyDescent="0.1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</row>
    <row r="552" spans="1:19" ht="12.75" customHeight="1" x14ac:dyDescent="0.1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</row>
    <row r="553" spans="1:19" ht="12.75" customHeight="1" x14ac:dyDescent="0.1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</row>
    <row r="554" spans="1:19" ht="12.75" customHeight="1" x14ac:dyDescent="0.1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</row>
    <row r="555" spans="1:19" ht="12.75" customHeight="1" x14ac:dyDescent="0.1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</row>
    <row r="556" spans="1:19" ht="12.75" customHeight="1" x14ac:dyDescent="0.1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</row>
    <row r="557" spans="1:19" ht="12.75" customHeight="1" x14ac:dyDescent="0.1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</row>
    <row r="558" spans="1:19" ht="12.75" customHeight="1" x14ac:dyDescent="0.1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</row>
    <row r="559" spans="1:19" ht="12.75" customHeight="1" x14ac:dyDescent="0.1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</row>
    <row r="560" spans="1:19" ht="12.75" customHeight="1" x14ac:dyDescent="0.1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</row>
    <row r="561" spans="1:19" ht="12.75" customHeight="1" x14ac:dyDescent="0.1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</row>
    <row r="562" spans="1:19" ht="12.75" customHeight="1" x14ac:dyDescent="0.1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</row>
    <row r="563" spans="1:19" ht="12.75" customHeight="1" x14ac:dyDescent="0.1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</row>
    <row r="564" spans="1:19" ht="12.75" customHeight="1" x14ac:dyDescent="0.1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</row>
    <row r="565" spans="1:19" ht="12.75" customHeight="1" x14ac:dyDescent="0.1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</row>
    <row r="566" spans="1:19" ht="12.75" customHeight="1" x14ac:dyDescent="0.1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</row>
    <row r="567" spans="1:19" ht="12.75" customHeight="1" x14ac:dyDescent="0.1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</row>
    <row r="568" spans="1:19" ht="12.75" customHeight="1" x14ac:dyDescent="0.1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</row>
    <row r="569" spans="1:19" ht="12.75" customHeight="1" x14ac:dyDescent="0.1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</row>
    <row r="570" spans="1:19" ht="12.75" customHeight="1" x14ac:dyDescent="0.1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</row>
    <row r="571" spans="1:19" ht="12.75" customHeight="1" x14ac:dyDescent="0.1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</row>
    <row r="572" spans="1:19" ht="12.75" customHeight="1" x14ac:dyDescent="0.1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</row>
    <row r="573" spans="1:19" ht="12.75" customHeight="1" x14ac:dyDescent="0.1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</row>
    <row r="574" spans="1:19" ht="12.75" customHeight="1" x14ac:dyDescent="0.1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</row>
    <row r="575" spans="1:19" ht="12.75" customHeight="1" x14ac:dyDescent="0.1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</row>
    <row r="576" spans="1:19" ht="12.75" customHeight="1" x14ac:dyDescent="0.1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</row>
    <row r="577" spans="1:19" ht="12.75" customHeight="1" x14ac:dyDescent="0.1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</row>
    <row r="578" spans="1:19" ht="12.75" customHeight="1" x14ac:dyDescent="0.1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</row>
    <row r="579" spans="1:19" ht="12.75" customHeight="1" x14ac:dyDescent="0.1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</row>
    <row r="580" spans="1:19" ht="12.75" customHeight="1" x14ac:dyDescent="0.1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</row>
    <row r="581" spans="1:19" ht="12.75" customHeight="1" x14ac:dyDescent="0.1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</row>
    <row r="582" spans="1:19" ht="12.75" customHeight="1" x14ac:dyDescent="0.1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</row>
    <row r="583" spans="1:19" ht="12.75" customHeight="1" x14ac:dyDescent="0.1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</row>
    <row r="584" spans="1:19" ht="12.75" customHeight="1" x14ac:dyDescent="0.1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</row>
    <row r="585" spans="1:19" ht="12.75" customHeight="1" x14ac:dyDescent="0.1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</row>
    <row r="586" spans="1:19" ht="12.75" customHeight="1" x14ac:dyDescent="0.1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</row>
    <row r="587" spans="1:19" ht="12.75" customHeight="1" x14ac:dyDescent="0.1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</row>
    <row r="588" spans="1:19" ht="12.75" customHeight="1" x14ac:dyDescent="0.1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</row>
    <row r="589" spans="1:19" ht="12.75" customHeight="1" x14ac:dyDescent="0.1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</row>
    <row r="590" spans="1:19" ht="12.75" customHeight="1" x14ac:dyDescent="0.1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</row>
    <row r="591" spans="1:19" ht="12.75" customHeight="1" x14ac:dyDescent="0.1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</row>
    <row r="592" spans="1:19" ht="12.75" customHeight="1" x14ac:dyDescent="0.1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</row>
    <row r="593" spans="1:19" ht="12.75" customHeight="1" x14ac:dyDescent="0.1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</row>
    <row r="594" spans="1:19" ht="12.75" customHeight="1" x14ac:dyDescent="0.1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</row>
    <row r="595" spans="1:19" ht="12.75" customHeight="1" x14ac:dyDescent="0.1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</row>
    <row r="596" spans="1:19" ht="12.75" customHeight="1" x14ac:dyDescent="0.1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</row>
    <row r="597" spans="1:19" ht="12.75" customHeight="1" x14ac:dyDescent="0.1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</row>
    <row r="598" spans="1:19" ht="12.75" customHeight="1" x14ac:dyDescent="0.1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</row>
    <row r="599" spans="1:19" ht="12.75" customHeight="1" x14ac:dyDescent="0.1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</row>
    <row r="600" spans="1:19" ht="12.75" customHeight="1" x14ac:dyDescent="0.1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</row>
    <row r="601" spans="1:19" ht="12.75" customHeight="1" x14ac:dyDescent="0.1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</row>
    <row r="602" spans="1:19" ht="12.75" customHeight="1" x14ac:dyDescent="0.1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</row>
    <row r="603" spans="1:19" ht="12.75" customHeight="1" x14ac:dyDescent="0.1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</row>
    <row r="604" spans="1:19" ht="12.75" customHeight="1" x14ac:dyDescent="0.1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</row>
    <row r="605" spans="1:19" ht="12.75" customHeight="1" x14ac:dyDescent="0.1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</row>
    <row r="606" spans="1:19" ht="12.75" customHeight="1" x14ac:dyDescent="0.1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</row>
    <row r="607" spans="1:19" ht="12.75" customHeight="1" x14ac:dyDescent="0.1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</row>
    <row r="608" spans="1:19" ht="12.75" customHeight="1" x14ac:dyDescent="0.1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</row>
    <row r="609" spans="1:19" ht="12.75" customHeight="1" x14ac:dyDescent="0.1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</row>
    <row r="610" spans="1:19" ht="12.75" customHeight="1" x14ac:dyDescent="0.1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</row>
    <row r="611" spans="1:19" ht="12.75" customHeight="1" x14ac:dyDescent="0.1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</row>
    <row r="612" spans="1:19" ht="12.75" customHeight="1" x14ac:dyDescent="0.1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</row>
    <row r="613" spans="1:19" ht="12.75" customHeight="1" x14ac:dyDescent="0.1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</row>
    <row r="614" spans="1:19" ht="12.75" customHeight="1" x14ac:dyDescent="0.1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</row>
    <row r="615" spans="1:19" ht="12.75" customHeight="1" x14ac:dyDescent="0.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</row>
    <row r="616" spans="1:19" ht="12.75" customHeight="1" x14ac:dyDescent="0.1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</row>
    <row r="617" spans="1:19" ht="12.75" customHeight="1" x14ac:dyDescent="0.1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</row>
    <row r="618" spans="1:19" ht="12.75" customHeight="1" x14ac:dyDescent="0.1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</row>
    <row r="619" spans="1:19" ht="12.75" customHeight="1" x14ac:dyDescent="0.1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</row>
    <row r="620" spans="1:19" ht="12.75" customHeight="1" x14ac:dyDescent="0.1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</row>
    <row r="621" spans="1:19" ht="12.75" customHeight="1" x14ac:dyDescent="0.1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</row>
    <row r="622" spans="1:19" ht="12.75" customHeight="1" x14ac:dyDescent="0.1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</row>
    <row r="623" spans="1:19" ht="12.75" customHeight="1" x14ac:dyDescent="0.1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</row>
    <row r="624" spans="1:19" ht="12.75" customHeight="1" x14ac:dyDescent="0.1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</row>
    <row r="625" spans="1:19" ht="12.75" customHeight="1" x14ac:dyDescent="0.1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</row>
    <row r="626" spans="1:19" ht="12.75" customHeight="1" x14ac:dyDescent="0.1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</row>
    <row r="627" spans="1:19" ht="12.75" customHeight="1" x14ac:dyDescent="0.1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</row>
    <row r="628" spans="1:19" ht="12.75" customHeight="1" x14ac:dyDescent="0.1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</row>
    <row r="629" spans="1:19" ht="12.75" customHeight="1" x14ac:dyDescent="0.1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</row>
    <row r="630" spans="1:19" ht="12.75" customHeight="1" x14ac:dyDescent="0.1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</row>
    <row r="631" spans="1:19" ht="12.75" customHeight="1" x14ac:dyDescent="0.1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</row>
    <row r="632" spans="1:19" ht="12.75" customHeight="1" x14ac:dyDescent="0.1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</row>
    <row r="633" spans="1:19" ht="12.75" customHeight="1" x14ac:dyDescent="0.1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</row>
    <row r="634" spans="1:19" ht="12.75" customHeight="1" x14ac:dyDescent="0.1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</row>
    <row r="635" spans="1:19" ht="12.75" customHeight="1" x14ac:dyDescent="0.1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</row>
    <row r="636" spans="1:19" ht="12.75" customHeight="1" x14ac:dyDescent="0.1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</row>
    <row r="637" spans="1:19" ht="12.75" customHeight="1" x14ac:dyDescent="0.1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</row>
    <row r="638" spans="1:19" ht="12.75" customHeight="1" x14ac:dyDescent="0.1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</row>
    <row r="639" spans="1:19" ht="12.75" customHeight="1" x14ac:dyDescent="0.1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</row>
    <row r="640" spans="1:19" ht="12.75" customHeight="1" x14ac:dyDescent="0.1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</row>
    <row r="641" spans="1:19" ht="12.75" customHeight="1" x14ac:dyDescent="0.1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</row>
    <row r="642" spans="1:19" ht="12.75" customHeight="1" x14ac:dyDescent="0.1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</row>
    <row r="643" spans="1:19" ht="12.75" customHeight="1" x14ac:dyDescent="0.1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</row>
    <row r="644" spans="1:19" ht="12.75" customHeight="1" x14ac:dyDescent="0.1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</row>
    <row r="645" spans="1:19" ht="12.75" customHeight="1" x14ac:dyDescent="0.1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</row>
    <row r="646" spans="1:19" ht="12.75" customHeight="1" x14ac:dyDescent="0.1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</row>
    <row r="647" spans="1:19" ht="12.75" customHeight="1" x14ac:dyDescent="0.1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</row>
    <row r="648" spans="1:19" ht="12.75" customHeight="1" x14ac:dyDescent="0.1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</row>
    <row r="649" spans="1:19" ht="12.75" customHeight="1" x14ac:dyDescent="0.1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</row>
    <row r="650" spans="1:19" ht="12.75" customHeight="1" x14ac:dyDescent="0.1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</row>
    <row r="651" spans="1:19" ht="12.75" customHeight="1" x14ac:dyDescent="0.1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</row>
    <row r="652" spans="1:19" ht="12.75" customHeight="1" x14ac:dyDescent="0.1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</row>
    <row r="653" spans="1:19" ht="12.75" customHeight="1" x14ac:dyDescent="0.1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</row>
    <row r="654" spans="1:19" ht="12.75" customHeight="1" x14ac:dyDescent="0.1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</row>
    <row r="655" spans="1:19" ht="12.75" customHeight="1" x14ac:dyDescent="0.1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</row>
    <row r="656" spans="1:19" ht="12.75" customHeight="1" x14ac:dyDescent="0.1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</row>
    <row r="657" spans="1:19" ht="12.75" customHeight="1" x14ac:dyDescent="0.1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</row>
    <row r="658" spans="1:19" ht="12.75" customHeight="1" x14ac:dyDescent="0.1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</row>
    <row r="659" spans="1:19" ht="12.75" customHeight="1" x14ac:dyDescent="0.1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</row>
    <row r="660" spans="1:19" ht="12.75" customHeight="1" x14ac:dyDescent="0.1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</row>
    <row r="661" spans="1:19" ht="12.75" customHeight="1" x14ac:dyDescent="0.1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</row>
    <row r="662" spans="1:19" ht="12.75" customHeight="1" x14ac:dyDescent="0.1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</row>
    <row r="663" spans="1:19" ht="12.75" customHeight="1" x14ac:dyDescent="0.1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</row>
    <row r="664" spans="1:19" ht="12.75" customHeight="1" x14ac:dyDescent="0.1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</row>
    <row r="665" spans="1:19" ht="12.75" customHeight="1" x14ac:dyDescent="0.1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</row>
    <row r="666" spans="1:19" ht="12.75" customHeight="1" x14ac:dyDescent="0.1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</row>
    <row r="667" spans="1:19" ht="12.75" customHeight="1" x14ac:dyDescent="0.1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</row>
    <row r="668" spans="1:19" ht="12.75" customHeight="1" x14ac:dyDescent="0.1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</row>
    <row r="669" spans="1:19" ht="12.75" customHeight="1" x14ac:dyDescent="0.1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</row>
    <row r="670" spans="1:19" ht="12.75" customHeight="1" x14ac:dyDescent="0.1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</row>
    <row r="671" spans="1:19" ht="12.75" customHeight="1" x14ac:dyDescent="0.1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</row>
    <row r="672" spans="1:19" ht="12.75" customHeight="1" x14ac:dyDescent="0.1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</row>
    <row r="673" spans="1:19" ht="12.75" customHeight="1" x14ac:dyDescent="0.1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</row>
    <row r="674" spans="1:19" ht="12.75" customHeight="1" x14ac:dyDescent="0.1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</row>
    <row r="675" spans="1:19" ht="12.75" customHeight="1" x14ac:dyDescent="0.1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</row>
    <row r="676" spans="1:19" ht="12.75" customHeight="1" x14ac:dyDescent="0.1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</row>
    <row r="677" spans="1:19" ht="12.75" customHeight="1" x14ac:dyDescent="0.1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</row>
    <row r="678" spans="1:19" ht="12.75" customHeight="1" x14ac:dyDescent="0.1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</row>
    <row r="679" spans="1:19" ht="12.75" customHeight="1" x14ac:dyDescent="0.1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</row>
    <row r="680" spans="1:19" ht="12.75" customHeight="1" x14ac:dyDescent="0.1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</row>
    <row r="681" spans="1:19" ht="12.75" customHeight="1" x14ac:dyDescent="0.1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</row>
    <row r="682" spans="1:19" ht="12.75" customHeight="1" x14ac:dyDescent="0.1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</row>
    <row r="683" spans="1:19" ht="12.75" customHeight="1" x14ac:dyDescent="0.1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</row>
    <row r="684" spans="1:19" ht="12.75" customHeight="1" x14ac:dyDescent="0.1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</row>
    <row r="685" spans="1:19" ht="12.75" customHeight="1" x14ac:dyDescent="0.1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</row>
    <row r="686" spans="1:19" ht="12.75" customHeight="1" x14ac:dyDescent="0.1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</row>
    <row r="687" spans="1:19" ht="12.75" customHeight="1" x14ac:dyDescent="0.1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</row>
    <row r="688" spans="1:19" ht="12.75" customHeight="1" x14ac:dyDescent="0.1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</row>
    <row r="689" spans="1:19" ht="12.75" customHeight="1" x14ac:dyDescent="0.1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</row>
    <row r="690" spans="1:19" ht="12.75" customHeight="1" x14ac:dyDescent="0.1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</row>
    <row r="691" spans="1:19" ht="12.75" customHeight="1" x14ac:dyDescent="0.1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</row>
    <row r="692" spans="1:19" ht="12.75" customHeight="1" x14ac:dyDescent="0.1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</row>
    <row r="693" spans="1:19" ht="12.75" customHeight="1" x14ac:dyDescent="0.1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</row>
    <row r="694" spans="1:19" ht="12.75" customHeight="1" x14ac:dyDescent="0.1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</row>
    <row r="695" spans="1:19" ht="12.75" customHeight="1" x14ac:dyDescent="0.1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</row>
    <row r="696" spans="1:19" ht="12.75" customHeight="1" x14ac:dyDescent="0.1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</row>
    <row r="697" spans="1:19" ht="12.75" customHeight="1" x14ac:dyDescent="0.1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</row>
    <row r="698" spans="1:19" ht="12.75" customHeight="1" x14ac:dyDescent="0.1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</row>
    <row r="699" spans="1:19" ht="12.75" customHeight="1" x14ac:dyDescent="0.1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</row>
    <row r="700" spans="1:19" ht="12.75" customHeight="1" x14ac:dyDescent="0.1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</row>
    <row r="701" spans="1:19" ht="12.75" customHeight="1" x14ac:dyDescent="0.1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</row>
    <row r="702" spans="1:19" ht="12.75" customHeight="1" x14ac:dyDescent="0.1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</row>
    <row r="703" spans="1:19" ht="12.75" customHeight="1" x14ac:dyDescent="0.1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</row>
    <row r="704" spans="1:19" ht="12.75" customHeight="1" x14ac:dyDescent="0.1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</row>
    <row r="705" spans="1:19" ht="12.75" customHeight="1" x14ac:dyDescent="0.1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</row>
    <row r="706" spans="1:19" ht="12.75" customHeight="1" x14ac:dyDescent="0.1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</row>
    <row r="707" spans="1:19" ht="12.75" customHeight="1" x14ac:dyDescent="0.1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</row>
    <row r="708" spans="1:19" ht="12.75" customHeight="1" x14ac:dyDescent="0.1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</row>
    <row r="709" spans="1:19" ht="12.75" customHeight="1" x14ac:dyDescent="0.1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</row>
    <row r="710" spans="1:19" ht="12.75" customHeight="1" x14ac:dyDescent="0.1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</row>
    <row r="711" spans="1:19" ht="12.75" customHeight="1" x14ac:dyDescent="0.1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</row>
    <row r="712" spans="1:19" ht="12.75" customHeight="1" x14ac:dyDescent="0.1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</row>
    <row r="713" spans="1:19" ht="12.75" customHeight="1" x14ac:dyDescent="0.1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</row>
    <row r="714" spans="1:19" ht="12.75" customHeight="1" x14ac:dyDescent="0.1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</row>
    <row r="715" spans="1:19" ht="12.75" customHeight="1" x14ac:dyDescent="0.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</row>
    <row r="716" spans="1:19" ht="12.75" customHeight="1" x14ac:dyDescent="0.1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</row>
    <row r="717" spans="1:19" ht="12.75" customHeight="1" x14ac:dyDescent="0.1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</row>
    <row r="718" spans="1:19" ht="12.75" customHeight="1" x14ac:dyDescent="0.1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</row>
    <row r="719" spans="1:19" ht="12.75" customHeight="1" x14ac:dyDescent="0.1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</row>
    <row r="720" spans="1:19" ht="12.75" customHeight="1" x14ac:dyDescent="0.1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</row>
    <row r="721" spans="1:19" ht="12.75" customHeight="1" x14ac:dyDescent="0.1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</row>
    <row r="722" spans="1:19" ht="12.75" customHeight="1" x14ac:dyDescent="0.1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</row>
    <row r="723" spans="1:19" ht="12.75" customHeight="1" x14ac:dyDescent="0.1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</row>
    <row r="724" spans="1:19" ht="12.75" customHeight="1" x14ac:dyDescent="0.1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</row>
    <row r="725" spans="1:19" ht="12.75" customHeight="1" x14ac:dyDescent="0.1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</row>
    <row r="726" spans="1:19" ht="12.75" customHeight="1" x14ac:dyDescent="0.1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</row>
    <row r="727" spans="1:19" ht="12.75" customHeight="1" x14ac:dyDescent="0.1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</row>
    <row r="728" spans="1:19" ht="12.75" customHeight="1" x14ac:dyDescent="0.1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</row>
    <row r="729" spans="1:19" ht="12.75" customHeight="1" x14ac:dyDescent="0.1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</row>
    <row r="730" spans="1:19" ht="12.75" customHeight="1" x14ac:dyDescent="0.1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</row>
    <row r="731" spans="1:19" ht="12.75" customHeight="1" x14ac:dyDescent="0.1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</row>
    <row r="732" spans="1:19" ht="12.75" customHeight="1" x14ac:dyDescent="0.1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</row>
    <row r="733" spans="1:19" ht="12.75" customHeight="1" x14ac:dyDescent="0.1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</row>
    <row r="734" spans="1:19" ht="12.75" customHeight="1" x14ac:dyDescent="0.1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</row>
    <row r="735" spans="1:19" ht="12.75" customHeight="1" x14ac:dyDescent="0.1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</row>
    <row r="736" spans="1:19" ht="12.75" customHeight="1" x14ac:dyDescent="0.1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</row>
    <row r="737" spans="1:19" ht="12.75" customHeight="1" x14ac:dyDescent="0.1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</row>
    <row r="738" spans="1:19" ht="12.75" customHeight="1" x14ac:dyDescent="0.1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</row>
    <row r="739" spans="1:19" ht="12.75" customHeight="1" x14ac:dyDescent="0.1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</row>
    <row r="740" spans="1:19" ht="12.75" customHeight="1" x14ac:dyDescent="0.1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</row>
    <row r="741" spans="1:19" ht="12.75" customHeight="1" x14ac:dyDescent="0.1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</row>
    <row r="742" spans="1:19" ht="12.75" customHeight="1" x14ac:dyDescent="0.1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</row>
    <row r="743" spans="1:19" ht="12.75" customHeight="1" x14ac:dyDescent="0.1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</row>
    <row r="744" spans="1:19" ht="12.75" customHeight="1" x14ac:dyDescent="0.1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</row>
    <row r="745" spans="1:19" ht="12.75" customHeight="1" x14ac:dyDescent="0.1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</row>
    <row r="746" spans="1:19" ht="12.75" customHeight="1" x14ac:dyDescent="0.1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</row>
    <row r="747" spans="1:19" ht="12.75" customHeight="1" x14ac:dyDescent="0.1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</row>
    <row r="748" spans="1:19" ht="12.75" customHeight="1" x14ac:dyDescent="0.1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</row>
    <row r="749" spans="1:19" ht="12.75" customHeight="1" x14ac:dyDescent="0.1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</row>
    <row r="750" spans="1:19" ht="12.75" customHeight="1" x14ac:dyDescent="0.1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</row>
    <row r="751" spans="1:19" ht="12.75" customHeight="1" x14ac:dyDescent="0.1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</row>
    <row r="752" spans="1:19" ht="12.75" customHeight="1" x14ac:dyDescent="0.1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</row>
    <row r="753" spans="1:19" ht="12.75" customHeight="1" x14ac:dyDescent="0.1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</row>
    <row r="754" spans="1:19" ht="12.75" customHeight="1" x14ac:dyDescent="0.1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</row>
    <row r="755" spans="1:19" ht="12.75" customHeight="1" x14ac:dyDescent="0.1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</row>
    <row r="756" spans="1:19" ht="12.75" customHeight="1" x14ac:dyDescent="0.1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</row>
    <row r="757" spans="1:19" ht="12.75" customHeight="1" x14ac:dyDescent="0.1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</row>
    <row r="758" spans="1:19" ht="12.75" customHeight="1" x14ac:dyDescent="0.1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</row>
    <row r="759" spans="1:19" ht="12.75" customHeight="1" x14ac:dyDescent="0.1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</row>
    <row r="760" spans="1:19" ht="12.75" customHeight="1" x14ac:dyDescent="0.1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</row>
    <row r="761" spans="1:19" ht="12.75" customHeight="1" x14ac:dyDescent="0.1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</row>
    <row r="762" spans="1:19" ht="12.75" customHeight="1" x14ac:dyDescent="0.1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</row>
    <row r="763" spans="1:19" ht="12.75" customHeight="1" x14ac:dyDescent="0.1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</row>
    <row r="764" spans="1:19" ht="12.75" customHeight="1" x14ac:dyDescent="0.1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</row>
    <row r="765" spans="1:19" ht="12.75" customHeight="1" x14ac:dyDescent="0.1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</row>
    <row r="766" spans="1:19" ht="12.75" customHeight="1" x14ac:dyDescent="0.1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</row>
    <row r="767" spans="1:19" ht="12.75" customHeight="1" x14ac:dyDescent="0.1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</row>
    <row r="768" spans="1:19" ht="12.75" customHeight="1" x14ac:dyDescent="0.1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</row>
    <row r="769" spans="1:19" ht="12.75" customHeight="1" x14ac:dyDescent="0.1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</row>
    <row r="770" spans="1:19" ht="12.75" customHeight="1" x14ac:dyDescent="0.1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</row>
    <row r="771" spans="1:19" ht="12.75" customHeight="1" x14ac:dyDescent="0.1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</row>
    <row r="772" spans="1:19" ht="12.75" customHeight="1" x14ac:dyDescent="0.1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</row>
    <row r="773" spans="1:19" ht="12.75" customHeight="1" x14ac:dyDescent="0.1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</row>
    <row r="774" spans="1:19" ht="12.75" customHeight="1" x14ac:dyDescent="0.1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</row>
    <row r="775" spans="1:19" ht="12.75" customHeight="1" x14ac:dyDescent="0.1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</row>
    <row r="776" spans="1:19" ht="12.75" customHeight="1" x14ac:dyDescent="0.1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</row>
    <row r="777" spans="1:19" ht="12.75" customHeight="1" x14ac:dyDescent="0.1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</row>
    <row r="778" spans="1:19" ht="12.75" customHeight="1" x14ac:dyDescent="0.1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</row>
    <row r="779" spans="1:19" ht="12.75" customHeight="1" x14ac:dyDescent="0.1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</row>
    <row r="780" spans="1:19" ht="12.75" customHeight="1" x14ac:dyDescent="0.1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</row>
    <row r="781" spans="1:19" ht="12.75" customHeight="1" x14ac:dyDescent="0.1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</row>
    <row r="782" spans="1:19" ht="12.75" customHeight="1" x14ac:dyDescent="0.1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</row>
    <row r="783" spans="1:19" ht="12.75" customHeight="1" x14ac:dyDescent="0.1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</row>
    <row r="784" spans="1:19" ht="12.75" customHeight="1" x14ac:dyDescent="0.1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</row>
    <row r="785" spans="1:19" ht="12.75" customHeight="1" x14ac:dyDescent="0.1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</row>
    <row r="786" spans="1:19" ht="12.75" customHeight="1" x14ac:dyDescent="0.1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</row>
    <row r="787" spans="1:19" ht="12.75" customHeight="1" x14ac:dyDescent="0.1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</row>
    <row r="788" spans="1:19" ht="12.75" customHeight="1" x14ac:dyDescent="0.1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</row>
    <row r="789" spans="1:19" ht="12.75" customHeight="1" x14ac:dyDescent="0.1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</row>
    <row r="790" spans="1:19" ht="12.75" customHeight="1" x14ac:dyDescent="0.1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</row>
    <row r="791" spans="1:19" ht="12.75" customHeight="1" x14ac:dyDescent="0.1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</row>
    <row r="792" spans="1:19" ht="12.75" customHeight="1" x14ac:dyDescent="0.1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</row>
    <row r="793" spans="1:19" ht="12.75" customHeight="1" x14ac:dyDescent="0.1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</row>
    <row r="794" spans="1:19" ht="12.75" customHeight="1" x14ac:dyDescent="0.1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</row>
    <row r="795" spans="1:19" ht="12.75" customHeight="1" x14ac:dyDescent="0.1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</row>
    <row r="796" spans="1:19" ht="12.75" customHeight="1" x14ac:dyDescent="0.1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</row>
    <row r="797" spans="1:19" ht="12.75" customHeight="1" x14ac:dyDescent="0.1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</row>
    <row r="798" spans="1:19" ht="12.75" customHeight="1" x14ac:dyDescent="0.1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</row>
    <row r="799" spans="1:19" ht="12.75" customHeight="1" x14ac:dyDescent="0.1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</row>
    <row r="800" spans="1:19" ht="12.75" customHeight="1" x14ac:dyDescent="0.1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</row>
    <row r="801" spans="1:19" ht="12.75" customHeight="1" x14ac:dyDescent="0.1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</row>
    <row r="802" spans="1:19" ht="12.75" customHeight="1" x14ac:dyDescent="0.1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</row>
    <row r="803" spans="1:19" ht="12.75" customHeight="1" x14ac:dyDescent="0.1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</row>
    <row r="804" spans="1:19" ht="12.75" customHeight="1" x14ac:dyDescent="0.1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</row>
    <row r="805" spans="1:19" ht="12.75" customHeight="1" x14ac:dyDescent="0.1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</row>
    <row r="806" spans="1:19" ht="12.75" customHeight="1" x14ac:dyDescent="0.1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</row>
    <row r="807" spans="1:19" ht="12.75" customHeight="1" x14ac:dyDescent="0.1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</row>
    <row r="808" spans="1:19" ht="12.75" customHeight="1" x14ac:dyDescent="0.1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</row>
    <row r="809" spans="1:19" ht="12.75" customHeight="1" x14ac:dyDescent="0.1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</row>
    <row r="810" spans="1:19" ht="12.75" customHeight="1" x14ac:dyDescent="0.1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</row>
    <row r="811" spans="1:19" ht="12.75" customHeight="1" x14ac:dyDescent="0.1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</row>
    <row r="812" spans="1:19" ht="12.75" customHeight="1" x14ac:dyDescent="0.1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</row>
    <row r="813" spans="1:19" ht="12.75" customHeight="1" x14ac:dyDescent="0.1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</row>
    <row r="814" spans="1:19" ht="12.75" customHeight="1" x14ac:dyDescent="0.1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</row>
    <row r="815" spans="1:19" ht="12.75" customHeight="1" x14ac:dyDescent="0.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</row>
    <row r="816" spans="1:19" ht="12.75" customHeight="1" x14ac:dyDescent="0.1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</row>
    <row r="817" spans="1:19" ht="12.75" customHeight="1" x14ac:dyDescent="0.1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</row>
    <row r="818" spans="1:19" ht="12.75" customHeight="1" x14ac:dyDescent="0.1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</row>
    <row r="819" spans="1:19" ht="12.75" customHeight="1" x14ac:dyDescent="0.1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</row>
    <row r="820" spans="1:19" ht="12.75" customHeight="1" x14ac:dyDescent="0.1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</row>
    <row r="821" spans="1:19" ht="12.75" customHeight="1" x14ac:dyDescent="0.1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</row>
    <row r="822" spans="1:19" ht="12.75" customHeight="1" x14ac:dyDescent="0.1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</row>
    <row r="823" spans="1:19" ht="12.75" customHeight="1" x14ac:dyDescent="0.1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</row>
    <row r="824" spans="1:19" ht="12.75" customHeight="1" x14ac:dyDescent="0.1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</row>
    <row r="825" spans="1:19" ht="12.75" customHeight="1" x14ac:dyDescent="0.1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</row>
    <row r="826" spans="1:19" ht="12.75" customHeight="1" x14ac:dyDescent="0.1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</row>
    <row r="827" spans="1:19" ht="12.75" customHeight="1" x14ac:dyDescent="0.1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</row>
    <row r="828" spans="1:19" ht="12.75" customHeight="1" x14ac:dyDescent="0.1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</row>
    <row r="829" spans="1:19" ht="12.75" customHeight="1" x14ac:dyDescent="0.1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</row>
    <row r="830" spans="1:19" ht="12.75" customHeight="1" x14ac:dyDescent="0.1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</row>
    <row r="831" spans="1:19" ht="12.75" customHeight="1" x14ac:dyDescent="0.1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</row>
    <row r="832" spans="1:19" ht="12.75" customHeight="1" x14ac:dyDescent="0.1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</row>
    <row r="833" spans="1:19" ht="12.75" customHeight="1" x14ac:dyDescent="0.1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</row>
    <row r="834" spans="1:19" ht="12.75" customHeight="1" x14ac:dyDescent="0.1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</row>
    <row r="835" spans="1:19" ht="12.75" customHeight="1" x14ac:dyDescent="0.1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</row>
    <row r="836" spans="1:19" ht="12.75" customHeight="1" x14ac:dyDescent="0.1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</row>
    <row r="837" spans="1:19" ht="12.75" customHeight="1" x14ac:dyDescent="0.1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</row>
    <row r="838" spans="1:19" ht="12.75" customHeight="1" x14ac:dyDescent="0.1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</row>
    <row r="839" spans="1:19" ht="12.75" customHeight="1" x14ac:dyDescent="0.1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</row>
    <row r="840" spans="1:19" ht="12.75" customHeight="1" x14ac:dyDescent="0.1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</row>
    <row r="841" spans="1:19" ht="12.75" customHeight="1" x14ac:dyDescent="0.1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</row>
    <row r="842" spans="1:19" ht="12.75" customHeight="1" x14ac:dyDescent="0.1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</row>
    <row r="843" spans="1:19" ht="12.75" customHeight="1" x14ac:dyDescent="0.1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</row>
    <row r="844" spans="1:19" ht="12.75" customHeight="1" x14ac:dyDescent="0.1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</row>
    <row r="845" spans="1:19" ht="12.75" customHeight="1" x14ac:dyDescent="0.1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</row>
    <row r="846" spans="1:19" ht="12.75" customHeight="1" x14ac:dyDescent="0.1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</row>
    <row r="847" spans="1:19" ht="12.75" customHeight="1" x14ac:dyDescent="0.1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</row>
    <row r="848" spans="1:19" ht="12.75" customHeight="1" x14ac:dyDescent="0.1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</row>
    <row r="849" spans="1:19" ht="12.75" customHeight="1" x14ac:dyDescent="0.1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</row>
    <row r="850" spans="1:19" ht="12.75" customHeight="1" x14ac:dyDescent="0.1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</row>
    <row r="851" spans="1:19" ht="12.75" customHeight="1" x14ac:dyDescent="0.1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</row>
    <row r="852" spans="1:19" ht="12.75" customHeight="1" x14ac:dyDescent="0.1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</row>
    <row r="853" spans="1:19" ht="12.75" customHeight="1" x14ac:dyDescent="0.1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</row>
    <row r="854" spans="1:19" ht="12.75" customHeight="1" x14ac:dyDescent="0.1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</row>
    <row r="855" spans="1:19" ht="12.75" customHeight="1" x14ac:dyDescent="0.1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</row>
    <row r="856" spans="1:19" ht="12.75" customHeight="1" x14ac:dyDescent="0.1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</row>
    <row r="857" spans="1:19" ht="12.75" customHeight="1" x14ac:dyDescent="0.1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</row>
    <row r="858" spans="1:19" ht="12.75" customHeight="1" x14ac:dyDescent="0.1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</row>
    <row r="859" spans="1:19" ht="12.75" customHeight="1" x14ac:dyDescent="0.1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</row>
    <row r="860" spans="1:19" ht="12.75" customHeight="1" x14ac:dyDescent="0.1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</row>
    <row r="861" spans="1:19" ht="12.75" customHeight="1" x14ac:dyDescent="0.1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</row>
    <row r="862" spans="1:19" ht="12.75" customHeight="1" x14ac:dyDescent="0.1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</row>
    <row r="863" spans="1:19" ht="12.75" customHeight="1" x14ac:dyDescent="0.1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</row>
    <row r="864" spans="1:19" ht="12.75" customHeight="1" x14ac:dyDescent="0.1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</row>
    <row r="865" spans="1:19" ht="12.75" customHeight="1" x14ac:dyDescent="0.1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</row>
    <row r="866" spans="1:19" ht="12.75" customHeight="1" x14ac:dyDescent="0.1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</row>
    <row r="867" spans="1:19" ht="12.75" customHeight="1" x14ac:dyDescent="0.1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</row>
    <row r="868" spans="1:19" ht="12.75" customHeight="1" x14ac:dyDescent="0.1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</row>
    <row r="869" spans="1:19" ht="12.75" customHeight="1" x14ac:dyDescent="0.1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</row>
    <row r="870" spans="1:19" ht="12.75" customHeight="1" x14ac:dyDescent="0.1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</row>
    <row r="871" spans="1:19" ht="12.75" customHeight="1" x14ac:dyDescent="0.1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</row>
    <row r="872" spans="1:19" ht="12.75" customHeight="1" x14ac:dyDescent="0.1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</row>
    <row r="873" spans="1:19" ht="12.75" customHeight="1" x14ac:dyDescent="0.1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</row>
    <row r="874" spans="1:19" ht="12.75" customHeight="1" x14ac:dyDescent="0.1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</row>
    <row r="875" spans="1:19" ht="12.75" customHeight="1" x14ac:dyDescent="0.1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</row>
    <row r="876" spans="1:19" ht="12.75" customHeight="1" x14ac:dyDescent="0.1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</row>
    <row r="877" spans="1:19" ht="12.75" customHeight="1" x14ac:dyDescent="0.1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</row>
    <row r="878" spans="1:19" ht="12.75" customHeight="1" x14ac:dyDescent="0.1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</row>
    <row r="879" spans="1:19" ht="12.75" customHeight="1" x14ac:dyDescent="0.1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</row>
    <row r="880" spans="1:19" ht="12.75" customHeight="1" x14ac:dyDescent="0.1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</row>
    <row r="881" spans="1:19" ht="12.75" customHeight="1" x14ac:dyDescent="0.1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</row>
    <row r="882" spans="1:19" ht="12.75" customHeight="1" x14ac:dyDescent="0.1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</row>
    <row r="883" spans="1:19" ht="12.75" customHeight="1" x14ac:dyDescent="0.1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</row>
    <row r="884" spans="1:19" ht="12.75" customHeight="1" x14ac:dyDescent="0.1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</row>
    <row r="885" spans="1:19" ht="12.75" customHeight="1" x14ac:dyDescent="0.1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</row>
    <row r="886" spans="1:19" ht="12.75" customHeight="1" x14ac:dyDescent="0.1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</row>
    <row r="887" spans="1:19" ht="12.75" customHeight="1" x14ac:dyDescent="0.1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</row>
    <row r="888" spans="1:19" ht="12.75" customHeight="1" x14ac:dyDescent="0.1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</row>
    <row r="889" spans="1:19" ht="12.75" customHeight="1" x14ac:dyDescent="0.1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</row>
    <row r="890" spans="1:19" ht="12.75" customHeight="1" x14ac:dyDescent="0.1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</row>
    <row r="891" spans="1:19" ht="12.75" customHeight="1" x14ac:dyDescent="0.1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</row>
    <row r="892" spans="1:19" ht="12.75" customHeight="1" x14ac:dyDescent="0.1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</row>
    <row r="893" spans="1:19" ht="12.75" customHeight="1" x14ac:dyDescent="0.1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</row>
    <row r="894" spans="1:19" ht="12.75" customHeight="1" x14ac:dyDescent="0.1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</row>
    <row r="895" spans="1:19" ht="12.75" customHeight="1" x14ac:dyDescent="0.1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</row>
    <row r="896" spans="1:19" ht="12.75" customHeight="1" x14ac:dyDescent="0.1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</row>
    <row r="897" spans="1:19" ht="12.75" customHeight="1" x14ac:dyDescent="0.1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</row>
    <row r="898" spans="1:19" ht="12.75" customHeight="1" x14ac:dyDescent="0.1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</row>
    <row r="899" spans="1:19" ht="12.75" customHeight="1" x14ac:dyDescent="0.1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</row>
    <row r="900" spans="1:19" ht="12.75" customHeight="1" x14ac:dyDescent="0.1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</row>
    <row r="901" spans="1:19" ht="12.75" customHeight="1" x14ac:dyDescent="0.1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</row>
    <row r="902" spans="1:19" ht="12.75" customHeight="1" x14ac:dyDescent="0.1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</row>
    <row r="903" spans="1:19" ht="12.75" customHeight="1" x14ac:dyDescent="0.1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</row>
    <row r="904" spans="1:19" ht="12.75" customHeight="1" x14ac:dyDescent="0.1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</row>
    <row r="905" spans="1:19" ht="12.75" customHeight="1" x14ac:dyDescent="0.1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</row>
    <row r="906" spans="1:19" ht="12.75" customHeight="1" x14ac:dyDescent="0.1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</row>
    <row r="907" spans="1:19" ht="12.75" customHeight="1" x14ac:dyDescent="0.1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</row>
    <row r="908" spans="1:19" ht="12.75" customHeight="1" x14ac:dyDescent="0.1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</row>
    <row r="909" spans="1:19" ht="12.75" customHeight="1" x14ac:dyDescent="0.1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</row>
    <row r="910" spans="1:19" ht="12.75" customHeight="1" x14ac:dyDescent="0.1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</row>
    <row r="911" spans="1:19" ht="12.75" customHeight="1" x14ac:dyDescent="0.1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</row>
    <row r="912" spans="1:19" ht="12.75" customHeight="1" x14ac:dyDescent="0.1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</row>
    <row r="913" spans="1:19" ht="12.75" customHeight="1" x14ac:dyDescent="0.1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</row>
    <row r="914" spans="1:19" ht="12.75" customHeight="1" x14ac:dyDescent="0.1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</row>
    <row r="915" spans="1:19" ht="12.75" customHeight="1" x14ac:dyDescent="0.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</row>
    <row r="916" spans="1:19" ht="12.75" customHeight="1" x14ac:dyDescent="0.1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</row>
    <row r="917" spans="1:19" ht="12.75" customHeight="1" x14ac:dyDescent="0.1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</row>
    <row r="918" spans="1:19" ht="12.75" customHeight="1" x14ac:dyDescent="0.1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</row>
    <row r="919" spans="1:19" ht="12.75" customHeight="1" x14ac:dyDescent="0.1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</row>
    <row r="920" spans="1:19" ht="12.75" customHeight="1" x14ac:dyDescent="0.1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</row>
    <row r="921" spans="1:19" ht="12.75" customHeight="1" x14ac:dyDescent="0.1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</row>
    <row r="922" spans="1:19" ht="12.75" customHeight="1" x14ac:dyDescent="0.1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</row>
    <row r="923" spans="1:19" ht="12.75" customHeight="1" x14ac:dyDescent="0.1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</row>
    <row r="924" spans="1:19" ht="12.75" customHeight="1" x14ac:dyDescent="0.1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</row>
    <row r="925" spans="1:19" ht="12.75" customHeight="1" x14ac:dyDescent="0.1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</row>
    <row r="926" spans="1:19" ht="12.75" customHeight="1" x14ac:dyDescent="0.1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</row>
    <row r="927" spans="1:19" ht="12.75" customHeight="1" x14ac:dyDescent="0.1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</row>
    <row r="928" spans="1:19" ht="12.75" customHeight="1" x14ac:dyDescent="0.1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</row>
    <row r="929" spans="1:19" ht="12.75" customHeight="1" x14ac:dyDescent="0.1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</row>
    <row r="930" spans="1:19" ht="12.75" customHeight="1" x14ac:dyDescent="0.1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</row>
    <row r="931" spans="1:19" ht="12.75" customHeight="1" x14ac:dyDescent="0.1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</row>
    <row r="932" spans="1:19" ht="12.75" customHeight="1" x14ac:dyDescent="0.1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</row>
    <row r="933" spans="1:19" ht="12.75" customHeight="1" x14ac:dyDescent="0.1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</row>
    <row r="934" spans="1:19" ht="12.75" customHeight="1" x14ac:dyDescent="0.1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</row>
    <row r="935" spans="1:19" ht="12.75" customHeight="1" x14ac:dyDescent="0.1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</row>
    <row r="936" spans="1:19" ht="12.75" customHeight="1" x14ac:dyDescent="0.1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</row>
    <row r="937" spans="1:19" ht="12.75" customHeight="1" x14ac:dyDescent="0.1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</row>
    <row r="938" spans="1:19" ht="12.75" customHeight="1" x14ac:dyDescent="0.1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</row>
    <row r="939" spans="1:19" ht="12.75" customHeight="1" x14ac:dyDescent="0.1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</row>
    <row r="940" spans="1:19" ht="12.75" customHeight="1" x14ac:dyDescent="0.1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</row>
    <row r="941" spans="1:19" ht="12.75" customHeight="1" x14ac:dyDescent="0.1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</row>
    <row r="942" spans="1:19" ht="12.75" customHeight="1" x14ac:dyDescent="0.1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</row>
    <row r="943" spans="1:19" ht="12.75" customHeight="1" x14ac:dyDescent="0.1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</row>
    <row r="944" spans="1:19" ht="12.75" customHeight="1" x14ac:dyDescent="0.1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</row>
    <row r="945" spans="1:19" ht="12.75" customHeight="1" x14ac:dyDescent="0.1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</row>
    <row r="946" spans="1:19" ht="12.75" customHeight="1" x14ac:dyDescent="0.1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</row>
    <row r="947" spans="1:19" ht="12.75" customHeight="1" x14ac:dyDescent="0.1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</row>
    <row r="948" spans="1:19" ht="12.75" customHeight="1" x14ac:dyDescent="0.1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</row>
    <row r="949" spans="1:19" ht="12.75" customHeight="1" x14ac:dyDescent="0.1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</row>
    <row r="950" spans="1:19" ht="12.75" customHeight="1" x14ac:dyDescent="0.1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</row>
    <row r="951" spans="1:19" ht="12.75" customHeight="1" x14ac:dyDescent="0.1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</row>
    <row r="952" spans="1:19" ht="12.75" customHeight="1" x14ac:dyDescent="0.1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</row>
    <row r="953" spans="1:19" ht="12.75" customHeight="1" x14ac:dyDescent="0.1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</row>
    <row r="954" spans="1:19" ht="12.75" customHeight="1" x14ac:dyDescent="0.1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</row>
    <row r="955" spans="1:19" ht="12.75" customHeight="1" x14ac:dyDescent="0.1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</row>
    <row r="956" spans="1:19" ht="12.75" customHeight="1" x14ac:dyDescent="0.1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</row>
    <row r="957" spans="1:19" ht="12.75" customHeight="1" x14ac:dyDescent="0.1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</row>
    <row r="958" spans="1:19" ht="12.75" customHeight="1" x14ac:dyDescent="0.1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</row>
    <row r="959" spans="1:19" ht="12.75" customHeight="1" x14ac:dyDescent="0.1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</row>
    <row r="960" spans="1:19" ht="12.75" customHeight="1" x14ac:dyDescent="0.1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</row>
    <row r="961" spans="1:19" ht="12.75" customHeight="1" x14ac:dyDescent="0.1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</row>
    <row r="962" spans="1:19" ht="12.75" customHeight="1" x14ac:dyDescent="0.1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</row>
    <row r="963" spans="1:19" ht="12.75" customHeight="1" x14ac:dyDescent="0.1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</row>
    <row r="964" spans="1:19" ht="12.75" customHeight="1" x14ac:dyDescent="0.1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</row>
    <row r="965" spans="1:19" ht="12.75" customHeight="1" x14ac:dyDescent="0.1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</row>
    <row r="966" spans="1:19" ht="12.75" customHeight="1" x14ac:dyDescent="0.1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</row>
    <row r="967" spans="1:19" ht="12.75" customHeight="1" x14ac:dyDescent="0.1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</row>
    <row r="968" spans="1:19" ht="12.75" customHeight="1" x14ac:dyDescent="0.1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</row>
    <row r="969" spans="1:19" ht="12.75" customHeight="1" x14ac:dyDescent="0.1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</row>
    <row r="970" spans="1:19" ht="12.75" customHeight="1" x14ac:dyDescent="0.1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</row>
    <row r="971" spans="1:19" ht="12.75" customHeight="1" x14ac:dyDescent="0.1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</row>
    <row r="972" spans="1:19" ht="12.75" customHeight="1" x14ac:dyDescent="0.1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</row>
    <row r="973" spans="1:19" ht="12.75" customHeight="1" x14ac:dyDescent="0.1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</row>
    <row r="974" spans="1:19" ht="12.75" customHeight="1" x14ac:dyDescent="0.1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</row>
    <row r="975" spans="1:19" ht="12.75" customHeight="1" x14ac:dyDescent="0.1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</row>
    <row r="976" spans="1:19" ht="12.75" customHeight="1" x14ac:dyDescent="0.1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</row>
    <row r="977" spans="1:19" ht="12.75" customHeight="1" x14ac:dyDescent="0.1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</row>
    <row r="978" spans="1:19" ht="12.75" customHeight="1" x14ac:dyDescent="0.1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</row>
    <row r="979" spans="1:19" ht="12.75" customHeight="1" x14ac:dyDescent="0.1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</row>
    <row r="980" spans="1:19" ht="12.75" customHeight="1" x14ac:dyDescent="0.1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</row>
    <row r="981" spans="1:19" ht="12.75" customHeight="1" x14ac:dyDescent="0.1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</row>
    <row r="982" spans="1:19" ht="12.75" customHeight="1" x14ac:dyDescent="0.1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</row>
    <row r="983" spans="1:19" ht="12.75" customHeight="1" x14ac:dyDescent="0.1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</row>
    <row r="984" spans="1:19" ht="12.75" customHeight="1" x14ac:dyDescent="0.1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</row>
    <row r="985" spans="1:19" ht="12.75" customHeight="1" x14ac:dyDescent="0.1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</row>
    <row r="986" spans="1:19" ht="12.75" customHeight="1" x14ac:dyDescent="0.1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</row>
    <row r="987" spans="1:19" ht="12.75" customHeight="1" x14ac:dyDescent="0.1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</row>
    <row r="988" spans="1:19" ht="12.75" customHeight="1" x14ac:dyDescent="0.1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</row>
    <row r="989" spans="1:19" ht="12.75" customHeight="1" x14ac:dyDescent="0.1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</row>
    <row r="990" spans="1:19" ht="12.75" customHeight="1" x14ac:dyDescent="0.1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</row>
    <row r="991" spans="1:19" ht="12.75" customHeight="1" x14ac:dyDescent="0.1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</row>
    <row r="992" spans="1:19" ht="12.75" customHeight="1" x14ac:dyDescent="0.1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</row>
    <row r="993" spans="1:19" ht="12.75" customHeight="1" x14ac:dyDescent="0.1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</row>
    <row r="994" spans="1:19" ht="12.75" customHeight="1" x14ac:dyDescent="0.1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</row>
    <row r="995" spans="1:19" ht="12.75" customHeight="1" x14ac:dyDescent="0.1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</row>
    <row r="996" spans="1:19" ht="12.75" customHeight="1" x14ac:dyDescent="0.1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</row>
    <row r="997" spans="1:19" ht="12.75" customHeight="1" x14ac:dyDescent="0.1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</row>
    <row r="998" spans="1:19" ht="12.75" customHeight="1" x14ac:dyDescent="0.1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</row>
  </sheetData>
  <mergeCells count="2">
    <mergeCell ref="D2:E2"/>
    <mergeCell ref="D3:E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8"/>
  <sheetViews>
    <sheetView workbookViewId="0">
      <selection activeCell="W52" sqref="W52"/>
    </sheetView>
  </sheetViews>
  <sheetFormatPr baseColWidth="10" defaultColWidth="14.5" defaultRowHeight="15.75" customHeight="1" x14ac:dyDescent="0.15"/>
  <cols>
    <col min="1" max="1" width="6.33203125" customWidth="1"/>
    <col min="2" max="2" width="15.1640625" customWidth="1"/>
    <col min="3" max="5" width="10.83203125" customWidth="1"/>
    <col min="6" max="12" width="4.83203125" customWidth="1"/>
    <col min="13" max="13" width="10.83203125" customWidth="1"/>
    <col min="14" max="19" width="8.6640625" customWidth="1"/>
  </cols>
  <sheetData>
    <row r="1" spans="1:19" ht="12.75" customHeight="1" x14ac:dyDescent="0.15">
      <c r="A1" s="9" t="s">
        <v>94</v>
      </c>
      <c r="B1" s="10" t="s">
        <v>95</v>
      </c>
      <c r="C1" s="9" t="s">
        <v>96</v>
      </c>
      <c r="D1" s="9" t="s">
        <v>97</v>
      </c>
      <c r="E1" s="9" t="s">
        <v>98</v>
      </c>
      <c r="F1" s="11" t="s">
        <v>276</v>
      </c>
      <c r="G1" s="11" t="s">
        <v>277</v>
      </c>
      <c r="H1" s="11" t="s">
        <v>100</v>
      </c>
      <c r="I1" s="11" t="s">
        <v>101</v>
      </c>
      <c r="J1" s="11" t="s">
        <v>102</v>
      </c>
      <c r="K1" s="11" t="s">
        <v>104</v>
      </c>
      <c r="L1" s="11" t="s">
        <v>106</v>
      </c>
      <c r="M1" s="12" t="s">
        <v>108</v>
      </c>
      <c r="N1" s="13"/>
      <c r="O1" s="13"/>
      <c r="P1" s="13"/>
      <c r="Q1" s="13"/>
      <c r="R1" s="13"/>
      <c r="S1" s="13"/>
    </row>
    <row r="2" spans="1:19" ht="12.75" customHeight="1" x14ac:dyDescent="0.15">
      <c r="A2" s="13"/>
      <c r="B2" s="13"/>
      <c r="C2" s="14">
        <v>20</v>
      </c>
      <c r="D2" s="24" t="s">
        <v>98</v>
      </c>
      <c r="E2" s="25"/>
      <c r="F2" s="15">
        <v>14</v>
      </c>
      <c r="G2" s="15">
        <v>14</v>
      </c>
      <c r="H2" s="15">
        <v>18</v>
      </c>
      <c r="I2" s="15">
        <v>14</v>
      </c>
      <c r="J2" s="15">
        <v>18</v>
      </c>
      <c r="K2" s="15">
        <v>56</v>
      </c>
      <c r="L2" s="15">
        <v>78</v>
      </c>
      <c r="M2" s="13"/>
      <c r="N2" s="13"/>
      <c r="O2" s="13"/>
      <c r="P2" s="13"/>
      <c r="Q2" s="13"/>
      <c r="R2" s="13"/>
      <c r="S2" s="13"/>
    </row>
    <row r="3" spans="1:19" ht="12.75" customHeight="1" x14ac:dyDescent="0.15">
      <c r="A3" s="13"/>
      <c r="B3" s="13"/>
      <c r="C3" s="14">
        <f>AVERAGE(C19:C69)</f>
        <v>11.196078431372548</v>
      </c>
      <c r="D3" s="24" t="s">
        <v>109</v>
      </c>
      <c r="E3" s="25"/>
      <c r="F3" s="16">
        <f t="shared" ref="F3:L3" si="0">AVERAGE(F19:F69)/F2</f>
        <v>0.42436974789915966</v>
      </c>
      <c r="G3" s="16">
        <f t="shared" si="0"/>
        <v>0.30952380952380948</v>
      </c>
      <c r="H3" s="16">
        <f t="shared" si="0"/>
        <v>0.27233115468409586</v>
      </c>
      <c r="I3" s="16">
        <f t="shared" si="0"/>
        <v>0.38095238095238093</v>
      </c>
      <c r="J3" s="16">
        <f t="shared" si="0"/>
        <v>0.22984749455337694</v>
      </c>
      <c r="K3" s="16">
        <f t="shared" si="0"/>
        <v>0.68697478991596639</v>
      </c>
      <c r="L3" s="16">
        <f t="shared" si="0"/>
        <v>0.74786324786324787</v>
      </c>
      <c r="M3" s="13"/>
      <c r="N3" s="13"/>
      <c r="O3" s="13"/>
      <c r="P3" s="13"/>
      <c r="Q3" s="13"/>
      <c r="R3" s="13"/>
      <c r="S3" s="13"/>
    </row>
    <row r="4" spans="1:19" ht="12.75" customHeight="1" x14ac:dyDescent="0.15">
      <c r="A4" s="17"/>
      <c r="B4" s="18" t="s">
        <v>176</v>
      </c>
      <c r="C4" s="19" t="s">
        <v>111</v>
      </c>
      <c r="D4" s="20">
        <f>SUM(A4)</f>
        <v>0</v>
      </c>
      <c r="E4" s="20"/>
      <c r="F4" s="20"/>
      <c r="G4" s="20"/>
      <c r="H4" s="20"/>
      <c r="I4" s="20"/>
      <c r="J4" s="20"/>
      <c r="K4" s="20"/>
      <c r="L4" s="20"/>
      <c r="M4" s="21"/>
      <c r="N4" s="13"/>
      <c r="O4" s="13"/>
      <c r="P4" s="13"/>
      <c r="Q4" s="13"/>
      <c r="R4" s="13"/>
      <c r="S4" s="13"/>
    </row>
    <row r="5" spans="1:19" ht="12.75" customHeight="1" x14ac:dyDescent="0.15">
      <c r="A5" s="17"/>
      <c r="B5" s="18" t="s">
        <v>198</v>
      </c>
      <c r="C5" s="19" t="s">
        <v>111</v>
      </c>
      <c r="D5" s="20">
        <f>SUM(A5)</f>
        <v>0</v>
      </c>
      <c r="E5" s="20"/>
      <c r="F5" s="20"/>
      <c r="G5" s="20"/>
      <c r="H5" s="20"/>
      <c r="I5" s="20"/>
      <c r="J5" s="20"/>
      <c r="K5" s="20"/>
      <c r="L5" s="20"/>
      <c r="M5" s="21"/>
      <c r="N5" s="13"/>
      <c r="O5" s="13"/>
      <c r="P5" s="13"/>
      <c r="Q5" s="13"/>
      <c r="R5" s="13"/>
      <c r="S5" s="13"/>
    </row>
    <row r="6" spans="1:19" ht="12.75" customHeight="1" x14ac:dyDescent="0.15">
      <c r="A6" s="17"/>
      <c r="B6" s="18" t="s">
        <v>190</v>
      </c>
      <c r="C6" s="19" t="s">
        <v>111</v>
      </c>
      <c r="D6" s="20">
        <f>SUM(A6)</f>
        <v>0</v>
      </c>
      <c r="E6" s="20"/>
      <c r="F6" s="20"/>
      <c r="G6" s="20"/>
      <c r="H6" s="20"/>
      <c r="I6" s="20"/>
      <c r="J6" s="20"/>
      <c r="K6" s="20"/>
      <c r="L6" s="20"/>
      <c r="M6" s="21"/>
      <c r="N6" s="13"/>
      <c r="O6" s="13"/>
      <c r="P6" s="13"/>
      <c r="Q6" s="13"/>
      <c r="R6" s="13"/>
      <c r="S6" s="13"/>
    </row>
    <row r="7" spans="1:19" ht="12.75" customHeight="1" x14ac:dyDescent="0.15">
      <c r="A7" s="17"/>
      <c r="B7" s="18" t="s">
        <v>121</v>
      </c>
      <c r="C7" s="19" t="s">
        <v>111</v>
      </c>
      <c r="D7" s="20">
        <f>SUM(A7)</f>
        <v>0</v>
      </c>
      <c r="E7" s="20"/>
      <c r="F7" s="20"/>
      <c r="G7" s="20"/>
      <c r="H7" s="20"/>
      <c r="I7" s="20"/>
      <c r="J7" s="20"/>
      <c r="K7" s="20"/>
      <c r="L7" s="20"/>
      <c r="M7" s="21"/>
      <c r="N7" s="13"/>
      <c r="O7" s="13"/>
      <c r="P7" s="13"/>
      <c r="Q7" s="13"/>
      <c r="R7" s="13"/>
      <c r="S7" s="13"/>
    </row>
    <row r="8" spans="1:19" ht="12.75" customHeight="1" x14ac:dyDescent="0.15">
      <c r="A8" s="17"/>
      <c r="B8" s="18" t="s">
        <v>154</v>
      </c>
      <c r="C8" s="19" t="s">
        <v>111</v>
      </c>
      <c r="D8" s="20">
        <f>SUM(A8)</f>
        <v>0</v>
      </c>
      <c r="E8" s="20"/>
      <c r="F8" s="20"/>
      <c r="G8" s="20"/>
      <c r="H8" s="20"/>
      <c r="I8" s="20"/>
      <c r="J8" s="20"/>
      <c r="K8" s="20"/>
      <c r="L8" s="20"/>
      <c r="M8" s="21"/>
      <c r="N8" s="13"/>
      <c r="O8" s="13"/>
      <c r="P8" s="13"/>
      <c r="Q8" s="13"/>
      <c r="R8" s="13"/>
      <c r="S8" s="13"/>
    </row>
    <row r="9" spans="1:19" ht="12.75" customHeight="1" x14ac:dyDescent="0.15">
      <c r="A9" s="17"/>
      <c r="B9" s="18" t="s">
        <v>144</v>
      </c>
      <c r="C9" s="19" t="s">
        <v>111</v>
      </c>
      <c r="D9" s="20">
        <f>SUM(A9)</f>
        <v>0</v>
      </c>
      <c r="E9" s="20"/>
      <c r="F9" s="20"/>
      <c r="G9" s="20"/>
      <c r="H9" s="20"/>
      <c r="I9" s="20"/>
      <c r="J9" s="20"/>
      <c r="K9" s="20"/>
      <c r="L9" s="20"/>
      <c r="M9" s="21"/>
      <c r="N9" s="13"/>
      <c r="O9" s="13"/>
      <c r="P9" s="13"/>
      <c r="Q9" s="13"/>
      <c r="R9" s="13"/>
      <c r="S9" s="13"/>
    </row>
    <row r="10" spans="1:19" ht="12.75" customHeight="1" x14ac:dyDescent="0.15">
      <c r="A10" s="17"/>
      <c r="B10" s="18" t="s">
        <v>110</v>
      </c>
      <c r="C10" s="19" t="s">
        <v>111</v>
      </c>
      <c r="D10" s="20">
        <f>SUM(A10)</f>
        <v>0</v>
      </c>
      <c r="E10" s="20"/>
      <c r="F10" s="20"/>
      <c r="G10" s="20"/>
      <c r="H10" s="20"/>
      <c r="I10" s="20"/>
      <c r="J10" s="20"/>
      <c r="K10" s="20"/>
      <c r="L10" s="20"/>
      <c r="M10" s="21"/>
      <c r="N10" s="13"/>
      <c r="O10" s="13"/>
      <c r="P10" s="13"/>
      <c r="Q10" s="13"/>
      <c r="R10" s="13"/>
      <c r="S10" s="13"/>
    </row>
    <row r="11" spans="1:19" ht="12.75" customHeight="1" x14ac:dyDescent="0.15">
      <c r="A11" s="17"/>
      <c r="B11" s="18" t="s">
        <v>126</v>
      </c>
      <c r="C11" s="19" t="s">
        <v>111</v>
      </c>
      <c r="D11" s="20">
        <f>SUM(A11)</f>
        <v>0</v>
      </c>
      <c r="E11" s="20"/>
      <c r="F11" s="20"/>
      <c r="G11" s="20"/>
      <c r="H11" s="20"/>
      <c r="I11" s="20"/>
      <c r="J11" s="20"/>
      <c r="K11" s="20"/>
      <c r="L11" s="20"/>
      <c r="M11" s="21"/>
      <c r="N11" s="13"/>
      <c r="O11" s="13"/>
      <c r="P11" s="13"/>
      <c r="Q11" s="13"/>
      <c r="R11" s="13"/>
      <c r="S11" s="13"/>
    </row>
    <row r="12" spans="1:19" ht="12.75" customHeight="1" x14ac:dyDescent="0.15">
      <c r="A12" s="17"/>
      <c r="B12" s="18" t="s">
        <v>112</v>
      </c>
      <c r="C12" s="19" t="s">
        <v>111</v>
      </c>
      <c r="D12" s="20">
        <f>SUM(A12)</f>
        <v>0</v>
      </c>
      <c r="E12" s="20"/>
      <c r="F12" s="20"/>
      <c r="G12" s="20"/>
      <c r="H12" s="20"/>
      <c r="I12" s="20"/>
      <c r="J12" s="20"/>
      <c r="K12" s="20"/>
      <c r="L12" s="20"/>
      <c r="M12" s="21"/>
      <c r="N12" s="13"/>
      <c r="O12" s="13"/>
      <c r="P12" s="13"/>
      <c r="Q12" s="13"/>
      <c r="R12" s="13"/>
      <c r="S12" s="13"/>
    </row>
    <row r="13" spans="1:19" ht="12.75" customHeight="1" x14ac:dyDescent="0.15">
      <c r="A13" s="17"/>
      <c r="B13" s="18" t="s">
        <v>180</v>
      </c>
      <c r="C13" s="19" t="s">
        <v>111</v>
      </c>
      <c r="D13" s="20">
        <f>SUM(A13)</f>
        <v>0</v>
      </c>
      <c r="E13" s="20"/>
      <c r="F13" s="20"/>
      <c r="G13" s="20"/>
      <c r="H13" s="20"/>
      <c r="I13" s="20"/>
      <c r="J13" s="20"/>
      <c r="K13" s="20"/>
      <c r="L13" s="20"/>
      <c r="M13" s="21"/>
      <c r="N13" s="13"/>
      <c r="O13" s="13"/>
      <c r="P13" s="13"/>
      <c r="Q13" s="13"/>
      <c r="R13" s="13"/>
      <c r="S13" s="13"/>
    </row>
    <row r="14" spans="1:19" ht="12.75" customHeight="1" x14ac:dyDescent="0.15">
      <c r="A14" s="17"/>
      <c r="B14" s="18" t="s">
        <v>253</v>
      </c>
      <c r="C14" s="19" t="s">
        <v>111</v>
      </c>
      <c r="D14" s="20">
        <f>SUM(A14)</f>
        <v>0</v>
      </c>
      <c r="E14" s="20"/>
      <c r="F14" s="20"/>
      <c r="G14" s="20"/>
      <c r="H14" s="20"/>
      <c r="I14" s="20"/>
      <c r="J14" s="20"/>
      <c r="K14" s="20"/>
      <c r="L14" s="20"/>
      <c r="M14" s="21"/>
      <c r="N14" s="13"/>
      <c r="O14" s="13"/>
      <c r="P14" s="13"/>
      <c r="Q14" s="13"/>
      <c r="R14" s="13"/>
      <c r="S14" s="13"/>
    </row>
    <row r="15" spans="1:19" ht="12.75" customHeight="1" x14ac:dyDescent="0.15">
      <c r="A15" s="17"/>
      <c r="B15" s="18" t="s">
        <v>129</v>
      </c>
      <c r="C15" s="19" t="s">
        <v>111</v>
      </c>
      <c r="D15" s="20">
        <f>SUM(A15)</f>
        <v>0</v>
      </c>
      <c r="E15" s="20"/>
      <c r="F15" s="20"/>
      <c r="G15" s="20"/>
      <c r="H15" s="20"/>
      <c r="I15" s="20"/>
      <c r="J15" s="20"/>
      <c r="K15" s="20"/>
      <c r="L15" s="20"/>
      <c r="M15" s="21"/>
      <c r="N15" s="13"/>
      <c r="O15" s="13"/>
      <c r="P15" s="13"/>
      <c r="Q15" s="13"/>
      <c r="R15" s="13"/>
      <c r="S15" s="13"/>
    </row>
    <row r="16" spans="1:19" ht="12.75" customHeight="1" x14ac:dyDescent="0.15">
      <c r="A16" s="17"/>
      <c r="B16" s="18" t="s">
        <v>133</v>
      </c>
      <c r="C16" s="19" t="s">
        <v>111</v>
      </c>
      <c r="D16" s="20">
        <f>SUM(A16)</f>
        <v>0</v>
      </c>
      <c r="E16" s="20"/>
      <c r="F16" s="20"/>
      <c r="G16" s="20"/>
      <c r="H16" s="20"/>
      <c r="I16" s="20"/>
      <c r="J16" s="20"/>
      <c r="K16" s="20"/>
      <c r="L16" s="20"/>
      <c r="M16" s="21"/>
      <c r="N16" s="13"/>
      <c r="O16" s="13"/>
      <c r="P16" s="13"/>
      <c r="Q16" s="13"/>
      <c r="R16" s="13"/>
      <c r="S16" s="13"/>
    </row>
    <row r="17" spans="1:19" ht="12.75" customHeight="1" x14ac:dyDescent="0.15">
      <c r="A17" s="17"/>
      <c r="B17" s="18" t="s">
        <v>113</v>
      </c>
      <c r="C17" s="19" t="s">
        <v>111</v>
      </c>
      <c r="D17" s="20">
        <f>SUM(A17)</f>
        <v>0</v>
      </c>
      <c r="E17" s="20"/>
      <c r="F17" s="20"/>
      <c r="G17" s="20"/>
      <c r="H17" s="20"/>
      <c r="I17" s="20"/>
      <c r="J17" s="20"/>
      <c r="K17" s="20"/>
      <c r="L17" s="20"/>
      <c r="M17" s="21"/>
      <c r="N17" s="13"/>
      <c r="O17" s="13"/>
      <c r="P17" s="13"/>
      <c r="Q17" s="13"/>
      <c r="R17" s="13"/>
      <c r="S17" s="13"/>
    </row>
    <row r="18" spans="1:19" ht="12.75" customHeight="1" x14ac:dyDescent="0.15">
      <c r="A18" s="17"/>
      <c r="B18" s="18" t="s">
        <v>128</v>
      </c>
      <c r="C18" s="19" t="s">
        <v>111</v>
      </c>
      <c r="D18" s="20">
        <f>SUM(A18)</f>
        <v>0</v>
      </c>
      <c r="E18" s="20"/>
      <c r="F18" s="20"/>
      <c r="G18" s="20"/>
      <c r="H18" s="20"/>
      <c r="I18" s="20"/>
      <c r="J18" s="20"/>
      <c r="K18" s="20"/>
      <c r="L18" s="20"/>
      <c r="M18" s="21"/>
      <c r="N18" s="13"/>
      <c r="O18" s="13"/>
      <c r="P18" s="13"/>
      <c r="Q18" s="13"/>
      <c r="R18" s="13"/>
      <c r="S18" s="13"/>
    </row>
    <row r="19" spans="1:19" ht="12.75" customHeight="1" x14ac:dyDescent="0.15">
      <c r="A19" s="17" t="s">
        <v>194</v>
      </c>
      <c r="B19" s="18" t="s">
        <v>136</v>
      </c>
      <c r="C19" s="14">
        <f t="shared" ref="C19:C69" si="1">IF($C$2&gt;0,MIN($C$2,ROUNDDOWN(D19/E19*$C$2/0.5,0)*0.5),ROUNDDOWN(D19/0.5,0)*0.5)</f>
        <v>5</v>
      </c>
      <c r="D19" s="15">
        <f t="shared" ref="D19:D69" si="2">SUM(F19:L19)</f>
        <v>56</v>
      </c>
      <c r="E19" s="15">
        <v>212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15">
        <v>56</v>
      </c>
      <c r="L19" s="22">
        <v>0</v>
      </c>
      <c r="M19" s="21" t="s">
        <v>136</v>
      </c>
      <c r="N19" s="13"/>
      <c r="O19" s="13"/>
      <c r="P19" s="13"/>
      <c r="Q19" s="13"/>
      <c r="R19" s="13"/>
      <c r="S19" s="13"/>
    </row>
    <row r="20" spans="1:19" ht="12.75" customHeight="1" x14ac:dyDescent="0.15">
      <c r="A20" s="17" t="s">
        <v>186</v>
      </c>
      <c r="B20" s="18" t="s">
        <v>260</v>
      </c>
      <c r="C20" s="14">
        <f t="shared" si="1"/>
        <v>5</v>
      </c>
      <c r="D20" s="15">
        <f t="shared" si="2"/>
        <v>56</v>
      </c>
      <c r="E20" s="15">
        <v>212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15">
        <v>56</v>
      </c>
      <c r="L20" s="22">
        <v>0</v>
      </c>
      <c r="M20" s="21" t="s">
        <v>260</v>
      </c>
      <c r="N20" s="13"/>
      <c r="O20" s="13"/>
      <c r="P20" s="13"/>
      <c r="Q20" s="13"/>
      <c r="R20" s="13"/>
      <c r="S20" s="13"/>
    </row>
    <row r="21" spans="1:19" ht="12.75" customHeight="1" x14ac:dyDescent="0.15">
      <c r="A21" s="17" t="s">
        <v>172</v>
      </c>
      <c r="B21" s="18" t="s">
        <v>132</v>
      </c>
      <c r="C21" s="14">
        <f t="shared" si="1"/>
        <v>6</v>
      </c>
      <c r="D21" s="15">
        <f t="shared" si="2"/>
        <v>67</v>
      </c>
      <c r="E21" s="15">
        <v>212</v>
      </c>
      <c r="F21" s="22">
        <v>0</v>
      </c>
      <c r="G21" s="15">
        <v>0</v>
      </c>
      <c r="H21" s="15">
        <v>0</v>
      </c>
      <c r="I21" s="15">
        <v>6</v>
      </c>
      <c r="J21" s="22">
        <v>0</v>
      </c>
      <c r="K21" s="15">
        <v>11</v>
      </c>
      <c r="L21" s="15">
        <v>50</v>
      </c>
      <c r="M21" s="21" t="s">
        <v>147</v>
      </c>
      <c r="N21" s="13"/>
      <c r="O21" s="13"/>
      <c r="P21" s="13"/>
      <c r="Q21" s="13"/>
      <c r="R21" s="13"/>
      <c r="S21" s="13"/>
    </row>
    <row r="22" spans="1:19" ht="12.75" customHeight="1" x14ac:dyDescent="0.15">
      <c r="A22" s="17" t="s">
        <v>221</v>
      </c>
      <c r="B22" s="18" t="s">
        <v>170</v>
      </c>
      <c r="C22" s="14">
        <f t="shared" si="1"/>
        <v>6</v>
      </c>
      <c r="D22" s="15">
        <f t="shared" si="2"/>
        <v>68</v>
      </c>
      <c r="E22" s="15">
        <v>212</v>
      </c>
      <c r="F22" s="15">
        <v>0</v>
      </c>
      <c r="G22" s="22">
        <v>0</v>
      </c>
      <c r="H22" s="15">
        <v>8</v>
      </c>
      <c r="I22" s="15">
        <v>0</v>
      </c>
      <c r="J22" s="15">
        <v>8</v>
      </c>
      <c r="K22" s="15">
        <v>2</v>
      </c>
      <c r="L22" s="15">
        <v>50</v>
      </c>
      <c r="M22" s="21" t="s">
        <v>170</v>
      </c>
      <c r="N22" s="13"/>
      <c r="O22" s="13"/>
      <c r="P22" s="13"/>
      <c r="Q22" s="13"/>
      <c r="R22" s="13"/>
      <c r="S22" s="13"/>
    </row>
    <row r="23" spans="1:19" ht="12.75" customHeight="1" x14ac:dyDescent="0.15">
      <c r="A23" s="17" t="s">
        <v>245</v>
      </c>
      <c r="B23" s="18" t="s">
        <v>157</v>
      </c>
      <c r="C23" s="14">
        <f t="shared" si="1"/>
        <v>6</v>
      </c>
      <c r="D23" s="15">
        <f t="shared" si="2"/>
        <v>67</v>
      </c>
      <c r="E23" s="15">
        <v>212</v>
      </c>
      <c r="F23" s="15">
        <v>0</v>
      </c>
      <c r="G23" s="15">
        <v>7</v>
      </c>
      <c r="H23" s="15">
        <v>0</v>
      </c>
      <c r="I23" s="15">
        <v>6</v>
      </c>
      <c r="J23" s="15">
        <v>0</v>
      </c>
      <c r="K23" s="15">
        <v>2</v>
      </c>
      <c r="L23" s="15">
        <v>52</v>
      </c>
      <c r="M23" s="21" t="s">
        <v>157</v>
      </c>
      <c r="N23" s="13"/>
      <c r="O23" s="13"/>
      <c r="P23" s="13"/>
      <c r="Q23" s="13"/>
      <c r="R23" s="13"/>
      <c r="S23" s="13"/>
    </row>
    <row r="24" spans="1:19" ht="12.75" customHeight="1" x14ac:dyDescent="0.15">
      <c r="A24" s="17" t="s">
        <v>164</v>
      </c>
      <c r="B24" s="18" t="s">
        <v>117</v>
      </c>
      <c r="C24" s="14">
        <f t="shared" si="1"/>
        <v>6.5</v>
      </c>
      <c r="D24" s="15">
        <f t="shared" si="2"/>
        <v>73</v>
      </c>
      <c r="E24" s="15">
        <v>212</v>
      </c>
      <c r="F24" s="15">
        <v>7</v>
      </c>
      <c r="G24" s="15">
        <v>0</v>
      </c>
      <c r="H24" s="15">
        <v>0</v>
      </c>
      <c r="I24" s="15">
        <v>6</v>
      </c>
      <c r="J24" s="15">
        <v>0</v>
      </c>
      <c r="K24" s="15">
        <v>21</v>
      </c>
      <c r="L24" s="15">
        <v>39</v>
      </c>
      <c r="M24" s="21" t="s">
        <v>117</v>
      </c>
      <c r="N24" s="13"/>
      <c r="O24" s="13"/>
      <c r="P24" s="13"/>
      <c r="Q24" s="13"/>
      <c r="R24" s="13"/>
      <c r="S24" s="13"/>
    </row>
    <row r="25" spans="1:19" ht="12.75" customHeight="1" x14ac:dyDescent="0.15">
      <c r="A25" s="17" t="s">
        <v>182</v>
      </c>
      <c r="B25" s="18" t="s">
        <v>151</v>
      </c>
      <c r="C25" s="14">
        <f t="shared" si="1"/>
        <v>6.5</v>
      </c>
      <c r="D25" s="15">
        <f t="shared" si="2"/>
        <v>74</v>
      </c>
      <c r="E25" s="15">
        <v>212</v>
      </c>
      <c r="F25" s="15">
        <v>0</v>
      </c>
      <c r="G25" s="15">
        <v>6</v>
      </c>
      <c r="H25" s="15">
        <v>0</v>
      </c>
      <c r="I25" s="15">
        <v>0</v>
      </c>
      <c r="J25" s="15">
        <v>0</v>
      </c>
      <c r="K25" s="15">
        <v>29</v>
      </c>
      <c r="L25" s="15">
        <v>39</v>
      </c>
      <c r="M25" s="21" t="s">
        <v>151</v>
      </c>
      <c r="N25" s="13"/>
      <c r="O25" s="13"/>
      <c r="P25" s="13"/>
      <c r="Q25" s="13"/>
      <c r="R25" s="13"/>
      <c r="S25" s="13"/>
    </row>
    <row r="26" spans="1:19" ht="12.75" customHeight="1" x14ac:dyDescent="0.15">
      <c r="A26" s="17" t="s">
        <v>197</v>
      </c>
      <c r="B26" s="18" t="s">
        <v>167</v>
      </c>
      <c r="C26" s="14">
        <f t="shared" si="1"/>
        <v>8</v>
      </c>
      <c r="D26" s="15">
        <f t="shared" si="2"/>
        <v>90</v>
      </c>
      <c r="E26" s="15">
        <v>212</v>
      </c>
      <c r="F26" s="15">
        <v>5</v>
      </c>
      <c r="G26" s="15">
        <v>5</v>
      </c>
      <c r="H26" s="15">
        <v>0</v>
      </c>
      <c r="I26" s="15">
        <v>0</v>
      </c>
      <c r="J26" s="15">
        <v>0</v>
      </c>
      <c r="K26" s="15">
        <v>56</v>
      </c>
      <c r="L26" s="15">
        <v>24</v>
      </c>
      <c r="M26" s="21" t="s">
        <v>181</v>
      </c>
      <c r="N26" s="13"/>
      <c r="O26" s="13"/>
      <c r="P26" s="13"/>
      <c r="Q26" s="13"/>
      <c r="R26" s="13"/>
      <c r="S26" s="13"/>
    </row>
    <row r="27" spans="1:19" ht="12.75" customHeight="1" x14ac:dyDescent="0.15">
      <c r="A27" s="17" t="s">
        <v>161</v>
      </c>
      <c r="B27" s="18" t="s">
        <v>216</v>
      </c>
      <c r="C27" s="14">
        <f t="shared" si="1"/>
        <v>8.5</v>
      </c>
      <c r="D27" s="15">
        <f t="shared" si="2"/>
        <v>92</v>
      </c>
      <c r="E27" s="15">
        <v>212</v>
      </c>
      <c r="F27" s="15">
        <v>14</v>
      </c>
      <c r="G27" s="15">
        <v>0</v>
      </c>
      <c r="H27" s="15">
        <v>8</v>
      </c>
      <c r="I27" s="15">
        <v>6</v>
      </c>
      <c r="J27" s="15">
        <v>0</v>
      </c>
      <c r="K27" s="15">
        <v>12</v>
      </c>
      <c r="L27" s="15">
        <v>52</v>
      </c>
      <c r="M27" s="21" t="s">
        <v>290</v>
      </c>
      <c r="N27" s="13"/>
      <c r="O27" s="13"/>
      <c r="P27" s="13"/>
      <c r="Q27" s="13"/>
      <c r="R27" s="13"/>
      <c r="S27" s="13"/>
    </row>
    <row r="28" spans="1:19" ht="12.75" customHeight="1" x14ac:dyDescent="0.15">
      <c r="A28" s="17" t="s">
        <v>179</v>
      </c>
      <c r="B28" s="18" t="s">
        <v>137</v>
      </c>
      <c r="C28" s="14">
        <f t="shared" si="1"/>
        <v>8.5</v>
      </c>
      <c r="D28" s="15">
        <f t="shared" si="2"/>
        <v>95</v>
      </c>
      <c r="E28" s="15">
        <v>212</v>
      </c>
      <c r="F28" s="15">
        <v>6</v>
      </c>
      <c r="G28" s="15">
        <v>0</v>
      </c>
      <c r="H28" s="15">
        <v>9</v>
      </c>
      <c r="I28" s="15">
        <v>0</v>
      </c>
      <c r="J28" s="15">
        <v>0</v>
      </c>
      <c r="K28" s="15">
        <v>2</v>
      </c>
      <c r="L28" s="15">
        <v>78</v>
      </c>
      <c r="M28" s="21" t="s">
        <v>137</v>
      </c>
      <c r="N28" s="13"/>
      <c r="O28" s="13"/>
      <c r="P28" s="13"/>
      <c r="Q28" s="13"/>
      <c r="R28" s="13"/>
      <c r="S28" s="13"/>
    </row>
    <row r="29" spans="1:19" ht="12.75" customHeight="1" x14ac:dyDescent="0.15">
      <c r="A29" s="17" t="s">
        <v>158</v>
      </c>
      <c r="B29" s="18" t="s">
        <v>119</v>
      </c>
      <c r="C29" s="14">
        <f t="shared" si="1"/>
        <v>9</v>
      </c>
      <c r="D29" s="15">
        <f t="shared" si="2"/>
        <v>97</v>
      </c>
      <c r="E29" s="15">
        <v>212</v>
      </c>
      <c r="F29" s="15">
        <v>13</v>
      </c>
      <c r="G29" s="15">
        <v>5</v>
      </c>
      <c r="H29" s="15">
        <v>0</v>
      </c>
      <c r="I29" s="15">
        <v>0</v>
      </c>
      <c r="J29" s="15">
        <v>7</v>
      </c>
      <c r="K29" s="15">
        <v>48</v>
      </c>
      <c r="L29" s="15">
        <v>24</v>
      </c>
      <c r="M29" s="21" t="s">
        <v>120</v>
      </c>
      <c r="N29" s="13"/>
      <c r="O29" s="13"/>
      <c r="P29" s="13"/>
      <c r="Q29" s="13"/>
      <c r="R29" s="13"/>
      <c r="S29" s="13"/>
    </row>
    <row r="30" spans="1:19" ht="12.75" customHeight="1" x14ac:dyDescent="0.15">
      <c r="A30" s="17" t="s">
        <v>156</v>
      </c>
      <c r="B30" s="18" t="s">
        <v>123</v>
      </c>
      <c r="C30" s="14">
        <f t="shared" si="1"/>
        <v>9</v>
      </c>
      <c r="D30" s="15">
        <f t="shared" si="2"/>
        <v>99</v>
      </c>
      <c r="E30" s="15">
        <v>212</v>
      </c>
      <c r="F30" s="15">
        <v>8</v>
      </c>
      <c r="G30" s="15">
        <v>8</v>
      </c>
      <c r="H30" s="23">
        <v>0</v>
      </c>
      <c r="I30" s="15">
        <v>8</v>
      </c>
      <c r="J30" s="15">
        <v>10</v>
      </c>
      <c r="K30" s="15">
        <v>0</v>
      </c>
      <c r="L30" s="15">
        <v>65</v>
      </c>
      <c r="M30" s="21" t="s">
        <v>124</v>
      </c>
      <c r="N30" s="13"/>
      <c r="O30" s="13"/>
      <c r="P30" s="13"/>
      <c r="Q30" s="13"/>
      <c r="R30" s="13"/>
      <c r="S30" s="13"/>
    </row>
    <row r="31" spans="1:19" ht="12.75" customHeight="1" x14ac:dyDescent="0.15">
      <c r="A31" s="17" t="s">
        <v>178</v>
      </c>
      <c r="B31" s="18" t="s">
        <v>234</v>
      </c>
      <c r="C31" s="14">
        <f t="shared" si="1"/>
        <v>9</v>
      </c>
      <c r="D31" s="15">
        <f t="shared" si="2"/>
        <v>99</v>
      </c>
      <c r="E31" s="15">
        <v>212</v>
      </c>
      <c r="F31" s="15">
        <v>0</v>
      </c>
      <c r="G31" s="15">
        <v>14</v>
      </c>
      <c r="H31" s="15">
        <v>0</v>
      </c>
      <c r="I31" s="15">
        <v>0</v>
      </c>
      <c r="J31" s="15">
        <v>9</v>
      </c>
      <c r="K31" s="15">
        <v>38</v>
      </c>
      <c r="L31" s="15">
        <v>38</v>
      </c>
      <c r="M31" s="21" t="s">
        <v>234</v>
      </c>
      <c r="N31" s="13"/>
      <c r="O31" s="13"/>
      <c r="P31" s="13"/>
      <c r="Q31" s="13"/>
      <c r="R31" s="13"/>
      <c r="S31" s="13"/>
    </row>
    <row r="32" spans="1:19" ht="12.75" customHeight="1" x14ac:dyDescent="0.15">
      <c r="A32" s="17" t="s">
        <v>174</v>
      </c>
      <c r="B32" s="18" t="s">
        <v>115</v>
      </c>
      <c r="C32" s="14">
        <f t="shared" si="1"/>
        <v>9</v>
      </c>
      <c r="D32" s="15">
        <f t="shared" si="2"/>
        <v>100</v>
      </c>
      <c r="E32" s="15">
        <v>212</v>
      </c>
      <c r="F32" s="15">
        <v>14</v>
      </c>
      <c r="G32" s="15">
        <v>0</v>
      </c>
      <c r="H32" s="15">
        <v>0</v>
      </c>
      <c r="I32" s="15">
        <v>6</v>
      </c>
      <c r="J32" s="15">
        <v>0</v>
      </c>
      <c r="K32" s="15">
        <v>29</v>
      </c>
      <c r="L32" s="15">
        <v>51</v>
      </c>
      <c r="M32" s="21" t="s">
        <v>115</v>
      </c>
      <c r="N32" s="13"/>
      <c r="O32" s="13"/>
      <c r="P32" s="13"/>
      <c r="Q32" s="13"/>
      <c r="R32" s="13"/>
      <c r="S32" s="13"/>
    </row>
    <row r="33" spans="1:19" ht="12.75" customHeight="1" x14ac:dyDescent="0.15">
      <c r="A33" s="17" t="s">
        <v>177</v>
      </c>
      <c r="B33" s="18" t="s">
        <v>202</v>
      </c>
      <c r="C33" s="14">
        <f t="shared" si="1"/>
        <v>9.5</v>
      </c>
      <c r="D33" s="15">
        <f t="shared" si="2"/>
        <v>105</v>
      </c>
      <c r="E33" s="15">
        <v>212</v>
      </c>
      <c r="F33" s="15">
        <v>7</v>
      </c>
      <c r="G33" s="15">
        <v>0</v>
      </c>
      <c r="H33" s="15">
        <v>8</v>
      </c>
      <c r="I33" s="15">
        <v>0</v>
      </c>
      <c r="J33" s="15">
        <v>0</v>
      </c>
      <c r="K33" s="15">
        <v>39</v>
      </c>
      <c r="L33" s="15">
        <v>51</v>
      </c>
      <c r="M33" s="21" t="s">
        <v>202</v>
      </c>
      <c r="N33" s="13"/>
      <c r="O33" s="13"/>
      <c r="P33" s="13"/>
      <c r="Q33" s="13"/>
      <c r="R33" s="13"/>
      <c r="S33" s="13"/>
    </row>
    <row r="34" spans="1:19" ht="12.75" customHeight="1" x14ac:dyDescent="0.15">
      <c r="A34" s="17" t="s">
        <v>199</v>
      </c>
      <c r="B34" s="18" t="s">
        <v>148</v>
      </c>
      <c r="C34" s="14">
        <f t="shared" si="1"/>
        <v>9.5</v>
      </c>
      <c r="D34" s="15">
        <f t="shared" si="2"/>
        <v>101</v>
      </c>
      <c r="E34" s="15">
        <v>212</v>
      </c>
      <c r="F34" s="15">
        <v>0</v>
      </c>
      <c r="G34" s="15">
        <v>12</v>
      </c>
      <c r="H34" s="15">
        <v>0</v>
      </c>
      <c r="I34" s="15">
        <v>0</v>
      </c>
      <c r="J34" s="15">
        <v>0</v>
      </c>
      <c r="K34" s="15">
        <v>38</v>
      </c>
      <c r="L34" s="15">
        <v>51</v>
      </c>
      <c r="M34" s="21" t="s">
        <v>148</v>
      </c>
      <c r="N34" s="13"/>
      <c r="O34" s="13"/>
      <c r="P34" s="13"/>
      <c r="Q34" s="13"/>
      <c r="R34" s="13"/>
      <c r="S34" s="13"/>
    </row>
    <row r="35" spans="1:19" ht="12.75" customHeight="1" x14ac:dyDescent="0.15">
      <c r="A35" s="17" t="s">
        <v>145</v>
      </c>
      <c r="B35" s="18" t="s">
        <v>231</v>
      </c>
      <c r="C35" s="14">
        <f t="shared" si="1"/>
        <v>10</v>
      </c>
      <c r="D35" s="15">
        <f t="shared" si="2"/>
        <v>111</v>
      </c>
      <c r="E35" s="15">
        <v>212</v>
      </c>
      <c r="F35" s="15">
        <v>0</v>
      </c>
      <c r="G35" s="15">
        <v>0</v>
      </c>
      <c r="H35" s="15">
        <v>8</v>
      </c>
      <c r="I35" s="15">
        <v>14</v>
      </c>
      <c r="J35" s="15">
        <v>0</v>
      </c>
      <c r="K35" s="15">
        <v>39</v>
      </c>
      <c r="L35" s="15">
        <v>50</v>
      </c>
      <c r="M35" s="21" t="s">
        <v>231</v>
      </c>
      <c r="N35" s="13"/>
      <c r="O35" s="13"/>
      <c r="P35" s="13"/>
      <c r="Q35" s="13"/>
      <c r="R35" s="13"/>
      <c r="S35" s="13"/>
    </row>
    <row r="36" spans="1:19" ht="12.75" customHeight="1" x14ac:dyDescent="0.15">
      <c r="A36" s="17" t="s">
        <v>225</v>
      </c>
      <c r="B36" s="18" t="s">
        <v>256</v>
      </c>
      <c r="C36" s="14">
        <f t="shared" si="1"/>
        <v>10.5</v>
      </c>
      <c r="D36" s="15">
        <f t="shared" si="2"/>
        <v>115</v>
      </c>
      <c r="E36" s="15">
        <v>212</v>
      </c>
      <c r="F36" s="15">
        <v>6</v>
      </c>
      <c r="G36" s="15">
        <v>0</v>
      </c>
      <c r="H36" s="15">
        <v>8</v>
      </c>
      <c r="I36" s="15">
        <v>0</v>
      </c>
      <c r="J36" s="15">
        <v>8</v>
      </c>
      <c r="K36" s="15">
        <v>56</v>
      </c>
      <c r="L36" s="15">
        <v>37</v>
      </c>
      <c r="M36" s="21" t="s">
        <v>256</v>
      </c>
      <c r="N36" s="13"/>
      <c r="O36" s="13"/>
      <c r="P36" s="13"/>
      <c r="Q36" s="13"/>
      <c r="R36" s="13"/>
      <c r="S36" s="13"/>
    </row>
    <row r="37" spans="1:19" ht="12.75" customHeight="1" x14ac:dyDescent="0.15">
      <c r="A37" s="17" t="s">
        <v>255</v>
      </c>
      <c r="B37" s="18" t="s">
        <v>229</v>
      </c>
      <c r="C37" s="14">
        <f t="shared" si="1"/>
        <v>10.5</v>
      </c>
      <c r="D37" s="15">
        <f t="shared" si="2"/>
        <v>113</v>
      </c>
      <c r="E37" s="15">
        <v>212</v>
      </c>
      <c r="F37" s="15">
        <v>0</v>
      </c>
      <c r="G37" s="15">
        <v>12</v>
      </c>
      <c r="H37" s="15">
        <v>0</v>
      </c>
      <c r="I37" s="15">
        <v>14</v>
      </c>
      <c r="J37" s="15">
        <v>9</v>
      </c>
      <c r="K37" s="15">
        <v>13</v>
      </c>
      <c r="L37" s="15">
        <v>65</v>
      </c>
      <c r="M37" s="21" t="s">
        <v>229</v>
      </c>
      <c r="N37" s="13"/>
      <c r="O37" s="13"/>
      <c r="P37" s="13"/>
      <c r="Q37" s="13"/>
      <c r="R37" s="13"/>
      <c r="S37" s="13"/>
    </row>
    <row r="38" spans="1:19" ht="12.75" customHeight="1" x14ac:dyDescent="0.15">
      <c r="A38" s="17" t="s">
        <v>152</v>
      </c>
      <c r="B38" s="18" t="s">
        <v>251</v>
      </c>
      <c r="C38" s="14">
        <f t="shared" si="1"/>
        <v>10.5</v>
      </c>
      <c r="D38" s="15">
        <f t="shared" si="2"/>
        <v>112</v>
      </c>
      <c r="E38" s="15">
        <v>212</v>
      </c>
      <c r="F38" s="15">
        <v>0</v>
      </c>
      <c r="G38" s="15">
        <v>6</v>
      </c>
      <c r="H38" s="15">
        <v>0</v>
      </c>
      <c r="I38" s="15">
        <v>6</v>
      </c>
      <c r="J38" s="15">
        <v>0</v>
      </c>
      <c r="K38" s="15">
        <v>48</v>
      </c>
      <c r="L38" s="15">
        <v>52</v>
      </c>
      <c r="M38" s="21" t="s">
        <v>251</v>
      </c>
      <c r="N38" s="13"/>
      <c r="O38" s="13"/>
      <c r="P38" s="13"/>
      <c r="Q38" s="13"/>
      <c r="R38" s="13"/>
      <c r="S38" s="13"/>
    </row>
    <row r="39" spans="1:19" ht="12.75" customHeight="1" x14ac:dyDescent="0.15">
      <c r="A39" s="17" t="s">
        <v>203</v>
      </c>
      <c r="B39" s="18" t="s">
        <v>206</v>
      </c>
      <c r="C39" s="14">
        <f t="shared" si="1"/>
        <v>10.5</v>
      </c>
      <c r="D39" s="15">
        <f t="shared" si="2"/>
        <v>112</v>
      </c>
      <c r="E39" s="15">
        <v>212</v>
      </c>
      <c r="F39" s="15">
        <v>14</v>
      </c>
      <c r="G39" s="15">
        <v>12</v>
      </c>
      <c r="H39" s="15">
        <v>0</v>
      </c>
      <c r="I39" s="15">
        <v>6</v>
      </c>
      <c r="J39" s="15">
        <v>8</v>
      </c>
      <c r="K39" s="15">
        <v>20</v>
      </c>
      <c r="L39" s="15">
        <v>52</v>
      </c>
      <c r="M39" s="21" t="s">
        <v>207</v>
      </c>
      <c r="N39" s="13"/>
      <c r="O39" s="13"/>
      <c r="P39" s="13"/>
      <c r="Q39" s="13"/>
      <c r="R39" s="13"/>
      <c r="S39" s="13"/>
    </row>
    <row r="40" spans="1:19" ht="12.75" customHeight="1" x14ac:dyDescent="0.15">
      <c r="A40" s="17" t="s">
        <v>118</v>
      </c>
      <c r="B40" s="18" t="s">
        <v>209</v>
      </c>
      <c r="C40" s="14">
        <f t="shared" si="1"/>
        <v>10.5</v>
      </c>
      <c r="D40" s="15">
        <f t="shared" si="2"/>
        <v>115</v>
      </c>
      <c r="E40" s="15">
        <v>212</v>
      </c>
      <c r="F40" s="15">
        <v>0</v>
      </c>
      <c r="G40" s="15">
        <v>0</v>
      </c>
      <c r="H40" s="15">
        <v>0</v>
      </c>
      <c r="I40" s="22">
        <v>0</v>
      </c>
      <c r="J40" s="15">
        <v>18</v>
      </c>
      <c r="K40" s="15">
        <v>20</v>
      </c>
      <c r="L40" s="15">
        <v>77</v>
      </c>
      <c r="M40" s="21" t="s">
        <v>212</v>
      </c>
      <c r="N40" s="13"/>
      <c r="O40" s="13"/>
      <c r="P40" s="13"/>
      <c r="Q40" s="13"/>
      <c r="R40" s="13"/>
      <c r="S40" s="13"/>
    </row>
    <row r="41" spans="1:19" ht="12.75" customHeight="1" x14ac:dyDescent="0.15">
      <c r="A41" s="17" t="s">
        <v>141</v>
      </c>
      <c r="B41" s="18" t="s">
        <v>165</v>
      </c>
      <c r="C41" s="14">
        <f t="shared" si="1"/>
        <v>11</v>
      </c>
      <c r="D41" s="15">
        <f t="shared" si="2"/>
        <v>119</v>
      </c>
      <c r="E41" s="15">
        <v>212</v>
      </c>
      <c r="F41" s="15">
        <v>6</v>
      </c>
      <c r="G41" s="15">
        <v>6</v>
      </c>
      <c r="H41" s="15">
        <v>0</v>
      </c>
      <c r="I41" s="15">
        <v>4</v>
      </c>
      <c r="J41" s="15">
        <v>0</v>
      </c>
      <c r="K41" s="15">
        <v>38</v>
      </c>
      <c r="L41" s="15">
        <v>65</v>
      </c>
      <c r="M41" s="21" t="s">
        <v>165</v>
      </c>
      <c r="N41" s="13"/>
      <c r="O41" s="13"/>
      <c r="P41" s="13"/>
      <c r="Q41" s="13"/>
      <c r="R41" s="13"/>
      <c r="S41" s="13"/>
    </row>
    <row r="42" spans="1:19" ht="12.75" customHeight="1" x14ac:dyDescent="0.15">
      <c r="A42" s="17" t="s">
        <v>192</v>
      </c>
      <c r="B42" s="18" t="s">
        <v>211</v>
      </c>
      <c r="C42" s="14">
        <f t="shared" si="1"/>
        <v>11</v>
      </c>
      <c r="D42" s="15">
        <f t="shared" si="2"/>
        <v>121</v>
      </c>
      <c r="E42" s="15">
        <v>212</v>
      </c>
      <c r="F42" s="15">
        <v>14</v>
      </c>
      <c r="G42" s="15">
        <v>12</v>
      </c>
      <c r="H42" s="15">
        <v>8</v>
      </c>
      <c r="I42" s="15">
        <v>14</v>
      </c>
      <c r="J42" s="15">
        <v>0</v>
      </c>
      <c r="K42" s="15">
        <v>21</v>
      </c>
      <c r="L42" s="15">
        <v>52</v>
      </c>
      <c r="M42" s="21" t="s">
        <v>211</v>
      </c>
      <c r="N42" s="13"/>
      <c r="O42" s="13"/>
      <c r="P42" s="13"/>
      <c r="Q42" s="13"/>
      <c r="R42" s="13"/>
      <c r="S42" s="13"/>
    </row>
    <row r="43" spans="1:19" ht="12.75" customHeight="1" x14ac:dyDescent="0.15">
      <c r="A43" s="17" t="s">
        <v>217</v>
      </c>
      <c r="B43" s="18" t="s">
        <v>204</v>
      </c>
      <c r="C43" s="14">
        <f t="shared" si="1"/>
        <v>11</v>
      </c>
      <c r="D43" s="15">
        <f t="shared" si="2"/>
        <v>120</v>
      </c>
      <c r="E43" s="15">
        <v>212</v>
      </c>
      <c r="F43" s="15">
        <v>7</v>
      </c>
      <c r="G43" s="15">
        <v>7</v>
      </c>
      <c r="H43" s="15">
        <v>0</v>
      </c>
      <c r="I43" s="22">
        <v>0</v>
      </c>
      <c r="J43" s="22">
        <v>0</v>
      </c>
      <c r="K43" s="15">
        <v>56</v>
      </c>
      <c r="L43" s="15">
        <v>50</v>
      </c>
      <c r="M43" s="21" t="s">
        <v>204</v>
      </c>
      <c r="N43" s="13"/>
      <c r="O43" s="13"/>
      <c r="P43" s="13"/>
      <c r="Q43" s="13"/>
      <c r="R43" s="13"/>
      <c r="S43" s="13"/>
    </row>
    <row r="44" spans="1:19" ht="12.75" customHeight="1" x14ac:dyDescent="0.15">
      <c r="A44" s="17" t="s">
        <v>125</v>
      </c>
      <c r="B44" s="18" t="s">
        <v>242</v>
      </c>
      <c r="C44" s="14">
        <f t="shared" si="1"/>
        <v>11</v>
      </c>
      <c r="D44" s="15">
        <f t="shared" si="2"/>
        <v>119</v>
      </c>
      <c r="E44" s="15">
        <v>212</v>
      </c>
      <c r="F44" s="15">
        <v>7</v>
      </c>
      <c r="G44" s="15">
        <v>0</v>
      </c>
      <c r="H44" s="15">
        <v>0</v>
      </c>
      <c r="I44" s="15">
        <v>14</v>
      </c>
      <c r="J44" s="15">
        <v>0</v>
      </c>
      <c r="K44" s="15">
        <v>20</v>
      </c>
      <c r="L44" s="15">
        <v>78</v>
      </c>
      <c r="M44" s="21" t="s">
        <v>242</v>
      </c>
      <c r="N44" s="13"/>
      <c r="O44" s="13"/>
      <c r="P44" s="13"/>
      <c r="Q44" s="13"/>
      <c r="R44" s="13"/>
      <c r="S44" s="13"/>
    </row>
    <row r="45" spans="1:19" ht="12.75" customHeight="1" x14ac:dyDescent="0.15">
      <c r="A45" s="17" t="s">
        <v>232</v>
      </c>
      <c r="B45" s="18" t="s">
        <v>249</v>
      </c>
      <c r="C45" s="14">
        <f t="shared" si="1"/>
        <v>11.5</v>
      </c>
      <c r="D45" s="15">
        <f t="shared" si="2"/>
        <v>124</v>
      </c>
      <c r="E45" s="15">
        <v>212</v>
      </c>
      <c r="F45" s="15">
        <v>14</v>
      </c>
      <c r="G45" s="15">
        <v>0</v>
      </c>
      <c r="H45" s="15">
        <v>8</v>
      </c>
      <c r="I45" s="15">
        <v>0</v>
      </c>
      <c r="J45" s="15">
        <v>0</v>
      </c>
      <c r="K45" s="15">
        <v>37</v>
      </c>
      <c r="L45" s="15">
        <v>65</v>
      </c>
      <c r="M45" s="21" t="s">
        <v>249</v>
      </c>
      <c r="N45" s="13"/>
      <c r="O45" s="13"/>
      <c r="P45" s="13"/>
      <c r="Q45" s="13"/>
      <c r="R45" s="13"/>
      <c r="S45" s="13"/>
    </row>
    <row r="46" spans="1:19" ht="12.75" customHeight="1" x14ac:dyDescent="0.15">
      <c r="A46" s="17" t="s">
        <v>184</v>
      </c>
      <c r="B46" s="18" t="s">
        <v>228</v>
      </c>
      <c r="C46" s="14">
        <f t="shared" si="1"/>
        <v>11.5</v>
      </c>
      <c r="D46" s="15">
        <f t="shared" si="2"/>
        <v>122</v>
      </c>
      <c r="E46" s="15">
        <v>212</v>
      </c>
      <c r="F46" s="15">
        <v>14</v>
      </c>
      <c r="G46" s="15">
        <v>6</v>
      </c>
      <c r="H46" s="15">
        <v>0</v>
      </c>
      <c r="I46" s="15">
        <v>0</v>
      </c>
      <c r="J46" s="15">
        <v>0</v>
      </c>
      <c r="K46" s="15">
        <v>38</v>
      </c>
      <c r="L46" s="15">
        <v>64</v>
      </c>
      <c r="M46" s="21" t="s">
        <v>228</v>
      </c>
      <c r="N46" s="13"/>
      <c r="O46" s="13"/>
      <c r="P46" s="13"/>
      <c r="Q46" s="13"/>
      <c r="R46" s="13"/>
      <c r="S46" s="13"/>
    </row>
    <row r="47" spans="1:19" ht="12.75" customHeight="1" x14ac:dyDescent="0.15">
      <c r="A47" s="17" t="s">
        <v>223</v>
      </c>
      <c r="B47" s="18" t="s">
        <v>187</v>
      </c>
      <c r="C47" s="14">
        <f t="shared" si="1"/>
        <v>11.5</v>
      </c>
      <c r="D47" s="15">
        <f t="shared" si="2"/>
        <v>124</v>
      </c>
      <c r="E47" s="15">
        <v>212</v>
      </c>
      <c r="F47" s="15">
        <v>0</v>
      </c>
      <c r="G47" s="15">
        <v>0</v>
      </c>
      <c r="H47" s="15">
        <v>18</v>
      </c>
      <c r="I47" s="15">
        <v>0</v>
      </c>
      <c r="J47" s="15">
        <v>8</v>
      </c>
      <c r="K47" s="15">
        <v>20</v>
      </c>
      <c r="L47" s="15">
        <v>78</v>
      </c>
      <c r="M47" s="21" t="s">
        <v>187</v>
      </c>
      <c r="N47" s="13"/>
      <c r="O47" s="13"/>
      <c r="P47" s="13"/>
      <c r="Q47" s="13"/>
      <c r="R47" s="13"/>
      <c r="S47" s="13"/>
    </row>
    <row r="48" spans="1:19" ht="12.75" customHeight="1" x14ac:dyDescent="0.15">
      <c r="A48" s="17" t="s">
        <v>227</v>
      </c>
      <c r="B48" s="18" t="s">
        <v>214</v>
      </c>
      <c r="C48" s="14">
        <f t="shared" si="1"/>
        <v>12</v>
      </c>
      <c r="D48" s="15">
        <f t="shared" si="2"/>
        <v>130</v>
      </c>
      <c r="E48" s="15">
        <v>212</v>
      </c>
      <c r="F48" s="15">
        <v>5</v>
      </c>
      <c r="G48" s="15">
        <v>4</v>
      </c>
      <c r="H48" s="15">
        <v>8</v>
      </c>
      <c r="I48" s="15">
        <v>6</v>
      </c>
      <c r="J48" s="15">
        <v>0</v>
      </c>
      <c r="K48" s="15">
        <v>29</v>
      </c>
      <c r="L48" s="15">
        <v>78</v>
      </c>
      <c r="M48" s="21" t="s">
        <v>214</v>
      </c>
      <c r="N48" s="13"/>
      <c r="O48" s="13"/>
      <c r="P48" s="13"/>
      <c r="Q48" s="13"/>
      <c r="R48" s="13"/>
      <c r="S48" s="13"/>
    </row>
    <row r="49" spans="1:19" ht="12.75" customHeight="1" x14ac:dyDescent="0.15">
      <c r="A49" s="17" t="s">
        <v>252</v>
      </c>
      <c r="B49" s="18" t="s">
        <v>250</v>
      </c>
      <c r="C49" s="14">
        <f t="shared" si="1"/>
        <v>12</v>
      </c>
      <c r="D49" s="15">
        <f t="shared" si="2"/>
        <v>129</v>
      </c>
      <c r="E49" s="15">
        <v>212</v>
      </c>
      <c r="F49" s="15">
        <v>0</v>
      </c>
      <c r="G49" s="15">
        <v>6</v>
      </c>
      <c r="H49" s="15">
        <v>0</v>
      </c>
      <c r="I49" s="15">
        <v>0</v>
      </c>
      <c r="J49" s="15">
        <v>8</v>
      </c>
      <c r="K49" s="15">
        <v>38</v>
      </c>
      <c r="L49" s="15">
        <v>77</v>
      </c>
      <c r="M49" s="21" t="s">
        <v>250</v>
      </c>
      <c r="N49" s="13"/>
      <c r="O49" s="13"/>
      <c r="P49" s="13"/>
      <c r="Q49" s="13"/>
      <c r="R49" s="13"/>
      <c r="S49" s="13"/>
    </row>
    <row r="50" spans="1:19" ht="12.75" customHeight="1" x14ac:dyDescent="0.15">
      <c r="A50" s="17" t="s">
        <v>169</v>
      </c>
      <c r="B50" s="18" t="s">
        <v>259</v>
      </c>
      <c r="C50" s="14">
        <f t="shared" si="1"/>
        <v>12</v>
      </c>
      <c r="D50" s="15">
        <f t="shared" si="2"/>
        <v>130</v>
      </c>
      <c r="E50" s="15">
        <v>212</v>
      </c>
      <c r="F50" s="15">
        <v>0</v>
      </c>
      <c r="G50" s="15">
        <v>14</v>
      </c>
      <c r="H50" s="15">
        <v>8</v>
      </c>
      <c r="I50" s="15">
        <v>0</v>
      </c>
      <c r="J50" s="15">
        <v>0</v>
      </c>
      <c r="K50" s="15">
        <v>56</v>
      </c>
      <c r="L50" s="15">
        <v>52</v>
      </c>
      <c r="M50" s="21" t="s">
        <v>259</v>
      </c>
      <c r="N50" s="13"/>
      <c r="O50" s="13"/>
      <c r="P50" s="13"/>
      <c r="Q50" s="13"/>
      <c r="R50" s="13"/>
      <c r="S50" s="13"/>
    </row>
    <row r="51" spans="1:19" ht="12.75" customHeight="1" x14ac:dyDescent="0.15">
      <c r="A51" s="17" t="s">
        <v>213</v>
      </c>
      <c r="B51" s="18" t="s">
        <v>224</v>
      </c>
      <c r="C51" s="14">
        <f t="shared" si="1"/>
        <v>12.5</v>
      </c>
      <c r="D51" s="15">
        <f t="shared" si="2"/>
        <v>133</v>
      </c>
      <c r="E51" s="15">
        <v>212</v>
      </c>
      <c r="F51" s="15">
        <v>0</v>
      </c>
      <c r="G51" s="15">
        <v>6</v>
      </c>
      <c r="H51" s="15">
        <v>6</v>
      </c>
      <c r="I51" s="15">
        <v>12</v>
      </c>
      <c r="J51" s="15">
        <v>8</v>
      </c>
      <c r="K51" s="15">
        <v>38</v>
      </c>
      <c r="L51" s="15">
        <v>63</v>
      </c>
      <c r="M51" s="21" t="s">
        <v>224</v>
      </c>
      <c r="N51" s="13"/>
      <c r="O51" s="13"/>
      <c r="P51" s="13"/>
      <c r="Q51" s="13"/>
      <c r="R51" s="13"/>
      <c r="S51" s="13"/>
    </row>
    <row r="52" spans="1:19" ht="12.75" customHeight="1" x14ac:dyDescent="0.15">
      <c r="A52" s="17" t="s">
        <v>205</v>
      </c>
      <c r="B52" s="18" t="s">
        <v>163</v>
      </c>
      <c r="C52" s="14">
        <f t="shared" si="1"/>
        <v>12.5</v>
      </c>
      <c r="D52" s="15">
        <f t="shared" si="2"/>
        <v>133</v>
      </c>
      <c r="E52" s="15">
        <v>212</v>
      </c>
      <c r="F52" s="15">
        <v>12</v>
      </c>
      <c r="G52" s="15">
        <v>0</v>
      </c>
      <c r="H52" s="22">
        <v>0</v>
      </c>
      <c r="I52" s="15">
        <v>0</v>
      </c>
      <c r="J52" s="22">
        <v>0</v>
      </c>
      <c r="K52" s="15">
        <v>56</v>
      </c>
      <c r="L52" s="15">
        <v>65</v>
      </c>
      <c r="M52" s="21" t="s">
        <v>163</v>
      </c>
      <c r="N52" s="13"/>
      <c r="O52" s="13"/>
      <c r="P52" s="13"/>
      <c r="Q52" s="13"/>
      <c r="R52" s="13"/>
      <c r="S52" s="13"/>
    </row>
    <row r="53" spans="1:19" ht="12.75" customHeight="1" x14ac:dyDescent="0.15">
      <c r="A53" s="17" t="s">
        <v>219</v>
      </c>
      <c r="B53" s="18" t="s">
        <v>159</v>
      </c>
      <c r="C53" s="14">
        <f t="shared" si="1"/>
        <v>12.5</v>
      </c>
      <c r="D53" s="15">
        <f t="shared" si="2"/>
        <v>134</v>
      </c>
      <c r="E53" s="15">
        <v>212</v>
      </c>
      <c r="F53" s="15">
        <v>6</v>
      </c>
      <c r="G53" s="15">
        <v>0</v>
      </c>
      <c r="H53" s="15">
        <v>0</v>
      </c>
      <c r="I53" s="15">
        <v>0</v>
      </c>
      <c r="J53" s="15">
        <v>8</v>
      </c>
      <c r="K53" s="15">
        <v>56</v>
      </c>
      <c r="L53" s="15">
        <v>64</v>
      </c>
      <c r="M53" s="21" t="s">
        <v>159</v>
      </c>
      <c r="N53" s="13"/>
      <c r="O53" s="13"/>
      <c r="P53" s="13"/>
      <c r="Q53" s="13"/>
      <c r="R53" s="13"/>
      <c r="S53" s="13"/>
    </row>
    <row r="54" spans="1:19" ht="12.75" customHeight="1" x14ac:dyDescent="0.15">
      <c r="A54" s="17" t="s">
        <v>248</v>
      </c>
      <c r="B54" s="18" t="s">
        <v>244</v>
      </c>
      <c r="C54" s="14">
        <f t="shared" si="1"/>
        <v>12.5</v>
      </c>
      <c r="D54" s="15">
        <f t="shared" si="2"/>
        <v>134</v>
      </c>
      <c r="E54" s="15">
        <v>212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56</v>
      </c>
      <c r="L54" s="15">
        <v>78</v>
      </c>
      <c r="M54" s="21" t="s">
        <v>246</v>
      </c>
      <c r="N54" s="13"/>
      <c r="O54" s="13"/>
      <c r="P54" s="13"/>
      <c r="Q54" s="13"/>
      <c r="R54" s="13"/>
      <c r="S54" s="13"/>
    </row>
    <row r="55" spans="1:19" ht="12.75" customHeight="1" x14ac:dyDescent="0.15">
      <c r="A55" s="17" t="s">
        <v>162</v>
      </c>
      <c r="B55" s="18" t="s">
        <v>173</v>
      </c>
      <c r="C55" s="14">
        <f t="shared" si="1"/>
        <v>13</v>
      </c>
      <c r="D55" s="15">
        <f t="shared" si="2"/>
        <v>141</v>
      </c>
      <c r="E55" s="15">
        <v>212</v>
      </c>
      <c r="F55" s="15">
        <v>6</v>
      </c>
      <c r="G55" s="15">
        <v>6</v>
      </c>
      <c r="H55" s="15">
        <v>18</v>
      </c>
      <c r="I55" s="15">
        <v>0</v>
      </c>
      <c r="J55" s="15">
        <v>0</v>
      </c>
      <c r="K55" s="15">
        <v>47</v>
      </c>
      <c r="L55" s="15">
        <v>64</v>
      </c>
      <c r="M55" s="21" t="s">
        <v>173</v>
      </c>
      <c r="N55" s="13"/>
      <c r="O55" s="13"/>
      <c r="P55" s="13"/>
      <c r="Q55" s="13"/>
      <c r="R55" s="13"/>
      <c r="S55" s="13"/>
    </row>
    <row r="56" spans="1:19" ht="12.75" customHeight="1" x14ac:dyDescent="0.15">
      <c r="A56" s="17" t="s">
        <v>257</v>
      </c>
      <c r="B56" s="18" t="s">
        <v>146</v>
      </c>
      <c r="C56" s="14">
        <f t="shared" si="1"/>
        <v>13</v>
      </c>
      <c r="D56" s="15">
        <f t="shared" si="2"/>
        <v>139</v>
      </c>
      <c r="E56" s="15">
        <v>212</v>
      </c>
      <c r="F56" s="15">
        <v>0</v>
      </c>
      <c r="G56" s="15">
        <v>6</v>
      </c>
      <c r="H56" s="15">
        <v>8</v>
      </c>
      <c r="I56" s="15">
        <v>0</v>
      </c>
      <c r="J56" s="15">
        <v>0</v>
      </c>
      <c r="K56" s="15">
        <v>47</v>
      </c>
      <c r="L56" s="15">
        <v>78</v>
      </c>
      <c r="M56" s="21" t="s">
        <v>146</v>
      </c>
      <c r="N56" s="13"/>
      <c r="O56" s="13"/>
      <c r="P56" s="13"/>
      <c r="Q56" s="13"/>
      <c r="R56" s="13"/>
      <c r="S56" s="13"/>
    </row>
    <row r="57" spans="1:19" ht="12.75" customHeight="1" x14ac:dyDescent="0.15">
      <c r="A57" s="17" t="s">
        <v>183</v>
      </c>
      <c r="B57" s="18" t="s">
        <v>226</v>
      </c>
      <c r="C57" s="14">
        <f t="shared" si="1"/>
        <v>13</v>
      </c>
      <c r="D57" s="15">
        <f t="shared" si="2"/>
        <v>142</v>
      </c>
      <c r="E57" s="15">
        <v>212</v>
      </c>
      <c r="F57" s="15">
        <v>7</v>
      </c>
      <c r="G57" s="15">
        <v>0</v>
      </c>
      <c r="H57" s="15">
        <v>0</v>
      </c>
      <c r="I57" s="15">
        <v>14</v>
      </c>
      <c r="J57" s="15">
        <v>0</v>
      </c>
      <c r="K57" s="15">
        <v>56</v>
      </c>
      <c r="L57" s="15">
        <v>65</v>
      </c>
      <c r="M57" s="21" t="s">
        <v>226</v>
      </c>
      <c r="N57" s="13"/>
      <c r="O57" s="13"/>
      <c r="P57" s="13"/>
      <c r="Q57" s="13"/>
      <c r="R57" s="13"/>
      <c r="S57" s="13"/>
    </row>
    <row r="58" spans="1:19" ht="12.75" customHeight="1" x14ac:dyDescent="0.15">
      <c r="A58" s="17" t="s">
        <v>230</v>
      </c>
      <c r="B58" s="18" t="s">
        <v>142</v>
      </c>
      <c r="C58" s="14">
        <f t="shared" si="1"/>
        <v>13.5</v>
      </c>
      <c r="D58" s="15">
        <f t="shared" si="2"/>
        <v>146</v>
      </c>
      <c r="E58" s="15">
        <v>212</v>
      </c>
      <c r="F58" s="15">
        <v>7</v>
      </c>
      <c r="G58" s="15">
        <v>6</v>
      </c>
      <c r="H58" s="15">
        <v>8</v>
      </c>
      <c r="I58" s="15">
        <v>14</v>
      </c>
      <c r="J58" s="15">
        <v>0</v>
      </c>
      <c r="K58" s="15">
        <v>47</v>
      </c>
      <c r="L58" s="15">
        <v>64</v>
      </c>
      <c r="M58" s="21" t="s">
        <v>291</v>
      </c>
      <c r="N58" s="13"/>
      <c r="O58" s="13"/>
      <c r="P58" s="13"/>
      <c r="Q58" s="13"/>
      <c r="R58" s="13"/>
      <c r="S58" s="13"/>
    </row>
    <row r="59" spans="1:19" ht="12.75" customHeight="1" x14ac:dyDescent="0.15">
      <c r="A59" s="17" t="s">
        <v>215</v>
      </c>
      <c r="B59" s="18" t="s">
        <v>150</v>
      </c>
      <c r="C59" s="14">
        <f t="shared" si="1"/>
        <v>13.5</v>
      </c>
      <c r="D59" s="15">
        <f t="shared" si="2"/>
        <v>147</v>
      </c>
      <c r="E59" s="15">
        <v>212</v>
      </c>
      <c r="F59" s="15">
        <v>0</v>
      </c>
      <c r="G59" s="15">
        <v>5</v>
      </c>
      <c r="H59" s="15">
        <v>0</v>
      </c>
      <c r="I59" s="15">
        <v>0</v>
      </c>
      <c r="J59" s="15">
        <v>8</v>
      </c>
      <c r="K59" s="15">
        <v>56</v>
      </c>
      <c r="L59" s="15">
        <v>78</v>
      </c>
      <c r="M59" s="21" t="s">
        <v>150</v>
      </c>
      <c r="N59" s="13"/>
      <c r="O59" s="13"/>
      <c r="P59" s="13"/>
      <c r="Q59" s="13"/>
      <c r="R59" s="13"/>
      <c r="S59" s="13"/>
    </row>
    <row r="60" spans="1:19" ht="12.75" customHeight="1" x14ac:dyDescent="0.15">
      <c r="A60" s="17" t="s">
        <v>201</v>
      </c>
      <c r="B60" s="18" t="s">
        <v>239</v>
      </c>
      <c r="C60" s="14">
        <f t="shared" si="1"/>
        <v>13.5</v>
      </c>
      <c r="D60" s="15">
        <f t="shared" si="2"/>
        <v>148</v>
      </c>
      <c r="E60" s="15">
        <v>212</v>
      </c>
      <c r="F60" s="15">
        <v>14</v>
      </c>
      <c r="G60" s="15">
        <v>6</v>
      </c>
      <c r="H60" s="15">
        <v>7</v>
      </c>
      <c r="I60" s="15">
        <v>6</v>
      </c>
      <c r="J60" s="15">
        <v>0</v>
      </c>
      <c r="K60" s="15">
        <v>38</v>
      </c>
      <c r="L60" s="15">
        <v>77</v>
      </c>
      <c r="M60" s="21" t="s">
        <v>239</v>
      </c>
      <c r="N60" s="13"/>
      <c r="O60" s="13"/>
      <c r="P60" s="13"/>
      <c r="Q60" s="13"/>
      <c r="R60" s="13"/>
      <c r="S60" s="13"/>
    </row>
    <row r="61" spans="1:19" ht="12.75" customHeight="1" x14ac:dyDescent="0.15">
      <c r="A61" s="17" t="s">
        <v>131</v>
      </c>
      <c r="B61" s="18" t="s">
        <v>193</v>
      </c>
      <c r="C61" s="14">
        <f t="shared" si="1"/>
        <v>14.5</v>
      </c>
      <c r="D61" s="15">
        <f t="shared" si="2"/>
        <v>157</v>
      </c>
      <c r="E61" s="15">
        <v>212</v>
      </c>
      <c r="F61" s="15">
        <v>6</v>
      </c>
      <c r="G61" s="15">
        <v>0</v>
      </c>
      <c r="H61" s="15">
        <v>8</v>
      </c>
      <c r="I61" s="15">
        <v>14</v>
      </c>
      <c r="J61" s="15">
        <v>8</v>
      </c>
      <c r="K61" s="15">
        <v>56</v>
      </c>
      <c r="L61" s="15">
        <v>65</v>
      </c>
      <c r="M61" s="21" t="s">
        <v>193</v>
      </c>
      <c r="N61" s="13"/>
      <c r="O61" s="13"/>
      <c r="P61" s="13"/>
      <c r="Q61" s="13"/>
      <c r="R61" s="13"/>
      <c r="S61" s="13"/>
    </row>
    <row r="62" spans="1:19" ht="12.75" customHeight="1" x14ac:dyDescent="0.15">
      <c r="A62" s="17" t="s">
        <v>222</v>
      </c>
      <c r="B62" s="18" t="s">
        <v>218</v>
      </c>
      <c r="C62" s="14">
        <f t="shared" si="1"/>
        <v>14.5</v>
      </c>
      <c r="D62" s="15">
        <f t="shared" si="2"/>
        <v>155</v>
      </c>
      <c r="E62" s="15">
        <v>212</v>
      </c>
      <c r="F62" s="15">
        <v>14</v>
      </c>
      <c r="G62" s="15">
        <v>14</v>
      </c>
      <c r="H62" s="15">
        <v>0</v>
      </c>
      <c r="I62" s="15">
        <v>6</v>
      </c>
      <c r="J62" s="15">
        <v>0</v>
      </c>
      <c r="K62" s="15">
        <v>56</v>
      </c>
      <c r="L62" s="15">
        <v>65</v>
      </c>
      <c r="M62" s="21" t="s">
        <v>218</v>
      </c>
      <c r="N62" s="13"/>
      <c r="O62" s="13"/>
      <c r="P62" s="13"/>
      <c r="Q62" s="13"/>
      <c r="R62" s="13"/>
      <c r="S62" s="13"/>
    </row>
    <row r="63" spans="1:19" ht="12.75" customHeight="1" x14ac:dyDescent="0.15">
      <c r="A63" s="17" t="s">
        <v>195</v>
      </c>
      <c r="B63" s="18" t="s">
        <v>200</v>
      </c>
      <c r="C63" s="14">
        <f t="shared" si="1"/>
        <v>15</v>
      </c>
      <c r="D63" s="15">
        <f t="shared" si="2"/>
        <v>162</v>
      </c>
      <c r="E63" s="15">
        <v>212</v>
      </c>
      <c r="F63" s="15">
        <v>14</v>
      </c>
      <c r="G63" s="15">
        <v>0</v>
      </c>
      <c r="H63" s="15">
        <v>0</v>
      </c>
      <c r="I63" s="15">
        <v>14</v>
      </c>
      <c r="J63" s="15">
        <v>18</v>
      </c>
      <c r="K63" s="15">
        <v>38</v>
      </c>
      <c r="L63" s="15">
        <v>78</v>
      </c>
      <c r="M63" s="21" t="s">
        <v>200</v>
      </c>
      <c r="N63" s="13"/>
      <c r="O63" s="13"/>
      <c r="P63" s="13"/>
      <c r="Q63" s="13"/>
      <c r="R63" s="13"/>
      <c r="S63" s="13"/>
    </row>
    <row r="64" spans="1:19" ht="12.75" customHeight="1" x14ac:dyDescent="0.15">
      <c r="A64" s="17" t="s">
        <v>188</v>
      </c>
      <c r="B64" s="18" t="s">
        <v>185</v>
      </c>
      <c r="C64" s="14">
        <f t="shared" si="1"/>
        <v>15</v>
      </c>
      <c r="D64" s="15">
        <f t="shared" si="2"/>
        <v>164</v>
      </c>
      <c r="E64" s="15">
        <v>212</v>
      </c>
      <c r="F64" s="15">
        <v>14</v>
      </c>
      <c r="G64" s="15">
        <v>6</v>
      </c>
      <c r="H64" s="15">
        <v>18</v>
      </c>
      <c r="I64" s="15">
        <v>6</v>
      </c>
      <c r="J64" s="15">
        <v>0</v>
      </c>
      <c r="K64" s="15">
        <v>56</v>
      </c>
      <c r="L64" s="15">
        <v>64</v>
      </c>
      <c r="M64" s="21" t="s">
        <v>185</v>
      </c>
      <c r="N64" s="13"/>
      <c r="O64" s="13"/>
      <c r="P64" s="13"/>
      <c r="Q64" s="13"/>
      <c r="R64" s="13"/>
      <c r="S64" s="13"/>
    </row>
    <row r="65" spans="1:19" ht="12.75" customHeight="1" x14ac:dyDescent="0.15">
      <c r="A65" s="17" t="s">
        <v>138</v>
      </c>
      <c r="B65" s="18" t="s">
        <v>153</v>
      </c>
      <c r="C65" s="14">
        <f t="shared" si="1"/>
        <v>15.5</v>
      </c>
      <c r="D65" s="15">
        <f t="shared" si="2"/>
        <v>167</v>
      </c>
      <c r="E65" s="15">
        <v>212</v>
      </c>
      <c r="F65" s="15">
        <v>14</v>
      </c>
      <c r="G65" s="15">
        <v>6</v>
      </c>
      <c r="H65" s="15">
        <v>6</v>
      </c>
      <c r="I65" s="15">
        <v>14</v>
      </c>
      <c r="J65" s="15">
        <v>6</v>
      </c>
      <c r="K65" s="15">
        <v>56</v>
      </c>
      <c r="L65" s="15">
        <v>65</v>
      </c>
      <c r="M65" s="21" t="s">
        <v>261</v>
      </c>
      <c r="N65" s="13"/>
      <c r="O65" s="13"/>
      <c r="P65" s="13"/>
      <c r="Q65" s="13"/>
      <c r="R65" s="13"/>
      <c r="S65" s="13"/>
    </row>
    <row r="66" spans="1:19" ht="12.75" customHeight="1" x14ac:dyDescent="0.15">
      <c r="A66" s="17" t="s">
        <v>139</v>
      </c>
      <c r="B66" s="18" t="s">
        <v>247</v>
      </c>
      <c r="C66" s="14">
        <f t="shared" si="1"/>
        <v>16.5</v>
      </c>
      <c r="D66" s="15">
        <f t="shared" si="2"/>
        <v>177</v>
      </c>
      <c r="E66" s="15">
        <v>212</v>
      </c>
      <c r="F66" s="15">
        <v>0</v>
      </c>
      <c r="G66" s="15">
        <v>6</v>
      </c>
      <c r="H66" s="15">
        <v>18</v>
      </c>
      <c r="I66" s="15">
        <v>14</v>
      </c>
      <c r="J66" s="15">
        <v>18</v>
      </c>
      <c r="K66" s="15">
        <v>56</v>
      </c>
      <c r="L66" s="15">
        <v>65</v>
      </c>
      <c r="M66" s="21" t="s">
        <v>247</v>
      </c>
      <c r="N66" s="13"/>
      <c r="O66" s="13"/>
      <c r="P66" s="13"/>
      <c r="Q66" s="13"/>
      <c r="R66" s="13"/>
      <c r="S66" s="13"/>
    </row>
    <row r="67" spans="1:19" ht="12.75" customHeight="1" x14ac:dyDescent="0.15">
      <c r="A67" s="17" t="s">
        <v>189</v>
      </c>
      <c r="B67" s="18" t="s">
        <v>237</v>
      </c>
      <c r="C67" s="14">
        <f t="shared" si="1"/>
        <v>17</v>
      </c>
      <c r="D67" s="15">
        <f t="shared" si="2"/>
        <v>181</v>
      </c>
      <c r="E67" s="15">
        <v>212</v>
      </c>
      <c r="F67" s="15">
        <v>14</v>
      </c>
      <c r="G67" s="15">
        <v>6</v>
      </c>
      <c r="H67" s="15">
        <v>18</v>
      </c>
      <c r="I67" s="15">
        <v>14</v>
      </c>
      <c r="J67" s="15">
        <v>8</v>
      </c>
      <c r="K67" s="15">
        <v>56</v>
      </c>
      <c r="L67" s="15">
        <v>65</v>
      </c>
      <c r="M67" s="21" t="s">
        <v>237</v>
      </c>
      <c r="N67" s="13"/>
      <c r="O67" s="13"/>
      <c r="P67" s="13"/>
      <c r="Q67" s="13"/>
      <c r="R67" s="13"/>
      <c r="S67" s="13"/>
    </row>
    <row r="68" spans="1:19" ht="12.75" customHeight="1" x14ac:dyDescent="0.15">
      <c r="A68" s="17" t="s">
        <v>135</v>
      </c>
      <c r="B68" s="18" t="s">
        <v>208</v>
      </c>
      <c r="C68" s="14">
        <f t="shared" si="1"/>
        <v>17</v>
      </c>
      <c r="D68" s="15">
        <f t="shared" si="2"/>
        <v>181</v>
      </c>
      <c r="E68" s="15">
        <v>212</v>
      </c>
      <c r="F68" s="15">
        <v>0</v>
      </c>
      <c r="G68" s="15">
        <v>6</v>
      </c>
      <c r="H68" s="15">
        <v>18</v>
      </c>
      <c r="I68" s="15">
        <v>14</v>
      </c>
      <c r="J68" s="15">
        <v>18</v>
      </c>
      <c r="K68" s="15">
        <v>47</v>
      </c>
      <c r="L68" s="15">
        <v>78</v>
      </c>
      <c r="M68" s="21" t="s">
        <v>208</v>
      </c>
      <c r="N68" s="13"/>
      <c r="O68" s="13"/>
      <c r="P68" s="13"/>
      <c r="Q68" s="13"/>
      <c r="R68" s="13"/>
      <c r="S68" s="13"/>
    </row>
    <row r="69" spans="1:19" ht="12.75" customHeight="1" x14ac:dyDescent="0.15">
      <c r="A69" s="17" t="s">
        <v>175</v>
      </c>
      <c r="B69" s="18" t="s">
        <v>258</v>
      </c>
      <c r="C69" s="14">
        <f t="shared" si="1"/>
        <v>18.5</v>
      </c>
      <c r="D69" s="15">
        <f t="shared" si="2"/>
        <v>198</v>
      </c>
      <c r="E69" s="15">
        <v>212</v>
      </c>
      <c r="F69" s="15">
        <v>14</v>
      </c>
      <c r="G69" s="15">
        <v>0</v>
      </c>
      <c r="H69" s="15">
        <v>18</v>
      </c>
      <c r="I69" s="15">
        <v>14</v>
      </c>
      <c r="J69" s="15">
        <v>18</v>
      </c>
      <c r="K69" s="15">
        <v>56</v>
      </c>
      <c r="L69" s="15">
        <v>78</v>
      </c>
      <c r="M69" s="21" t="s">
        <v>258</v>
      </c>
      <c r="N69" s="13"/>
      <c r="O69" s="13"/>
      <c r="P69" s="13"/>
      <c r="Q69" s="13"/>
      <c r="R69" s="13"/>
      <c r="S69" s="13"/>
    </row>
    <row r="70" spans="1:19" ht="12.75" customHeight="1" x14ac:dyDescent="0.1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</row>
    <row r="71" spans="1:19" ht="12.75" customHeight="1" x14ac:dyDescent="0.1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</row>
    <row r="72" spans="1:19" ht="12.75" customHeight="1" x14ac:dyDescent="0.1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</row>
    <row r="73" spans="1:19" ht="12.75" customHeight="1" x14ac:dyDescent="0.1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</row>
    <row r="74" spans="1:19" ht="12.75" customHeight="1" x14ac:dyDescent="0.1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</row>
    <row r="75" spans="1:19" ht="12.75" customHeight="1" x14ac:dyDescent="0.1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</row>
    <row r="76" spans="1:19" ht="12.75" customHeight="1" x14ac:dyDescent="0.1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</row>
    <row r="77" spans="1:19" ht="12.75" customHeight="1" x14ac:dyDescent="0.1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</row>
    <row r="78" spans="1:19" ht="12.75" customHeight="1" x14ac:dyDescent="0.1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</row>
    <row r="79" spans="1:19" ht="12.75" customHeight="1" x14ac:dyDescent="0.1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</row>
    <row r="80" spans="1:19" ht="12.75" customHeight="1" x14ac:dyDescent="0.1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</row>
    <row r="81" spans="1:19" ht="12.75" customHeight="1" x14ac:dyDescent="0.1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</row>
    <row r="82" spans="1:19" ht="12.75" customHeight="1" x14ac:dyDescent="0.1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</row>
    <row r="83" spans="1:19" ht="12.75" customHeight="1" x14ac:dyDescent="0.1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</row>
    <row r="84" spans="1:19" ht="12.75" customHeight="1" x14ac:dyDescent="0.1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</row>
    <row r="85" spans="1:19" ht="12.75" customHeight="1" x14ac:dyDescent="0.1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</row>
    <row r="86" spans="1:19" ht="12.75" customHeight="1" x14ac:dyDescent="0.1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</row>
    <row r="87" spans="1:19" ht="12.75" customHeight="1" x14ac:dyDescent="0.1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</row>
    <row r="88" spans="1:19" ht="12.75" customHeight="1" x14ac:dyDescent="0.1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</row>
    <row r="89" spans="1:19" ht="12.75" customHeight="1" x14ac:dyDescent="0.1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</row>
    <row r="90" spans="1:19" ht="12.75" customHeight="1" x14ac:dyDescent="0.1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</row>
    <row r="91" spans="1:19" ht="12.75" customHeight="1" x14ac:dyDescent="0.1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</row>
    <row r="92" spans="1:19" ht="12.75" customHeight="1" x14ac:dyDescent="0.1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</row>
    <row r="93" spans="1:19" ht="12.75" customHeight="1" x14ac:dyDescent="0.1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</row>
    <row r="94" spans="1:19" ht="12.75" customHeight="1" x14ac:dyDescent="0.1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</row>
    <row r="95" spans="1:19" ht="12.75" customHeight="1" x14ac:dyDescent="0.1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</row>
    <row r="96" spans="1:19" ht="12.75" customHeight="1" x14ac:dyDescent="0.1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</row>
    <row r="97" spans="1:19" ht="12.75" customHeight="1" x14ac:dyDescent="0.1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</row>
    <row r="98" spans="1:19" ht="12.75" customHeight="1" x14ac:dyDescent="0.1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</row>
    <row r="99" spans="1:19" ht="12.75" customHeight="1" x14ac:dyDescent="0.1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</row>
    <row r="100" spans="1:19" ht="12.75" customHeight="1" x14ac:dyDescent="0.1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</row>
    <row r="101" spans="1:19" ht="12.75" customHeight="1" x14ac:dyDescent="0.1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</row>
    <row r="102" spans="1:19" ht="12.75" customHeight="1" x14ac:dyDescent="0.1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</row>
    <row r="103" spans="1:19" ht="12.75" customHeight="1" x14ac:dyDescent="0.1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</row>
    <row r="104" spans="1:19" ht="12.75" customHeight="1" x14ac:dyDescent="0.1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</row>
    <row r="105" spans="1:19" ht="12.75" customHeight="1" x14ac:dyDescent="0.1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</row>
    <row r="106" spans="1:19" ht="12.75" customHeight="1" x14ac:dyDescent="0.1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</row>
    <row r="107" spans="1:19" ht="12.75" customHeight="1" x14ac:dyDescent="0.1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</row>
    <row r="108" spans="1:19" ht="12.75" customHeight="1" x14ac:dyDescent="0.1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</row>
    <row r="109" spans="1:19" ht="12.75" customHeight="1" x14ac:dyDescent="0.1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</row>
    <row r="110" spans="1:19" ht="12.75" customHeight="1" x14ac:dyDescent="0.1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</row>
    <row r="111" spans="1:19" ht="12.75" customHeight="1" x14ac:dyDescent="0.1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</row>
    <row r="112" spans="1:19" ht="12.75" customHeight="1" x14ac:dyDescent="0.1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</row>
    <row r="113" spans="1:19" ht="12.75" customHeight="1" x14ac:dyDescent="0.1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</row>
    <row r="114" spans="1:19" ht="12.75" customHeight="1" x14ac:dyDescent="0.1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</row>
    <row r="115" spans="1:19" ht="12.75" customHeight="1" x14ac:dyDescent="0.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</row>
    <row r="116" spans="1:19" ht="12.75" customHeight="1" x14ac:dyDescent="0.1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</row>
    <row r="117" spans="1:19" ht="12.75" customHeight="1" x14ac:dyDescent="0.1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</row>
    <row r="118" spans="1:19" ht="12.75" customHeight="1" x14ac:dyDescent="0.1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</row>
    <row r="119" spans="1:19" ht="12.75" customHeight="1" x14ac:dyDescent="0.1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</row>
    <row r="120" spans="1:19" ht="12.75" customHeight="1" x14ac:dyDescent="0.1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</row>
    <row r="121" spans="1:19" ht="12.75" customHeight="1" x14ac:dyDescent="0.1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</row>
    <row r="122" spans="1:19" ht="12.75" customHeight="1" x14ac:dyDescent="0.1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</row>
    <row r="123" spans="1:19" ht="12.75" customHeight="1" x14ac:dyDescent="0.1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</row>
    <row r="124" spans="1:19" ht="12.75" customHeight="1" x14ac:dyDescent="0.1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</row>
    <row r="125" spans="1:19" ht="12.75" customHeight="1" x14ac:dyDescent="0.1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</row>
    <row r="126" spans="1:19" ht="12.75" customHeight="1" x14ac:dyDescent="0.1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</row>
    <row r="127" spans="1:19" ht="12.75" customHeight="1" x14ac:dyDescent="0.1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</row>
    <row r="128" spans="1:19" ht="12.75" customHeight="1" x14ac:dyDescent="0.1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</row>
    <row r="129" spans="1:19" ht="12.75" customHeight="1" x14ac:dyDescent="0.1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</row>
    <row r="130" spans="1:19" ht="12.75" customHeight="1" x14ac:dyDescent="0.1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</row>
    <row r="131" spans="1:19" ht="12.75" customHeight="1" x14ac:dyDescent="0.1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</row>
    <row r="132" spans="1:19" ht="12.75" customHeight="1" x14ac:dyDescent="0.1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</row>
    <row r="133" spans="1:19" ht="12.75" customHeight="1" x14ac:dyDescent="0.1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</row>
    <row r="134" spans="1:19" ht="12.75" customHeight="1" x14ac:dyDescent="0.1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</row>
    <row r="135" spans="1:19" ht="12.75" customHeight="1" x14ac:dyDescent="0.1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</row>
    <row r="136" spans="1:19" ht="12.75" customHeight="1" x14ac:dyDescent="0.1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</row>
    <row r="137" spans="1:19" ht="12.75" customHeight="1" x14ac:dyDescent="0.1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</row>
    <row r="138" spans="1:19" ht="12.75" customHeight="1" x14ac:dyDescent="0.1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</row>
    <row r="139" spans="1:19" ht="12.75" customHeight="1" x14ac:dyDescent="0.1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</row>
    <row r="140" spans="1:19" ht="12.75" customHeight="1" x14ac:dyDescent="0.1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</row>
    <row r="141" spans="1:19" ht="12.75" customHeight="1" x14ac:dyDescent="0.1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</row>
    <row r="142" spans="1:19" ht="12.75" customHeight="1" x14ac:dyDescent="0.1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</row>
    <row r="143" spans="1:19" ht="12.75" customHeight="1" x14ac:dyDescent="0.1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</row>
    <row r="144" spans="1:19" ht="12.75" customHeight="1" x14ac:dyDescent="0.1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</row>
    <row r="145" spans="1:19" ht="12.75" customHeight="1" x14ac:dyDescent="0.1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</row>
    <row r="146" spans="1:19" ht="12.75" customHeight="1" x14ac:dyDescent="0.1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</row>
    <row r="147" spans="1:19" ht="12.75" customHeight="1" x14ac:dyDescent="0.1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</row>
    <row r="148" spans="1:19" ht="12.75" customHeight="1" x14ac:dyDescent="0.1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</row>
    <row r="149" spans="1:19" ht="12.75" customHeight="1" x14ac:dyDescent="0.1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</row>
    <row r="150" spans="1:19" ht="12.75" customHeight="1" x14ac:dyDescent="0.1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</row>
    <row r="151" spans="1:19" ht="12.75" customHeight="1" x14ac:dyDescent="0.1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</row>
    <row r="152" spans="1:19" ht="12.75" customHeight="1" x14ac:dyDescent="0.1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</row>
    <row r="153" spans="1:19" ht="12.75" customHeight="1" x14ac:dyDescent="0.1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</row>
    <row r="154" spans="1:19" ht="12.75" customHeight="1" x14ac:dyDescent="0.1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</row>
    <row r="155" spans="1:19" ht="12.75" customHeight="1" x14ac:dyDescent="0.1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</row>
    <row r="156" spans="1:19" ht="12.75" customHeight="1" x14ac:dyDescent="0.1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</row>
    <row r="157" spans="1:19" ht="12.75" customHeight="1" x14ac:dyDescent="0.1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</row>
    <row r="158" spans="1:19" ht="12.75" customHeight="1" x14ac:dyDescent="0.1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</row>
    <row r="159" spans="1:19" ht="12.75" customHeight="1" x14ac:dyDescent="0.1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</row>
    <row r="160" spans="1:19" ht="12.75" customHeight="1" x14ac:dyDescent="0.1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</row>
    <row r="161" spans="1:19" ht="12.75" customHeight="1" x14ac:dyDescent="0.1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</row>
    <row r="162" spans="1:19" ht="12.75" customHeight="1" x14ac:dyDescent="0.1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</row>
    <row r="163" spans="1:19" ht="12.75" customHeight="1" x14ac:dyDescent="0.1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</row>
    <row r="164" spans="1:19" ht="12.75" customHeight="1" x14ac:dyDescent="0.1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</row>
    <row r="165" spans="1:19" ht="12.75" customHeight="1" x14ac:dyDescent="0.1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</row>
    <row r="166" spans="1:19" ht="12.75" customHeight="1" x14ac:dyDescent="0.1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</row>
    <row r="167" spans="1:19" ht="12.75" customHeight="1" x14ac:dyDescent="0.1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</row>
    <row r="168" spans="1:19" ht="12.75" customHeight="1" x14ac:dyDescent="0.1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</row>
    <row r="169" spans="1:19" ht="12.75" customHeight="1" x14ac:dyDescent="0.1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</row>
    <row r="170" spans="1:19" ht="12.75" customHeight="1" x14ac:dyDescent="0.1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</row>
    <row r="171" spans="1:19" ht="12.75" customHeight="1" x14ac:dyDescent="0.1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</row>
    <row r="172" spans="1:19" ht="12.75" customHeight="1" x14ac:dyDescent="0.1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</row>
    <row r="173" spans="1:19" ht="12.75" customHeight="1" x14ac:dyDescent="0.1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</row>
    <row r="174" spans="1:19" ht="12.75" customHeight="1" x14ac:dyDescent="0.1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</row>
    <row r="175" spans="1:19" ht="12.75" customHeight="1" x14ac:dyDescent="0.1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</row>
    <row r="176" spans="1:19" ht="12.75" customHeight="1" x14ac:dyDescent="0.1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</row>
    <row r="177" spans="1:19" ht="12.75" customHeight="1" x14ac:dyDescent="0.1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</row>
    <row r="178" spans="1:19" ht="12.75" customHeight="1" x14ac:dyDescent="0.1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</row>
    <row r="179" spans="1:19" ht="12.75" customHeight="1" x14ac:dyDescent="0.1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</row>
    <row r="180" spans="1:19" ht="12.75" customHeight="1" x14ac:dyDescent="0.1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</row>
    <row r="181" spans="1:19" ht="12.75" customHeight="1" x14ac:dyDescent="0.1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</row>
    <row r="182" spans="1:19" ht="12.75" customHeight="1" x14ac:dyDescent="0.1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</row>
    <row r="183" spans="1:19" ht="12.75" customHeight="1" x14ac:dyDescent="0.1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</row>
    <row r="184" spans="1:19" ht="12.75" customHeight="1" x14ac:dyDescent="0.1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</row>
    <row r="185" spans="1:19" ht="12.75" customHeight="1" x14ac:dyDescent="0.1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</row>
    <row r="186" spans="1:19" ht="12.75" customHeight="1" x14ac:dyDescent="0.1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</row>
    <row r="187" spans="1:19" ht="12.75" customHeight="1" x14ac:dyDescent="0.1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</row>
    <row r="188" spans="1:19" ht="12.75" customHeight="1" x14ac:dyDescent="0.1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</row>
    <row r="189" spans="1:19" ht="12.75" customHeight="1" x14ac:dyDescent="0.1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</row>
    <row r="190" spans="1:19" ht="12.75" customHeight="1" x14ac:dyDescent="0.1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</row>
    <row r="191" spans="1:19" ht="12.75" customHeight="1" x14ac:dyDescent="0.1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</row>
    <row r="192" spans="1:19" ht="12.75" customHeight="1" x14ac:dyDescent="0.1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</row>
    <row r="193" spans="1:19" ht="12.75" customHeight="1" x14ac:dyDescent="0.1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</row>
    <row r="194" spans="1:19" ht="12.75" customHeight="1" x14ac:dyDescent="0.1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</row>
    <row r="195" spans="1:19" ht="12.75" customHeight="1" x14ac:dyDescent="0.1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</row>
    <row r="196" spans="1:19" ht="12.75" customHeight="1" x14ac:dyDescent="0.1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</row>
    <row r="197" spans="1:19" ht="12.75" customHeight="1" x14ac:dyDescent="0.1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</row>
    <row r="198" spans="1:19" ht="12.75" customHeight="1" x14ac:dyDescent="0.1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</row>
    <row r="199" spans="1:19" ht="12.75" customHeight="1" x14ac:dyDescent="0.1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</row>
    <row r="200" spans="1:19" ht="12.75" customHeight="1" x14ac:dyDescent="0.1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</row>
    <row r="201" spans="1:19" ht="12.75" customHeight="1" x14ac:dyDescent="0.1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</row>
    <row r="202" spans="1:19" ht="12.75" customHeight="1" x14ac:dyDescent="0.1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</row>
    <row r="203" spans="1:19" ht="12.75" customHeight="1" x14ac:dyDescent="0.1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</row>
    <row r="204" spans="1:19" ht="12.75" customHeight="1" x14ac:dyDescent="0.1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</row>
    <row r="205" spans="1:19" ht="12.75" customHeight="1" x14ac:dyDescent="0.1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</row>
    <row r="206" spans="1:19" ht="12.75" customHeight="1" x14ac:dyDescent="0.1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</row>
    <row r="207" spans="1:19" ht="12.75" customHeight="1" x14ac:dyDescent="0.1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</row>
    <row r="208" spans="1:19" ht="12.75" customHeight="1" x14ac:dyDescent="0.1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</row>
    <row r="209" spans="1:19" ht="12.75" customHeight="1" x14ac:dyDescent="0.1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</row>
    <row r="210" spans="1:19" ht="12.75" customHeight="1" x14ac:dyDescent="0.1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</row>
    <row r="211" spans="1:19" ht="12.75" customHeight="1" x14ac:dyDescent="0.1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</row>
    <row r="212" spans="1:19" ht="12.75" customHeight="1" x14ac:dyDescent="0.1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</row>
    <row r="213" spans="1:19" ht="12.75" customHeight="1" x14ac:dyDescent="0.1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</row>
    <row r="214" spans="1:19" ht="12.75" customHeight="1" x14ac:dyDescent="0.1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</row>
    <row r="215" spans="1:19" ht="12.75" customHeight="1" x14ac:dyDescent="0.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</row>
    <row r="216" spans="1:19" ht="12.75" customHeight="1" x14ac:dyDescent="0.1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</row>
    <row r="217" spans="1:19" ht="12.75" customHeight="1" x14ac:dyDescent="0.1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</row>
    <row r="218" spans="1:19" ht="12.75" customHeight="1" x14ac:dyDescent="0.1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</row>
    <row r="219" spans="1:19" ht="12.75" customHeight="1" x14ac:dyDescent="0.1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</row>
    <row r="220" spans="1:19" ht="12.75" customHeight="1" x14ac:dyDescent="0.1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</row>
    <row r="221" spans="1:19" ht="12.75" customHeight="1" x14ac:dyDescent="0.1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</row>
    <row r="222" spans="1:19" ht="12.75" customHeight="1" x14ac:dyDescent="0.1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</row>
    <row r="223" spans="1:19" ht="12.75" customHeight="1" x14ac:dyDescent="0.1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</row>
    <row r="224" spans="1:19" ht="12.75" customHeight="1" x14ac:dyDescent="0.1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</row>
    <row r="225" spans="1:19" ht="12.75" customHeight="1" x14ac:dyDescent="0.1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</row>
    <row r="226" spans="1:19" ht="12.75" customHeight="1" x14ac:dyDescent="0.1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</row>
    <row r="227" spans="1:19" ht="12.75" customHeight="1" x14ac:dyDescent="0.1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</row>
    <row r="228" spans="1:19" ht="12.75" customHeight="1" x14ac:dyDescent="0.1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</row>
    <row r="229" spans="1:19" ht="12.75" customHeight="1" x14ac:dyDescent="0.1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</row>
    <row r="230" spans="1:19" ht="12.75" customHeight="1" x14ac:dyDescent="0.1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</row>
    <row r="231" spans="1:19" ht="12.75" customHeight="1" x14ac:dyDescent="0.1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</row>
    <row r="232" spans="1:19" ht="12.75" customHeight="1" x14ac:dyDescent="0.1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</row>
    <row r="233" spans="1:19" ht="12.75" customHeight="1" x14ac:dyDescent="0.1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</row>
    <row r="234" spans="1:19" ht="12.75" customHeight="1" x14ac:dyDescent="0.1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</row>
    <row r="235" spans="1:19" ht="12.75" customHeight="1" x14ac:dyDescent="0.1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</row>
    <row r="236" spans="1:19" ht="12.75" customHeight="1" x14ac:dyDescent="0.1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</row>
    <row r="237" spans="1:19" ht="12.75" customHeight="1" x14ac:dyDescent="0.1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</row>
    <row r="238" spans="1:19" ht="12.75" customHeight="1" x14ac:dyDescent="0.1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</row>
    <row r="239" spans="1:19" ht="12.75" customHeight="1" x14ac:dyDescent="0.1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</row>
    <row r="240" spans="1:19" ht="12.75" customHeight="1" x14ac:dyDescent="0.1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</row>
    <row r="241" spans="1:19" ht="12.75" customHeight="1" x14ac:dyDescent="0.1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</row>
    <row r="242" spans="1:19" ht="12.75" customHeight="1" x14ac:dyDescent="0.1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</row>
    <row r="243" spans="1:19" ht="12.75" customHeight="1" x14ac:dyDescent="0.1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</row>
    <row r="244" spans="1:19" ht="12.75" customHeight="1" x14ac:dyDescent="0.1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</row>
    <row r="245" spans="1:19" ht="12.75" customHeight="1" x14ac:dyDescent="0.1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</row>
    <row r="246" spans="1:19" ht="12.75" customHeight="1" x14ac:dyDescent="0.1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</row>
    <row r="247" spans="1:19" ht="12.75" customHeight="1" x14ac:dyDescent="0.1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</row>
    <row r="248" spans="1:19" ht="12.75" customHeight="1" x14ac:dyDescent="0.1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</row>
    <row r="249" spans="1:19" ht="12.75" customHeight="1" x14ac:dyDescent="0.1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</row>
    <row r="250" spans="1:19" ht="12.75" customHeight="1" x14ac:dyDescent="0.1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</row>
    <row r="251" spans="1:19" ht="12.75" customHeight="1" x14ac:dyDescent="0.1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</row>
    <row r="252" spans="1:19" ht="12.75" customHeight="1" x14ac:dyDescent="0.1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</row>
    <row r="253" spans="1:19" ht="12.75" customHeight="1" x14ac:dyDescent="0.1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</row>
    <row r="254" spans="1:19" ht="12.75" customHeight="1" x14ac:dyDescent="0.1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</row>
    <row r="255" spans="1:19" ht="12.75" customHeight="1" x14ac:dyDescent="0.1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</row>
    <row r="256" spans="1:19" ht="12.75" customHeight="1" x14ac:dyDescent="0.1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</row>
    <row r="257" spans="1:19" ht="12.75" customHeight="1" x14ac:dyDescent="0.1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</row>
    <row r="258" spans="1:19" ht="12.75" customHeight="1" x14ac:dyDescent="0.1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</row>
    <row r="259" spans="1:19" ht="12.75" customHeight="1" x14ac:dyDescent="0.1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</row>
    <row r="260" spans="1:19" ht="12.75" customHeight="1" x14ac:dyDescent="0.1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</row>
    <row r="261" spans="1:19" ht="12.75" customHeight="1" x14ac:dyDescent="0.1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</row>
    <row r="262" spans="1:19" ht="12.75" customHeight="1" x14ac:dyDescent="0.1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</row>
    <row r="263" spans="1:19" ht="12.75" customHeight="1" x14ac:dyDescent="0.1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</row>
    <row r="264" spans="1:19" ht="12.75" customHeight="1" x14ac:dyDescent="0.1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</row>
    <row r="265" spans="1:19" ht="12.75" customHeight="1" x14ac:dyDescent="0.1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</row>
    <row r="266" spans="1:19" ht="12.75" customHeight="1" x14ac:dyDescent="0.1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</row>
    <row r="267" spans="1:19" ht="12.75" customHeight="1" x14ac:dyDescent="0.1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</row>
    <row r="268" spans="1:19" ht="12.75" customHeight="1" x14ac:dyDescent="0.1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</row>
    <row r="269" spans="1:19" ht="12.75" customHeight="1" x14ac:dyDescent="0.1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</row>
    <row r="270" spans="1:19" ht="12.75" customHeight="1" x14ac:dyDescent="0.1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</row>
    <row r="271" spans="1:19" ht="12.75" customHeight="1" x14ac:dyDescent="0.1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</row>
    <row r="272" spans="1:19" ht="12.75" customHeight="1" x14ac:dyDescent="0.1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</row>
    <row r="273" spans="1:19" ht="12.75" customHeight="1" x14ac:dyDescent="0.1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</row>
    <row r="274" spans="1:19" ht="12.75" customHeight="1" x14ac:dyDescent="0.1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</row>
    <row r="275" spans="1:19" ht="12.75" customHeight="1" x14ac:dyDescent="0.1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</row>
    <row r="276" spans="1:19" ht="12.75" customHeight="1" x14ac:dyDescent="0.1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</row>
    <row r="277" spans="1:19" ht="12.75" customHeight="1" x14ac:dyDescent="0.1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</row>
    <row r="278" spans="1:19" ht="12.75" customHeight="1" x14ac:dyDescent="0.1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</row>
    <row r="279" spans="1:19" ht="12.75" customHeight="1" x14ac:dyDescent="0.1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</row>
    <row r="280" spans="1:19" ht="12.75" customHeight="1" x14ac:dyDescent="0.1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</row>
    <row r="281" spans="1:19" ht="12.75" customHeight="1" x14ac:dyDescent="0.1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</row>
    <row r="282" spans="1:19" ht="12.75" customHeight="1" x14ac:dyDescent="0.1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</row>
    <row r="283" spans="1:19" ht="12.75" customHeight="1" x14ac:dyDescent="0.1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</row>
    <row r="284" spans="1:19" ht="12.75" customHeight="1" x14ac:dyDescent="0.1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</row>
    <row r="285" spans="1:19" ht="12.75" customHeight="1" x14ac:dyDescent="0.1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</row>
    <row r="286" spans="1:19" ht="12.75" customHeight="1" x14ac:dyDescent="0.1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</row>
    <row r="287" spans="1:19" ht="12.75" customHeight="1" x14ac:dyDescent="0.1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</row>
    <row r="288" spans="1:19" ht="12.75" customHeight="1" x14ac:dyDescent="0.1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</row>
    <row r="289" spans="1:19" ht="12.75" customHeight="1" x14ac:dyDescent="0.1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</row>
    <row r="290" spans="1:19" ht="12.75" customHeight="1" x14ac:dyDescent="0.1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</row>
    <row r="291" spans="1:19" ht="12.75" customHeight="1" x14ac:dyDescent="0.1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</row>
    <row r="292" spans="1:19" ht="12.75" customHeight="1" x14ac:dyDescent="0.1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</row>
    <row r="293" spans="1:19" ht="12.75" customHeight="1" x14ac:dyDescent="0.1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</row>
    <row r="294" spans="1:19" ht="12.75" customHeight="1" x14ac:dyDescent="0.1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</row>
    <row r="295" spans="1:19" ht="12.75" customHeight="1" x14ac:dyDescent="0.1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</row>
    <row r="296" spans="1:19" ht="12.75" customHeight="1" x14ac:dyDescent="0.1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</row>
    <row r="297" spans="1:19" ht="12.75" customHeight="1" x14ac:dyDescent="0.1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</row>
    <row r="298" spans="1:19" ht="12.75" customHeight="1" x14ac:dyDescent="0.1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</row>
    <row r="299" spans="1:19" ht="12.75" customHeight="1" x14ac:dyDescent="0.1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</row>
    <row r="300" spans="1:19" ht="12.75" customHeight="1" x14ac:dyDescent="0.1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</row>
    <row r="301" spans="1:19" ht="12.75" customHeight="1" x14ac:dyDescent="0.1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</row>
    <row r="302" spans="1:19" ht="12.75" customHeight="1" x14ac:dyDescent="0.1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</row>
    <row r="303" spans="1:19" ht="12.75" customHeight="1" x14ac:dyDescent="0.1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</row>
    <row r="304" spans="1:19" ht="12.75" customHeight="1" x14ac:dyDescent="0.1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</row>
    <row r="305" spans="1:19" ht="12.75" customHeight="1" x14ac:dyDescent="0.1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</row>
    <row r="306" spans="1:19" ht="12.75" customHeight="1" x14ac:dyDescent="0.1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</row>
    <row r="307" spans="1:19" ht="12.75" customHeight="1" x14ac:dyDescent="0.1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</row>
    <row r="308" spans="1:19" ht="12.75" customHeight="1" x14ac:dyDescent="0.1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</row>
    <row r="309" spans="1:19" ht="12.75" customHeight="1" x14ac:dyDescent="0.1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</row>
    <row r="310" spans="1:19" ht="12.75" customHeight="1" x14ac:dyDescent="0.1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</row>
    <row r="311" spans="1:19" ht="12.75" customHeight="1" x14ac:dyDescent="0.1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</row>
    <row r="312" spans="1:19" ht="12.75" customHeight="1" x14ac:dyDescent="0.1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</row>
    <row r="313" spans="1:19" ht="12.75" customHeight="1" x14ac:dyDescent="0.1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</row>
    <row r="314" spans="1:19" ht="12.75" customHeight="1" x14ac:dyDescent="0.1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</row>
    <row r="315" spans="1:19" ht="12.75" customHeight="1" x14ac:dyDescent="0.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</row>
    <row r="316" spans="1:19" ht="12.75" customHeight="1" x14ac:dyDescent="0.1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</row>
    <row r="317" spans="1:19" ht="12.75" customHeight="1" x14ac:dyDescent="0.1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</row>
    <row r="318" spans="1:19" ht="12.75" customHeight="1" x14ac:dyDescent="0.1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</row>
    <row r="319" spans="1:19" ht="12.75" customHeight="1" x14ac:dyDescent="0.1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</row>
    <row r="320" spans="1:19" ht="12.75" customHeight="1" x14ac:dyDescent="0.1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</row>
    <row r="321" spans="1:19" ht="12.75" customHeight="1" x14ac:dyDescent="0.1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</row>
    <row r="322" spans="1:19" ht="12.75" customHeight="1" x14ac:dyDescent="0.1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</row>
    <row r="323" spans="1:19" ht="12.75" customHeight="1" x14ac:dyDescent="0.1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</row>
    <row r="324" spans="1:19" ht="12.75" customHeight="1" x14ac:dyDescent="0.1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</row>
    <row r="325" spans="1:19" ht="12.75" customHeight="1" x14ac:dyDescent="0.1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</row>
    <row r="326" spans="1:19" ht="12.75" customHeight="1" x14ac:dyDescent="0.1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</row>
    <row r="327" spans="1:19" ht="12.75" customHeight="1" x14ac:dyDescent="0.1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</row>
    <row r="328" spans="1:19" ht="12.75" customHeight="1" x14ac:dyDescent="0.1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</row>
    <row r="329" spans="1:19" ht="12.75" customHeight="1" x14ac:dyDescent="0.1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</row>
    <row r="330" spans="1:19" ht="12.75" customHeight="1" x14ac:dyDescent="0.1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</row>
    <row r="331" spans="1:19" ht="12.75" customHeight="1" x14ac:dyDescent="0.1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</row>
    <row r="332" spans="1:19" ht="12.75" customHeight="1" x14ac:dyDescent="0.1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</row>
    <row r="333" spans="1:19" ht="12.75" customHeight="1" x14ac:dyDescent="0.1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</row>
    <row r="334" spans="1:19" ht="12.75" customHeight="1" x14ac:dyDescent="0.1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</row>
    <row r="335" spans="1:19" ht="12.75" customHeight="1" x14ac:dyDescent="0.1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</row>
    <row r="336" spans="1:19" ht="12.75" customHeight="1" x14ac:dyDescent="0.1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</row>
    <row r="337" spans="1:19" ht="12.75" customHeight="1" x14ac:dyDescent="0.1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</row>
    <row r="338" spans="1:19" ht="12.75" customHeight="1" x14ac:dyDescent="0.1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</row>
    <row r="339" spans="1:19" ht="12.75" customHeight="1" x14ac:dyDescent="0.1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</row>
    <row r="340" spans="1:19" ht="12.75" customHeight="1" x14ac:dyDescent="0.1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</row>
    <row r="341" spans="1:19" ht="12.75" customHeight="1" x14ac:dyDescent="0.1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</row>
    <row r="342" spans="1:19" ht="12.75" customHeight="1" x14ac:dyDescent="0.1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</row>
    <row r="343" spans="1:19" ht="12.75" customHeight="1" x14ac:dyDescent="0.1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</row>
    <row r="344" spans="1:19" ht="12.75" customHeight="1" x14ac:dyDescent="0.1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</row>
    <row r="345" spans="1:19" ht="12.75" customHeight="1" x14ac:dyDescent="0.1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</row>
    <row r="346" spans="1:19" ht="12.75" customHeight="1" x14ac:dyDescent="0.1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</row>
    <row r="347" spans="1:19" ht="12.75" customHeight="1" x14ac:dyDescent="0.1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</row>
    <row r="348" spans="1:19" ht="12.75" customHeight="1" x14ac:dyDescent="0.1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</row>
    <row r="349" spans="1:19" ht="12.75" customHeight="1" x14ac:dyDescent="0.1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</row>
    <row r="350" spans="1:19" ht="12.75" customHeight="1" x14ac:dyDescent="0.1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</row>
    <row r="351" spans="1:19" ht="12.75" customHeight="1" x14ac:dyDescent="0.1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</row>
    <row r="352" spans="1:19" ht="12.75" customHeight="1" x14ac:dyDescent="0.1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</row>
    <row r="353" spans="1:19" ht="12.75" customHeight="1" x14ac:dyDescent="0.1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</row>
    <row r="354" spans="1:19" ht="12.75" customHeight="1" x14ac:dyDescent="0.1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</row>
    <row r="355" spans="1:19" ht="12.75" customHeight="1" x14ac:dyDescent="0.1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</row>
    <row r="356" spans="1:19" ht="12.75" customHeight="1" x14ac:dyDescent="0.1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</row>
    <row r="357" spans="1:19" ht="12.75" customHeight="1" x14ac:dyDescent="0.1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</row>
    <row r="358" spans="1:19" ht="12.75" customHeight="1" x14ac:dyDescent="0.1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</row>
    <row r="359" spans="1:19" ht="12.75" customHeight="1" x14ac:dyDescent="0.1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</row>
    <row r="360" spans="1:19" ht="12.75" customHeight="1" x14ac:dyDescent="0.1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</row>
    <row r="361" spans="1:19" ht="12.75" customHeight="1" x14ac:dyDescent="0.1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</row>
    <row r="362" spans="1:19" ht="12.75" customHeight="1" x14ac:dyDescent="0.1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</row>
    <row r="363" spans="1:19" ht="12.75" customHeight="1" x14ac:dyDescent="0.1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</row>
    <row r="364" spans="1:19" ht="12.75" customHeight="1" x14ac:dyDescent="0.1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</row>
    <row r="365" spans="1:19" ht="12.75" customHeight="1" x14ac:dyDescent="0.1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</row>
    <row r="366" spans="1:19" ht="12.75" customHeight="1" x14ac:dyDescent="0.1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</row>
    <row r="367" spans="1:19" ht="12.75" customHeight="1" x14ac:dyDescent="0.1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</row>
    <row r="368" spans="1:19" ht="12.75" customHeight="1" x14ac:dyDescent="0.1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</row>
    <row r="369" spans="1:19" ht="12.75" customHeight="1" x14ac:dyDescent="0.1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</row>
    <row r="370" spans="1:19" ht="12.75" customHeight="1" x14ac:dyDescent="0.1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</row>
    <row r="371" spans="1:19" ht="12.75" customHeight="1" x14ac:dyDescent="0.1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</row>
    <row r="372" spans="1:19" ht="12.75" customHeight="1" x14ac:dyDescent="0.1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</row>
    <row r="373" spans="1:19" ht="12.75" customHeight="1" x14ac:dyDescent="0.1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</row>
    <row r="374" spans="1:19" ht="12.75" customHeight="1" x14ac:dyDescent="0.1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</row>
    <row r="375" spans="1:19" ht="12.75" customHeight="1" x14ac:dyDescent="0.1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</row>
    <row r="376" spans="1:19" ht="12.75" customHeight="1" x14ac:dyDescent="0.1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</row>
    <row r="377" spans="1:19" ht="12.75" customHeight="1" x14ac:dyDescent="0.1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</row>
    <row r="378" spans="1:19" ht="12.75" customHeight="1" x14ac:dyDescent="0.1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</row>
    <row r="379" spans="1:19" ht="12.75" customHeight="1" x14ac:dyDescent="0.1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</row>
    <row r="380" spans="1:19" ht="12.75" customHeight="1" x14ac:dyDescent="0.1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</row>
    <row r="381" spans="1:19" ht="12.75" customHeight="1" x14ac:dyDescent="0.1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</row>
    <row r="382" spans="1:19" ht="12.75" customHeight="1" x14ac:dyDescent="0.1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</row>
    <row r="383" spans="1:19" ht="12.75" customHeight="1" x14ac:dyDescent="0.1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</row>
    <row r="384" spans="1:19" ht="12.75" customHeight="1" x14ac:dyDescent="0.1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</row>
    <row r="385" spans="1:19" ht="12.75" customHeight="1" x14ac:dyDescent="0.1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</row>
    <row r="386" spans="1:19" ht="12.75" customHeight="1" x14ac:dyDescent="0.1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</row>
    <row r="387" spans="1:19" ht="12.75" customHeight="1" x14ac:dyDescent="0.1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</row>
    <row r="388" spans="1:19" ht="12.75" customHeight="1" x14ac:dyDescent="0.1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</row>
    <row r="389" spans="1:19" ht="12.75" customHeight="1" x14ac:dyDescent="0.1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</row>
    <row r="390" spans="1:19" ht="12.75" customHeight="1" x14ac:dyDescent="0.1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</row>
    <row r="391" spans="1:19" ht="12.75" customHeight="1" x14ac:dyDescent="0.1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</row>
    <row r="392" spans="1:19" ht="12.75" customHeight="1" x14ac:dyDescent="0.1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</row>
    <row r="393" spans="1:19" ht="12.75" customHeight="1" x14ac:dyDescent="0.1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</row>
    <row r="394" spans="1:19" ht="12.75" customHeight="1" x14ac:dyDescent="0.1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</row>
    <row r="395" spans="1:19" ht="12.75" customHeight="1" x14ac:dyDescent="0.1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</row>
    <row r="396" spans="1:19" ht="12.75" customHeight="1" x14ac:dyDescent="0.1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</row>
    <row r="397" spans="1:19" ht="12.75" customHeight="1" x14ac:dyDescent="0.1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</row>
    <row r="398" spans="1:19" ht="12.75" customHeight="1" x14ac:dyDescent="0.1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</row>
    <row r="399" spans="1:19" ht="12.75" customHeight="1" x14ac:dyDescent="0.1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</row>
    <row r="400" spans="1:19" ht="12.75" customHeight="1" x14ac:dyDescent="0.1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</row>
    <row r="401" spans="1:19" ht="12.75" customHeight="1" x14ac:dyDescent="0.1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</row>
    <row r="402" spans="1:19" ht="12.75" customHeight="1" x14ac:dyDescent="0.1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</row>
    <row r="403" spans="1:19" ht="12.75" customHeight="1" x14ac:dyDescent="0.1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</row>
    <row r="404" spans="1:19" ht="12.75" customHeight="1" x14ac:dyDescent="0.1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</row>
    <row r="405" spans="1:19" ht="12.75" customHeight="1" x14ac:dyDescent="0.1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</row>
    <row r="406" spans="1:19" ht="12.75" customHeight="1" x14ac:dyDescent="0.1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</row>
    <row r="407" spans="1:19" ht="12.75" customHeight="1" x14ac:dyDescent="0.1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</row>
    <row r="408" spans="1:19" ht="12.75" customHeight="1" x14ac:dyDescent="0.1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</row>
    <row r="409" spans="1:19" ht="12.75" customHeight="1" x14ac:dyDescent="0.1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</row>
    <row r="410" spans="1:19" ht="12.75" customHeight="1" x14ac:dyDescent="0.1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</row>
    <row r="411" spans="1:19" ht="12.75" customHeight="1" x14ac:dyDescent="0.1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</row>
    <row r="412" spans="1:19" ht="12.75" customHeight="1" x14ac:dyDescent="0.1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</row>
    <row r="413" spans="1:19" ht="12.75" customHeight="1" x14ac:dyDescent="0.1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</row>
    <row r="414" spans="1:19" ht="12.75" customHeight="1" x14ac:dyDescent="0.1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</row>
    <row r="415" spans="1:19" ht="12.75" customHeight="1" x14ac:dyDescent="0.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</row>
    <row r="416" spans="1:19" ht="12.75" customHeight="1" x14ac:dyDescent="0.1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</row>
    <row r="417" spans="1:19" ht="12.75" customHeight="1" x14ac:dyDescent="0.1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</row>
    <row r="418" spans="1:19" ht="12.75" customHeight="1" x14ac:dyDescent="0.1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</row>
    <row r="419" spans="1:19" ht="12.75" customHeight="1" x14ac:dyDescent="0.1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</row>
    <row r="420" spans="1:19" ht="12.75" customHeight="1" x14ac:dyDescent="0.1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</row>
    <row r="421" spans="1:19" ht="12.75" customHeight="1" x14ac:dyDescent="0.1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</row>
    <row r="422" spans="1:19" ht="12.75" customHeight="1" x14ac:dyDescent="0.1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</row>
    <row r="423" spans="1:19" ht="12.75" customHeight="1" x14ac:dyDescent="0.1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</row>
    <row r="424" spans="1:19" ht="12.75" customHeight="1" x14ac:dyDescent="0.1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</row>
    <row r="425" spans="1:19" ht="12.75" customHeight="1" x14ac:dyDescent="0.1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</row>
    <row r="426" spans="1:19" ht="12.75" customHeight="1" x14ac:dyDescent="0.1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</row>
    <row r="427" spans="1:19" ht="12.75" customHeight="1" x14ac:dyDescent="0.1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</row>
    <row r="428" spans="1:19" ht="12.75" customHeight="1" x14ac:dyDescent="0.1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</row>
    <row r="429" spans="1:19" ht="12.75" customHeight="1" x14ac:dyDescent="0.1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</row>
    <row r="430" spans="1:19" ht="12.75" customHeight="1" x14ac:dyDescent="0.1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</row>
    <row r="431" spans="1:19" ht="12.75" customHeight="1" x14ac:dyDescent="0.1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</row>
    <row r="432" spans="1:19" ht="12.75" customHeight="1" x14ac:dyDescent="0.1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</row>
    <row r="433" spans="1:19" ht="12.75" customHeight="1" x14ac:dyDescent="0.1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</row>
    <row r="434" spans="1:19" ht="12.75" customHeight="1" x14ac:dyDescent="0.1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</row>
    <row r="435" spans="1:19" ht="12.75" customHeight="1" x14ac:dyDescent="0.1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</row>
    <row r="436" spans="1:19" ht="12.75" customHeight="1" x14ac:dyDescent="0.1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</row>
    <row r="437" spans="1:19" ht="12.75" customHeight="1" x14ac:dyDescent="0.1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</row>
    <row r="438" spans="1:19" ht="12.75" customHeight="1" x14ac:dyDescent="0.1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</row>
    <row r="439" spans="1:19" ht="12.75" customHeight="1" x14ac:dyDescent="0.1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</row>
    <row r="440" spans="1:19" ht="12.75" customHeight="1" x14ac:dyDescent="0.1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</row>
    <row r="441" spans="1:19" ht="12.75" customHeight="1" x14ac:dyDescent="0.1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</row>
    <row r="442" spans="1:19" ht="12.75" customHeight="1" x14ac:dyDescent="0.1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</row>
    <row r="443" spans="1:19" ht="12.75" customHeight="1" x14ac:dyDescent="0.1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</row>
    <row r="444" spans="1:19" ht="12.75" customHeight="1" x14ac:dyDescent="0.1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</row>
    <row r="445" spans="1:19" ht="12.75" customHeight="1" x14ac:dyDescent="0.1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</row>
    <row r="446" spans="1:19" ht="12.75" customHeight="1" x14ac:dyDescent="0.1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</row>
    <row r="447" spans="1:19" ht="12.75" customHeight="1" x14ac:dyDescent="0.1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</row>
    <row r="448" spans="1:19" ht="12.75" customHeight="1" x14ac:dyDescent="0.1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</row>
    <row r="449" spans="1:19" ht="12.75" customHeight="1" x14ac:dyDescent="0.1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</row>
    <row r="450" spans="1:19" ht="12.75" customHeight="1" x14ac:dyDescent="0.1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</row>
    <row r="451" spans="1:19" ht="12.75" customHeight="1" x14ac:dyDescent="0.1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</row>
    <row r="452" spans="1:19" ht="12.75" customHeight="1" x14ac:dyDescent="0.1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</row>
    <row r="453" spans="1:19" ht="12.75" customHeight="1" x14ac:dyDescent="0.1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</row>
    <row r="454" spans="1:19" ht="12.75" customHeight="1" x14ac:dyDescent="0.1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</row>
    <row r="455" spans="1:19" ht="12.75" customHeight="1" x14ac:dyDescent="0.1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</row>
    <row r="456" spans="1:19" ht="12.75" customHeight="1" x14ac:dyDescent="0.1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</row>
    <row r="457" spans="1:19" ht="12.75" customHeight="1" x14ac:dyDescent="0.1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</row>
    <row r="458" spans="1:19" ht="12.75" customHeight="1" x14ac:dyDescent="0.1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</row>
    <row r="459" spans="1:19" ht="12.75" customHeight="1" x14ac:dyDescent="0.1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</row>
    <row r="460" spans="1:19" ht="12.75" customHeight="1" x14ac:dyDescent="0.1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</row>
    <row r="461" spans="1:19" ht="12.75" customHeight="1" x14ac:dyDescent="0.1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</row>
    <row r="462" spans="1:19" ht="12.75" customHeight="1" x14ac:dyDescent="0.1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</row>
    <row r="463" spans="1:19" ht="12.75" customHeight="1" x14ac:dyDescent="0.1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</row>
    <row r="464" spans="1:19" ht="12.75" customHeight="1" x14ac:dyDescent="0.1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</row>
    <row r="465" spans="1:19" ht="12.75" customHeight="1" x14ac:dyDescent="0.1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</row>
    <row r="466" spans="1:19" ht="12.75" customHeight="1" x14ac:dyDescent="0.1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</row>
    <row r="467" spans="1:19" ht="12.75" customHeight="1" x14ac:dyDescent="0.1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</row>
    <row r="468" spans="1:19" ht="12.75" customHeight="1" x14ac:dyDescent="0.1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</row>
    <row r="469" spans="1:19" ht="12.75" customHeight="1" x14ac:dyDescent="0.1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</row>
    <row r="470" spans="1:19" ht="12.75" customHeight="1" x14ac:dyDescent="0.1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</row>
    <row r="471" spans="1:19" ht="12.75" customHeight="1" x14ac:dyDescent="0.1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</row>
    <row r="472" spans="1:19" ht="12.75" customHeight="1" x14ac:dyDescent="0.1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</row>
    <row r="473" spans="1:19" ht="12.75" customHeight="1" x14ac:dyDescent="0.1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</row>
    <row r="474" spans="1:19" ht="12.75" customHeight="1" x14ac:dyDescent="0.1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</row>
    <row r="475" spans="1:19" ht="12.75" customHeight="1" x14ac:dyDescent="0.1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</row>
    <row r="476" spans="1:19" ht="12.75" customHeight="1" x14ac:dyDescent="0.1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</row>
    <row r="477" spans="1:19" ht="12.75" customHeight="1" x14ac:dyDescent="0.1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</row>
    <row r="478" spans="1:19" ht="12.75" customHeight="1" x14ac:dyDescent="0.1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</row>
    <row r="479" spans="1:19" ht="12.75" customHeight="1" x14ac:dyDescent="0.1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</row>
    <row r="480" spans="1:19" ht="12.75" customHeight="1" x14ac:dyDescent="0.1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</row>
    <row r="481" spans="1:19" ht="12.75" customHeight="1" x14ac:dyDescent="0.1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</row>
    <row r="482" spans="1:19" ht="12.75" customHeight="1" x14ac:dyDescent="0.1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</row>
    <row r="483" spans="1:19" ht="12.75" customHeight="1" x14ac:dyDescent="0.1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</row>
    <row r="484" spans="1:19" ht="12.75" customHeight="1" x14ac:dyDescent="0.1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</row>
    <row r="485" spans="1:19" ht="12.75" customHeight="1" x14ac:dyDescent="0.1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</row>
    <row r="486" spans="1:19" ht="12.75" customHeight="1" x14ac:dyDescent="0.1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</row>
    <row r="487" spans="1:19" ht="12.75" customHeight="1" x14ac:dyDescent="0.1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</row>
    <row r="488" spans="1:19" ht="12.75" customHeight="1" x14ac:dyDescent="0.1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</row>
    <row r="489" spans="1:19" ht="12.75" customHeight="1" x14ac:dyDescent="0.1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</row>
    <row r="490" spans="1:19" ht="12.75" customHeight="1" x14ac:dyDescent="0.1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</row>
    <row r="491" spans="1:19" ht="12.75" customHeight="1" x14ac:dyDescent="0.1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</row>
    <row r="492" spans="1:19" ht="12.75" customHeight="1" x14ac:dyDescent="0.1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</row>
    <row r="493" spans="1:19" ht="12.75" customHeight="1" x14ac:dyDescent="0.1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</row>
    <row r="494" spans="1:19" ht="12.75" customHeight="1" x14ac:dyDescent="0.1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</row>
    <row r="495" spans="1:19" ht="12.75" customHeight="1" x14ac:dyDescent="0.1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</row>
    <row r="496" spans="1:19" ht="12.75" customHeight="1" x14ac:dyDescent="0.1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</row>
    <row r="497" spans="1:19" ht="12.75" customHeight="1" x14ac:dyDescent="0.1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</row>
    <row r="498" spans="1:19" ht="12.75" customHeight="1" x14ac:dyDescent="0.1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</row>
    <row r="499" spans="1:19" ht="12.75" customHeight="1" x14ac:dyDescent="0.1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</row>
    <row r="500" spans="1:19" ht="12.75" customHeight="1" x14ac:dyDescent="0.1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</row>
    <row r="501" spans="1:19" ht="12.75" customHeight="1" x14ac:dyDescent="0.1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</row>
    <row r="502" spans="1:19" ht="12.75" customHeight="1" x14ac:dyDescent="0.1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</row>
    <row r="503" spans="1:19" ht="12.75" customHeight="1" x14ac:dyDescent="0.1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</row>
    <row r="504" spans="1:19" ht="12.75" customHeight="1" x14ac:dyDescent="0.1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</row>
    <row r="505" spans="1:19" ht="12.75" customHeight="1" x14ac:dyDescent="0.1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</row>
    <row r="506" spans="1:19" ht="12.75" customHeight="1" x14ac:dyDescent="0.1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</row>
    <row r="507" spans="1:19" ht="12.75" customHeight="1" x14ac:dyDescent="0.1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</row>
    <row r="508" spans="1:19" ht="12.75" customHeight="1" x14ac:dyDescent="0.1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</row>
    <row r="509" spans="1:19" ht="12.75" customHeight="1" x14ac:dyDescent="0.1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</row>
    <row r="510" spans="1:19" ht="12.75" customHeight="1" x14ac:dyDescent="0.1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</row>
    <row r="511" spans="1:19" ht="12.75" customHeight="1" x14ac:dyDescent="0.1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</row>
    <row r="512" spans="1:19" ht="12.75" customHeight="1" x14ac:dyDescent="0.1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</row>
    <row r="513" spans="1:19" ht="12.75" customHeight="1" x14ac:dyDescent="0.1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</row>
    <row r="514" spans="1:19" ht="12.75" customHeight="1" x14ac:dyDescent="0.1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</row>
    <row r="515" spans="1:19" ht="12.75" customHeight="1" x14ac:dyDescent="0.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</row>
    <row r="516" spans="1:19" ht="12.75" customHeight="1" x14ac:dyDescent="0.1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</row>
    <row r="517" spans="1:19" ht="12.75" customHeight="1" x14ac:dyDescent="0.1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</row>
    <row r="518" spans="1:19" ht="12.75" customHeight="1" x14ac:dyDescent="0.1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</row>
    <row r="519" spans="1:19" ht="12.75" customHeight="1" x14ac:dyDescent="0.1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</row>
    <row r="520" spans="1:19" ht="12.75" customHeight="1" x14ac:dyDescent="0.1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</row>
    <row r="521" spans="1:19" ht="12.75" customHeight="1" x14ac:dyDescent="0.1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</row>
    <row r="522" spans="1:19" ht="12.75" customHeight="1" x14ac:dyDescent="0.1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</row>
    <row r="523" spans="1:19" ht="12.75" customHeight="1" x14ac:dyDescent="0.1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</row>
    <row r="524" spans="1:19" ht="12.75" customHeight="1" x14ac:dyDescent="0.1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</row>
    <row r="525" spans="1:19" ht="12.75" customHeight="1" x14ac:dyDescent="0.1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</row>
    <row r="526" spans="1:19" ht="12.75" customHeight="1" x14ac:dyDescent="0.1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</row>
    <row r="527" spans="1:19" ht="12.75" customHeight="1" x14ac:dyDescent="0.1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</row>
    <row r="528" spans="1:19" ht="12.75" customHeight="1" x14ac:dyDescent="0.1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</row>
    <row r="529" spans="1:19" ht="12.75" customHeight="1" x14ac:dyDescent="0.1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</row>
    <row r="530" spans="1:19" ht="12.75" customHeight="1" x14ac:dyDescent="0.1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</row>
    <row r="531" spans="1:19" ht="12.75" customHeight="1" x14ac:dyDescent="0.1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</row>
    <row r="532" spans="1:19" ht="12.75" customHeight="1" x14ac:dyDescent="0.1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</row>
    <row r="533" spans="1:19" ht="12.75" customHeight="1" x14ac:dyDescent="0.1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</row>
    <row r="534" spans="1:19" ht="12.75" customHeight="1" x14ac:dyDescent="0.1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</row>
    <row r="535" spans="1:19" ht="12.75" customHeight="1" x14ac:dyDescent="0.1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</row>
    <row r="536" spans="1:19" ht="12.75" customHeight="1" x14ac:dyDescent="0.1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</row>
    <row r="537" spans="1:19" ht="12.75" customHeight="1" x14ac:dyDescent="0.1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</row>
    <row r="538" spans="1:19" ht="12.75" customHeight="1" x14ac:dyDescent="0.1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</row>
    <row r="539" spans="1:19" ht="12.75" customHeight="1" x14ac:dyDescent="0.1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</row>
    <row r="540" spans="1:19" ht="12.75" customHeight="1" x14ac:dyDescent="0.1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</row>
    <row r="541" spans="1:19" ht="12.75" customHeight="1" x14ac:dyDescent="0.1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</row>
    <row r="542" spans="1:19" ht="12.75" customHeight="1" x14ac:dyDescent="0.1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</row>
    <row r="543" spans="1:19" ht="12.75" customHeight="1" x14ac:dyDescent="0.1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</row>
    <row r="544" spans="1:19" ht="12.75" customHeight="1" x14ac:dyDescent="0.1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</row>
    <row r="545" spans="1:19" ht="12.75" customHeight="1" x14ac:dyDescent="0.1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</row>
    <row r="546" spans="1:19" ht="12.75" customHeight="1" x14ac:dyDescent="0.1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</row>
    <row r="547" spans="1:19" ht="12.75" customHeight="1" x14ac:dyDescent="0.1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</row>
    <row r="548" spans="1:19" ht="12.75" customHeight="1" x14ac:dyDescent="0.1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</row>
    <row r="549" spans="1:19" ht="12.75" customHeight="1" x14ac:dyDescent="0.1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</row>
    <row r="550" spans="1:19" ht="12.75" customHeight="1" x14ac:dyDescent="0.1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</row>
    <row r="551" spans="1:19" ht="12.75" customHeight="1" x14ac:dyDescent="0.1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</row>
    <row r="552" spans="1:19" ht="12.75" customHeight="1" x14ac:dyDescent="0.1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</row>
    <row r="553" spans="1:19" ht="12.75" customHeight="1" x14ac:dyDescent="0.1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</row>
    <row r="554" spans="1:19" ht="12.75" customHeight="1" x14ac:dyDescent="0.1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</row>
    <row r="555" spans="1:19" ht="12.75" customHeight="1" x14ac:dyDescent="0.1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</row>
    <row r="556" spans="1:19" ht="12.75" customHeight="1" x14ac:dyDescent="0.1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</row>
    <row r="557" spans="1:19" ht="12.75" customHeight="1" x14ac:dyDescent="0.1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</row>
    <row r="558" spans="1:19" ht="12.75" customHeight="1" x14ac:dyDescent="0.1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</row>
    <row r="559" spans="1:19" ht="12.75" customHeight="1" x14ac:dyDescent="0.1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</row>
    <row r="560" spans="1:19" ht="12.75" customHeight="1" x14ac:dyDescent="0.1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</row>
    <row r="561" spans="1:19" ht="12.75" customHeight="1" x14ac:dyDescent="0.1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</row>
    <row r="562" spans="1:19" ht="12.75" customHeight="1" x14ac:dyDescent="0.1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</row>
    <row r="563" spans="1:19" ht="12.75" customHeight="1" x14ac:dyDescent="0.1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</row>
    <row r="564" spans="1:19" ht="12.75" customHeight="1" x14ac:dyDescent="0.1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</row>
    <row r="565" spans="1:19" ht="12.75" customHeight="1" x14ac:dyDescent="0.1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</row>
    <row r="566" spans="1:19" ht="12.75" customHeight="1" x14ac:dyDescent="0.1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</row>
    <row r="567" spans="1:19" ht="12.75" customHeight="1" x14ac:dyDescent="0.1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</row>
    <row r="568" spans="1:19" ht="12.75" customHeight="1" x14ac:dyDescent="0.1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</row>
    <row r="569" spans="1:19" ht="12.75" customHeight="1" x14ac:dyDescent="0.1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</row>
    <row r="570" spans="1:19" ht="12.75" customHeight="1" x14ac:dyDescent="0.1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</row>
    <row r="571" spans="1:19" ht="12.75" customHeight="1" x14ac:dyDescent="0.1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</row>
    <row r="572" spans="1:19" ht="12.75" customHeight="1" x14ac:dyDescent="0.1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</row>
    <row r="573" spans="1:19" ht="12.75" customHeight="1" x14ac:dyDescent="0.1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</row>
    <row r="574" spans="1:19" ht="12.75" customHeight="1" x14ac:dyDescent="0.1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</row>
    <row r="575" spans="1:19" ht="12.75" customHeight="1" x14ac:dyDescent="0.1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</row>
    <row r="576" spans="1:19" ht="12.75" customHeight="1" x14ac:dyDescent="0.1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</row>
    <row r="577" spans="1:19" ht="12.75" customHeight="1" x14ac:dyDescent="0.1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</row>
    <row r="578" spans="1:19" ht="12.75" customHeight="1" x14ac:dyDescent="0.1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</row>
    <row r="579" spans="1:19" ht="12.75" customHeight="1" x14ac:dyDescent="0.1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</row>
    <row r="580" spans="1:19" ht="12.75" customHeight="1" x14ac:dyDescent="0.1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</row>
    <row r="581" spans="1:19" ht="12.75" customHeight="1" x14ac:dyDescent="0.1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</row>
    <row r="582" spans="1:19" ht="12.75" customHeight="1" x14ac:dyDescent="0.1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</row>
    <row r="583" spans="1:19" ht="12.75" customHeight="1" x14ac:dyDescent="0.1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</row>
    <row r="584" spans="1:19" ht="12.75" customHeight="1" x14ac:dyDescent="0.1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</row>
    <row r="585" spans="1:19" ht="12.75" customHeight="1" x14ac:dyDescent="0.1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</row>
    <row r="586" spans="1:19" ht="12.75" customHeight="1" x14ac:dyDescent="0.1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</row>
    <row r="587" spans="1:19" ht="12.75" customHeight="1" x14ac:dyDescent="0.1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</row>
    <row r="588" spans="1:19" ht="12.75" customHeight="1" x14ac:dyDescent="0.1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</row>
    <row r="589" spans="1:19" ht="12.75" customHeight="1" x14ac:dyDescent="0.1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</row>
    <row r="590" spans="1:19" ht="12.75" customHeight="1" x14ac:dyDescent="0.1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</row>
    <row r="591" spans="1:19" ht="12.75" customHeight="1" x14ac:dyDescent="0.1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</row>
    <row r="592" spans="1:19" ht="12.75" customHeight="1" x14ac:dyDescent="0.1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</row>
    <row r="593" spans="1:19" ht="12.75" customHeight="1" x14ac:dyDescent="0.1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</row>
    <row r="594" spans="1:19" ht="12.75" customHeight="1" x14ac:dyDescent="0.1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</row>
    <row r="595" spans="1:19" ht="12.75" customHeight="1" x14ac:dyDescent="0.1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</row>
    <row r="596" spans="1:19" ht="12.75" customHeight="1" x14ac:dyDescent="0.1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</row>
    <row r="597" spans="1:19" ht="12.75" customHeight="1" x14ac:dyDescent="0.1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</row>
    <row r="598" spans="1:19" ht="12.75" customHeight="1" x14ac:dyDescent="0.1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</row>
    <row r="599" spans="1:19" ht="12.75" customHeight="1" x14ac:dyDescent="0.1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</row>
    <row r="600" spans="1:19" ht="12.75" customHeight="1" x14ac:dyDescent="0.1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</row>
    <row r="601" spans="1:19" ht="12.75" customHeight="1" x14ac:dyDescent="0.1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</row>
    <row r="602" spans="1:19" ht="12.75" customHeight="1" x14ac:dyDescent="0.1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</row>
    <row r="603" spans="1:19" ht="12.75" customHeight="1" x14ac:dyDescent="0.1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</row>
    <row r="604" spans="1:19" ht="12.75" customHeight="1" x14ac:dyDescent="0.1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</row>
    <row r="605" spans="1:19" ht="12.75" customHeight="1" x14ac:dyDescent="0.1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</row>
    <row r="606" spans="1:19" ht="12.75" customHeight="1" x14ac:dyDescent="0.1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</row>
    <row r="607" spans="1:19" ht="12.75" customHeight="1" x14ac:dyDescent="0.1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</row>
    <row r="608" spans="1:19" ht="12.75" customHeight="1" x14ac:dyDescent="0.1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</row>
    <row r="609" spans="1:19" ht="12.75" customHeight="1" x14ac:dyDescent="0.1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</row>
    <row r="610" spans="1:19" ht="12.75" customHeight="1" x14ac:dyDescent="0.1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</row>
    <row r="611" spans="1:19" ht="12.75" customHeight="1" x14ac:dyDescent="0.1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</row>
    <row r="612" spans="1:19" ht="12.75" customHeight="1" x14ac:dyDescent="0.1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</row>
    <row r="613" spans="1:19" ht="12.75" customHeight="1" x14ac:dyDescent="0.1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</row>
    <row r="614" spans="1:19" ht="12.75" customHeight="1" x14ac:dyDescent="0.1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</row>
    <row r="615" spans="1:19" ht="12.75" customHeight="1" x14ac:dyDescent="0.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</row>
    <row r="616" spans="1:19" ht="12.75" customHeight="1" x14ac:dyDescent="0.1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</row>
    <row r="617" spans="1:19" ht="12.75" customHeight="1" x14ac:dyDescent="0.1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</row>
    <row r="618" spans="1:19" ht="12.75" customHeight="1" x14ac:dyDescent="0.1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</row>
    <row r="619" spans="1:19" ht="12.75" customHeight="1" x14ac:dyDescent="0.1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</row>
    <row r="620" spans="1:19" ht="12.75" customHeight="1" x14ac:dyDescent="0.1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</row>
    <row r="621" spans="1:19" ht="12.75" customHeight="1" x14ac:dyDescent="0.1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</row>
    <row r="622" spans="1:19" ht="12.75" customHeight="1" x14ac:dyDescent="0.1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</row>
    <row r="623" spans="1:19" ht="12.75" customHeight="1" x14ac:dyDescent="0.1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</row>
    <row r="624" spans="1:19" ht="12.75" customHeight="1" x14ac:dyDescent="0.1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</row>
    <row r="625" spans="1:19" ht="12.75" customHeight="1" x14ac:dyDescent="0.1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</row>
    <row r="626" spans="1:19" ht="12.75" customHeight="1" x14ac:dyDescent="0.1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</row>
    <row r="627" spans="1:19" ht="12.75" customHeight="1" x14ac:dyDescent="0.1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</row>
    <row r="628" spans="1:19" ht="12.75" customHeight="1" x14ac:dyDescent="0.1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</row>
    <row r="629" spans="1:19" ht="12.75" customHeight="1" x14ac:dyDescent="0.1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</row>
    <row r="630" spans="1:19" ht="12.75" customHeight="1" x14ac:dyDescent="0.1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</row>
    <row r="631" spans="1:19" ht="12.75" customHeight="1" x14ac:dyDescent="0.1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</row>
    <row r="632" spans="1:19" ht="12.75" customHeight="1" x14ac:dyDescent="0.1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</row>
    <row r="633" spans="1:19" ht="12.75" customHeight="1" x14ac:dyDescent="0.1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</row>
    <row r="634" spans="1:19" ht="12.75" customHeight="1" x14ac:dyDescent="0.1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</row>
    <row r="635" spans="1:19" ht="12.75" customHeight="1" x14ac:dyDescent="0.1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</row>
    <row r="636" spans="1:19" ht="12.75" customHeight="1" x14ac:dyDescent="0.1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</row>
    <row r="637" spans="1:19" ht="12.75" customHeight="1" x14ac:dyDescent="0.1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</row>
    <row r="638" spans="1:19" ht="12.75" customHeight="1" x14ac:dyDescent="0.1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</row>
    <row r="639" spans="1:19" ht="12.75" customHeight="1" x14ac:dyDescent="0.1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</row>
    <row r="640" spans="1:19" ht="12.75" customHeight="1" x14ac:dyDescent="0.1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</row>
    <row r="641" spans="1:19" ht="12.75" customHeight="1" x14ac:dyDescent="0.1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</row>
    <row r="642" spans="1:19" ht="12.75" customHeight="1" x14ac:dyDescent="0.1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</row>
    <row r="643" spans="1:19" ht="12.75" customHeight="1" x14ac:dyDescent="0.1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</row>
    <row r="644" spans="1:19" ht="12.75" customHeight="1" x14ac:dyDescent="0.1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</row>
    <row r="645" spans="1:19" ht="12.75" customHeight="1" x14ac:dyDescent="0.1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</row>
    <row r="646" spans="1:19" ht="12.75" customHeight="1" x14ac:dyDescent="0.1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</row>
    <row r="647" spans="1:19" ht="12.75" customHeight="1" x14ac:dyDescent="0.1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</row>
    <row r="648" spans="1:19" ht="12.75" customHeight="1" x14ac:dyDescent="0.1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</row>
    <row r="649" spans="1:19" ht="12.75" customHeight="1" x14ac:dyDescent="0.1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</row>
    <row r="650" spans="1:19" ht="12.75" customHeight="1" x14ac:dyDescent="0.1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</row>
    <row r="651" spans="1:19" ht="12.75" customHeight="1" x14ac:dyDescent="0.1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</row>
    <row r="652" spans="1:19" ht="12.75" customHeight="1" x14ac:dyDescent="0.1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</row>
    <row r="653" spans="1:19" ht="12.75" customHeight="1" x14ac:dyDescent="0.1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</row>
    <row r="654" spans="1:19" ht="12.75" customHeight="1" x14ac:dyDescent="0.1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</row>
    <row r="655" spans="1:19" ht="12.75" customHeight="1" x14ac:dyDescent="0.1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</row>
    <row r="656" spans="1:19" ht="12.75" customHeight="1" x14ac:dyDescent="0.1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</row>
    <row r="657" spans="1:19" ht="12.75" customHeight="1" x14ac:dyDescent="0.1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</row>
    <row r="658" spans="1:19" ht="12.75" customHeight="1" x14ac:dyDescent="0.1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</row>
    <row r="659" spans="1:19" ht="12.75" customHeight="1" x14ac:dyDescent="0.1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</row>
    <row r="660" spans="1:19" ht="12.75" customHeight="1" x14ac:dyDescent="0.1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</row>
    <row r="661" spans="1:19" ht="12.75" customHeight="1" x14ac:dyDescent="0.1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</row>
    <row r="662" spans="1:19" ht="12.75" customHeight="1" x14ac:dyDescent="0.1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</row>
    <row r="663" spans="1:19" ht="12.75" customHeight="1" x14ac:dyDescent="0.1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</row>
    <row r="664" spans="1:19" ht="12.75" customHeight="1" x14ac:dyDescent="0.1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</row>
    <row r="665" spans="1:19" ht="12.75" customHeight="1" x14ac:dyDescent="0.1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</row>
    <row r="666" spans="1:19" ht="12.75" customHeight="1" x14ac:dyDescent="0.1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</row>
    <row r="667" spans="1:19" ht="12.75" customHeight="1" x14ac:dyDescent="0.1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</row>
    <row r="668" spans="1:19" ht="12.75" customHeight="1" x14ac:dyDescent="0.1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</row>
    <row r="669" spans="1:19" ht="12.75" customHeight="1" x14ac:dyDescent="0.1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</row>
    <row r="670" spans="1:19" ht="12.75" customHeight="1" x14ac:dyDescent="0.1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</row>
    <row r="671" spans="1:19" ht="12.75" customHeight="1" x14ac:dyDescent="0.1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</row>
    <row r="672" spans="1:19" ht="12.75" customHeight="1" x14ac:dyDescent="0.1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</row>
    <row r="673" spans="1:19" ht="12.75" customHeight="1" x14ac:dyDescent="0.1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</row>
    <row r="674" spans="1:19" ht="12.75" customHeight="1" x14ac:dyDescent="0.1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</row>
    <row r="675" spans="1:19" ht="12.75" customHeight="1" x14ac:dyDescent="0.1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</row>
    <row r="676" spans="1:19" ht="12.75" customHeight="1" x14ac:dyDescent="0.1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</row>
    <row r="677" spans="1:19" ht="12.75" customHeight="1" x14ac:dyDescent="0.1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</row>
    <row r="678" spans="1:19" ht="12.75" customHeight="1" x14ac:dyDescent="0.1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</row>
    <row r="679" spans="1:19" ht="12.75" customHeight="1" x14ac:dyDescent="0.1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</row>
    <row r="680" spans="1:19" ht="12.75" customHeight="1" x14ac:dyDescent="0.1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</row>
    <row r="681" spans="1:19" ht="12.75" customHeight="1" x14ac:dyDescent="0.1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</row>
    <row r="682" spans="1:19" ht="12.75" customHeight="1" x14ac:dyDescent="0.1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</row>
    <row r="683" spans="1:19" ht="12.75" customHeight="1" x14ac:dyDescent="0.1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</row>
    <row r="684" spans="1:19" ht="12.75" customHeight="1" x14ac:dyDescent="0.1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</row>
    <row r="685" spans="1:19" ht="12.75" customHeight="1" x14ac:dyDescent="0.1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</row>
    <row r="686" spans="1:19" ht="12.75" customHeight="1" x14ac:dyDescent="0.1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</row>
    <row r="687" spans="1:19" ht="12.75" customHeight="1" x14ac:dyDescent="0.1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</row>
    <row r="688" spans="1:19" ht="12.75" customHeight="1" x14ac:dyDescent="0.1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</row>
    <row r="689" spans="1:19" ht="12.75" customHeight="1" x14ac:dyDescent="0.1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</row>
    <row r="690" spans="1:19" ht="12.75" customHeight="1" x14ac:dyDescent="0.1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</row>
    <row r="691" spans="1:19" ht="12.75" customHeight="1" x14ac:dyDescent="0.1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</row>
    <row r="692" spans="1:19" ht="12.75" customHeight="1" x14ac:dyDescent="0.1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</row>
    <row r="693" spans="1:19" ht="12.75" customHeight="1" x14ac:dyDescent="0.1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</row>
    <row r="694" spans="1:19" ht="12.75" customHeight="1" x14ac:dyDescent="0.1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</row>
    <row r="695" spans="1:19" ht="12.75" customHeight="1" x14ac:dyDescent="0.1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</row>
    <row r="696" spans="1:19" ht="12.75" customHeight="1" x14ac:dyDescent="0.1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</row>
    <row r="697" spans="1:19" ht="12.75" customHeight="1" x14ac:dyDescent="0.1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</row>
    <row r="698" spans="1:19" ht="12.75" customHeight="1" x14ac:dyDescent="0.1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</row>
    <row r="699" spans="1:19" ht="12.75" customHeight="1" x14ac:dyDescent="0.1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</row>
    <row r="700" spans="1:19" ht="12.75" customHeight="1" x14ac:dyDescent="0.1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</row>
    <row r="701" spans="1:19" ht="12.75" customHeight="1" x14ac:dyDescent="0.1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</row>
    <row r="702" spans="1:19" ht="12.75" customHeight="1" x14ac:dyDescent="0.1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</row>
    <row r="703" spans="1:19" ht="12.75" customHeight="1" x14ac:dyDescent="0.1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</row>
    <row r="704" spans="1:19" ht="12.75" customHeight="1" x14ac:dyDescent="0.1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</row>
    <row r="705" spans="1:19" ht="12.75" customHeight="1" x14ac:dyDescent="0.1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</row>
    <row r="706" spans="1:19" ht="12.75" customHeight="1" x14ac:dyDescent="0.1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</row>
    <row r="707" spans="1:19" ht="12.75" customHeight="1" x14ac:dyDescent="0.1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</row>
    <row r="708" spans="1:19" ht="12.75" customHeight="1" x14ac:dyDescent="0.1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</row>
    <row r="709" spans="1:19" ht="12.75" customHeight="1" x14ac:dyDescent="0.1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</row>
    <row r="710" spans="1:19" ht="12.75" customHeight="1" x14ac:dyDescent="0.1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</row>
    <row r="711" spans="1:19" ht="12.75" customHeight="1" x14ac:dyDescent="0.1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</row>
    <row r="712" spans="1:19" ht="12.75" customHeight="1" x14ac:dyDescent="0.1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</row>
    <row r="713" spans="1:19" ht="12.75" customHeight="1" x14ac:dyDescent="0.1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</row>
    <row r="714" spans="1:19" ht="12.75" customHeight="1" x14ac:dyDescent="0.1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</row>
    <row r="715" spans="1:19" ht="12.75" customHeight="1" x14ac:dyDescent="0.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</row>
    <row r="716" spans="1:19" ht="12.75" customHeight="1" x14ac:dyDescent="0.1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</row>
    <row r="717" spans="1:19" ht="12.75" customHeight="1" x14ac:dyDescent="0.1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</row>
    <row r="718" spans="1:19" ht="12.75" customHeight="1" x14ac:dyDescent="0.1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</row>
    <row r="719" spans="1:19" ht="12.75" customHeight="1" x14ac:dyDescent="0.1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</row>
    <row r="720" spans="1:19" ht="12.75" customHeight="1" x14ac:dyDescent="0.1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</row>
    <row r="721" spans="1:19" ht="12.75" customHeight="1" x14ac:dyDescent="0.1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</row>
    <row r="722" spans="1:19" ht="12.75" customHeight="1" x14ac:dyDescent="0.1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</row>
    <row r="723" spans="1:19" ht="12.75" customHeight="1" x14ac:dyDescent="0.1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</row>
    <row r="724" spans="1:19" ht="12.75" customHeight="1" x14ac:dyDescent="0.1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</row>
    <row r="725" spans="1:19" ht="12.75" customHeight="1" x14ac:dyDescent="0.1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</row>
    <row r="726" spans="1:19" ht="12.75" customHeight="1" x14ac:dyDescent="0.1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</row>
    <row r="727" spans="1:19" ht="12.75" customHeight="1" x14ac:dyDescent="0.1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</row>
    <row r="728" spans="1:19" ht="12.75" customHeight="1" x14ac:dyDescent="0.1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</row>
    <row r="729" spans="1:19" ht="12.75" customHeight="1" x14ac:dyDescent="0.1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</row>
    <row r="730" spans="1:19" ht="12.75" customHeight="1" x14ac:dyDescent="0.1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</row>
    <row r="731" spans="1:19" ht="12.75" customHeight="1" x14ac:dyDescent="0.1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</row>
    <row r="732" spans="1:19" ht="12.75" customHeight="1" x14ac:dyDescent="0.1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</row>
    <row r="733" spans="1:19" ht="12.75" customHeight="1" x14ac:dyDescent="0.1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</row>
    <row r="734" spans="1:19" ht="12.75" customHeight="1" x14ac:dyDescent="0.1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</row>
    <row r="735" spans="1:19" ht="12.75" customHeight="1" x14ac:dyDescent="0.1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</row>
    <row r="736" spans="1:19" ht="12.75" customHeight="1" x14ac:dyDescent="0.1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</row>
    <row r="737" spans="1:19" ht="12.75" customHeight="1" x14ac:dyDescent="0.1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</row>
    <row r="738" spans="1:19" ht="12.75" customHeight="1" x14ac:dyDescent="0.1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</row>
    <row r="739" spans="1:19" ht="12.75" customHeight="1" x14ac:dyDescent="0.1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</row>
    <row r="740" spans="1:19" ht="12.75" customHeight="1" x14ac:dyDescent="0.1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</row>
    <row r="741" spans="1:19" ht="12.75" customHeight="1" x14ac:dyDescent="0.1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</row>
    <row r="742" spans="1:19" ht="12.75" customHeight="1" x14ac:dyDescent="0.1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</row>
    <row r="743" spans="1:19" ht="12.75" customHeight="1" x14ac:dyDescent="0.1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</row>
    <row r="744" spans="1:19" ht="12.75" customHeight="1" x14ac:dyDescent="0.1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</row>
    <row r="745" spans="1:19" ht="12.75" customHeight="1" x14ac:dyDescent="0.1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</row>
    <row r="746" spans="1:19" ht="12.75" customHeight="1" x14ac:dyDescent="0.1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</row>
    <row r="747" spans="1:19" ht="12.75" customHeight="1" x14ac:dyDescent="0.1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</row>
    <row r="748" spans="1:19" ht="12.75" customHeight="1" x14ac:dyDescent="0.1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</row>
    <row r="749" spans="1:19" ht="12.75" customHeight="1" x14ac:dyDescent="0.1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</row>
    <row r="750" spans="1:19" ht="12.75" customHeight="1" x14ac:dyDescent="0.1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</row>
    <row r="751" spans="1:19" ht="12.75" customHeight="1" x14ac:dyDescent="0.1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</row>
    <row r="752" spans="1:19" ht="12.75" customHeight="1" x14ac:dyDescent="0.1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</row>
    <row r="753" spans="1:19" ht="12.75" customHeight="1" x14ac:dyDescent="0.1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</row>
    <row r="754" spans="1:19" ht="12.75" customHeight="1" x14ac:dyDescent="0.1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</row>
    <row r="755" spans="1:19" ht="12.75" customHeight="1" x14ac:dyDescent="0.1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</row>
    <row r="756" spans="1:19" ht="12.75" customHeight="1" x14ac:dyDescent="0.1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</row>
    <row r="757" spans="1:19" ht="12.75" customHeight="1" x14ac:dyDescent="0.1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</row>
    <row r="758" spans="1:19" ht="12.75" customHeight="1" x14ac:dyDescent="0.1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</row>
    <row r="759" spans="1:19" ht="12.75" customHeight="1" x14ac:dyDescent="0.1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</row>
    <row r="760" spans="1:19" ht="12.75" customHeight="1" x14ac:dyDescent="0.1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</row>
    <row r="761" spans="1:19" ht="12.75" customHeight="1" x14ac:dyDescent="0.1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</row>
    <row r="762" spans="1:19" ht="12.75" customHeight="1" x14ac:dyDescent="0.1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</row>
    <row r="763" spans="1:19" ht="12.75" customHeight="1" x14ac:dyDescent="0.1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</row>
    <row r="764" spans="1:19" ht="12.75" customHeight="1" x14ac:dyDescent="0.1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</row>
    <row r="765" spans="1:19" ht="12.75" customHeight="1" x14ac:dyDescent="0.1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</row>
    <row r="766" spans="1:19" ht="12.75" customHeight="1" x14ac:dyDescent="0.1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</row>
    <row r="767" spans="1:19" ht="12.75" customHeight="1" x14ac:dyDescent="0.1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</row>
    <row r="768" spans="1:19" ht="12.75" customHeight="1" x14ac:dyDescent="0.1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</row>
    <row r="769" spans="1:19" ht="12.75" customHeight="1" x14ac:dyDescent="0.1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</row>
    <row r="770" spans="1:19" ht="12.75" customHeight="1" x14ac:dyDescent="0.1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</row>
    <row r="771" spans="1:19" ht="12.75" customHeight="1" x14ac:dyDescent="0.1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</row>
    <row r="772" spans="1:19" ht="12.75" customHeight="1" x14ac:dyDescent="0.1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</row>
    <row r="773" spans="1:19" ht="12.75" customHeight="1" x14ac:dyDescent="0.1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</row>
    <row r="774" spans="1:19" ht="12.75" customHeight="1" x14ac:dyDescent="0.1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</row>
    <row r="775" spans="1:19" ht="12.75" customHeight="1" x14ac:dyDescent="0.1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</row>
    <row r="776" spans="1:19" ht="12.75" customHeight="1" x14ac:dyDescent="0.1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</row>
    <row r="777" spans="1:19" ht="12.75" customHeight="1" x14ac:dyDescent="0.1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</row>
    <row r="778" spans="1:19" ht="12.75" customHeight="1" x14ac:dyDescent="0.1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</row>
    <row r="779" spans="1:19" ht="12.75" customHeight="1" x14ac:dyDescent="0.1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</row>
    <row r="780" spans="1:19" ht="12.75" customHeight="1" x14ac:dyDescent="0.1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</row>
    <row r="781" spans="1:19" ht="12.75" customHeight="1" x14ac:dyDescent="0.1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</row>
    <row r="782" spans="1:19" ht="12.75" customHeight="1" x14ac:dyDescent="0.1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</row>
    <row r="783" spans="1:19" ht="12.75" customHeight="1" x14ac:dyDescent="0.1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</row>
    <row r="784" spans="1:19" ht="12.75" customHeight="1" x14ac:dyDescent="0.1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</row>
    <row r="785" spans="1:19" ht="12.75" customHeight="1" x14ac:dyDescent="0.1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</row>
    <row r="786" spans="1:19" ht="12.75" customHeight="1" x14ac:dyDescent="0.1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</row>
    <row r="787" spans="1:19" ht="12.75" customHeight="1" x14ac:dyDescent="0.1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</row>
    <row r="788" spans="1:19" ht="12.75" customHeight="1" x14ac:dyDescent="0.1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</row>
    <row r="789" spans="1:19" ht="12.75" customHeight="1" x14ac:dyDescent="0.1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</row>
    <row r="790" spans="1:19" ht="12.75" customHeight="1" x14ac:dyDescent="0.1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</row>
    <row r="791" spans="1:19" ht="12.75" customHeight="1" x14ac:dyDescent="0.1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</row>
    <row r="792" spans="1:19" ht="12.75" customHeight="1" x14ac:dyDescent="0.1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</row>
    <row r="793" spans="1:19" ht="12.75" customHeight="1" x14ac:dyDescent="0.1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</row>
    <row r="794" spans="1:19" ht="12.75" customHeight="1" x14ac:dyDescent="0.1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</row>
    <row r="795" spans="1:19" ht="12.75" customHeight="1" x14ac:dyDescent="0.1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</row>
    <row r="796" spans="1:19" ht="12.75" customHeight="1" x14ac:dyDescent="0.1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</row>
    <row r="797" spans="1:19" ht="12.75" customHeight="1" x14ac:dyDescent="0.1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</row>
    <row r="798" spans="1:19" ht="12.75" customHeight="1" x14ac:dyDescent="0.1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</row>
    <row r="799" spans="1:19" ht="12.75" customHeight="1" x14ac:dyDescent="0.1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</row>
    <row r="800" spans="1:19" ht="12.75" customHeight="1" x14ac:dyDescent="0.1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</row>
    <row r="801" spans="1:19" ht="12.75" customHeight="1" x14ac:dyDescent="0.1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</row>
    <row r="802" spans="1:19" ht="12.75" customHeight="1" x14ac:dyDescent="0.1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</row>
    <row r="803" spans="1:19" ht="12.75" customHeight="1" x14ac:dyDescent="0.1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</row>
    <row r="804" spans="1:19" ht="12.75" customHeight="1" x14ac:dyDescent="0.1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</row>
    <row r="805" spans="1:19" ht="12.75" customHeight="1" x14ac:dyDescent="0.1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</row>
    <row r="806" spans="1:19" ht="12.75" customHeight="1" x14ac:dyDescent="0.1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</row>
    <row r="807" spans="1:19" ht="12.75" customHeight="1" x14ac:dyDescent="0.1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</row>
    <row r="808" spans="1:19" ht="12.75" customHeight="1" x14ac:dyDescent="0.1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</row>
    <row r="809" spans="1:19" ht="12.75" customHeight="1" x14ac:dyDescent="0.1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</row>
    <row r="810" spans="1:19" ht="12.75" customHeight="1" x14ac:dyDescent="0.1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</row>
    <row r="811" spans="1:19" ht="12.75" customHeight="1" x14ac:dyDescent="0.1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</row>
    <row r="812" spans="1:19" ht="12.75" customHeight="1" x14ac:dyDescent="0.1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</row>
    <row r="813" spans="1:19" ht="12.75" customHeight="1" x14ac:dyDescent="0.1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</row>
    <row r="814" spans="1:19" ht="12.75" customHeight="1" x14ac:dyDescent="0.1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</row>
    <row r="815" spans="1:19" ht="12.75" customHeight="1" x14ac:dyDescent="0.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</row>
    <row r="816" spans="1:19" ht="12.75" customHeight="1" x14ac:dyDescent="0.1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</row>
    <row r="817" spans="1:19" ht="12.75" customHeight="1" x14ac:dyDescent="0.1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</row>
    <row r="818" spans="1:19" ht="12.75" customHeight="1" x14ac:dyDescent="0.1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</row>
    <row r="819" spans="1:19" ht="12.75" customHeight="1" x14ac:dyDescent="0.1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</row>
    <row r="820" spans="1:19" ht="12.75" customHeight="1" x14ac:dyDescent="0.1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</row>
    <row r="821" spans="1:19" ht="12.75" customHeight="1" x14ac:dyDescent="0.1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</row>
    <row r="822" spans="1:19" ht="12.75" customHeight="1" x14ac:dyDescent="0.1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</row>
    <row r="823" spans="1:19" ht="12.75" customHeight="1" x14ac:dyDescent="0.1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</row>
    <row r="824" spans="1:19" ht="12.75" customHeight="1" x14ac:dyDescent="0.1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</row>
    <row r="825" spans="1:19" ht="12.75" customHeight="1" x14ac:dyDescent="0.1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</row>
    <row r="826" spans="1:19" ht="12.75" customHeight="1" x14ac:dyDescent="0.1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</row>
    <row r="827" spans="1:19" ht="12.75" customHeight="1" x14ac:dyDescent="0.1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</row>
    <row r="828" spans="1:19" ht="12.75" customHeight="1" x14ac:dyDescent="0.1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</row>
    <row r="829" spans="1:19" ht="12.75" customHeight="1" x14ac:dyDescent="0.1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</row>
    <row r="830" spans="1:19" ht="12.75" customHeight="1" x14ac:dyDescent="0.1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</row>
    <row r="831" spans="1:19" ht="12.75" customHeight="1" x14ac:dyDescent="0.1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</row>
    <row r="832" spans="1:19" ht="12.75" customHeight="1" x14ac:dyDescent="0.1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</row>
    <row r="833" spans="1:19" ht="12.75" customHeight="1" x14ac:dyDescent="0.1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</row>
    <row r="834" spans="1:19" ht="12.75" customHeight="1" x14ac:dyDescent="0.1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</row>
    <row r="835" spans="1:19" ht="12.75" customHeight="1" x14ac:dyDescent="0.1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</row>
    <row r="836" spans="1:19" ht="12.75" customHeight="1" x14ac:dyDescent="0.1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</row>
    <row r="837" spans="1:19" ht="12.75" customHeight="1" x14ac:dyDescent="0.1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</row>
    <row r="838" spans="1:19" ht="12.75" customHeight="1" x14ac:dyDescent="0.1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</row>
    <row r="839" spans="1:19" ht="12.75" customHeight="1" x14ac:dyDescent="0.1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</row>
    <row r="840" spans="1:19" ht="12.75" customHeight="1" x14ac:dyDescent="0.1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</row>
    <row r="841" spans="1:19" ht="12.75" customHeight="1" x14ac:dyDescent="0.1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</row>
    <row r="842" spans="1:19" ht="12.75" customHeight="1" x14ac:dyDescent="0.1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</row>
    <row r="843" spans="1:19" ht="12.75" customHeight="1" x14ac:dyDescent="0.1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</row>
    <row r="844" spans="1:19" ht="12.75" customHeight="1" x14ac:dyDescent="0.1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</row>
    <row r="845" spans="1:19" ht="12.75" customHeight="1" x14ac:dyDescent="0.1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</row>
    <row r="846" spans="1:19" ht="12.75" customHeight="1" x14ac:dyDescent="0.1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</row>
    <row r="847" spans="1:19" ht="12.75" customHeight="1" x14ac:dyDescent="0.1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</row>
    <row r="848" spans="1:19" ht="12.75" customHeight="1" x14ac:dyDescent="0.1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</row>
    <row r="849" spans="1:19" ht="12.75" customHeight="1" x14ac:dyDescent="0.1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</row>
    <row r="850" spans="1:19" ht="12.75" customHeight="1" x14ac:dyDescent="0.1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</row>
    <row r="851" spans="1:19" ht="12.75" customHeight="1" x14ac:dyDescent="0.1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</row>
    <row r="852" spans="1:19" ht="12.75" customHeight="1" x14ac:dyDescent="0.1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</row>
    <row r="853" spans="1:19" ht="12.75" customHeight="1" x14ac:dyDescent="0.1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</row>
    <row r="854" spans="1:19" ht="12.75" customHeight="1" x14ac:dyDescent="0.1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</row>
    <row r="855" spans="1:19" ht="12.75" customHeight="1" x14ac:dyDescent="0.1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</row>
    <row r="856" spans="1:19" ht="12.75" customHeight="1" x14ac:dyDescent="0.1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</row>
    <row r="857" spans="1:19" ht="12.75" customHeight="1" x14ac:dyDescent="0.1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</row>
    <row r="858" spans="1:19" ht="12.75" customHeight="1" x14ac:dyDescent="0.1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</row>
    <row r="859" spans="1:19" ht="12.75" customHeight="1" x14ac:dyDescent="0.1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</row>
    <row r="860" spans="1:19" ht="12.75" customHeight="1" x14ac:dyDescent="0.1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</row>
    <row r="861" spans="1:19" ht="12.75" customHeight="1" x14ac:dyDescent="0.1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</row>
    <row r="862" spans="1:19" ht="12.75" customHeight="1" x14ac:dyDescent="0.1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</row>
    <row r="863" spans="1:19" ht="12.75" customHeight="1" x14ac:dyDescent="0.1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</row>
    <row r="864" spans="1:19" ht="12.75" customHeight="1" x14ac:dyDescent="0.1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</row>
    <row r="865" spans="1:19" ht="12.75" customHeight="1" x14ac:dyDescent="0.1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</row>
    <row r="866" spans="1:19" ht="12.75" customHeight="1" x14ac:dyDescent="0.1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</row>
    <row r="867" spans="1:19" ht="12.75" customHeight="1" x14ac:dyDescent="0.1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</row>
    <row r="868" spans="1:19" ht="12.75" customHeight="1" x14ac:dyDescent="0.1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</row>
    <row r="869" spans="1:19" ht="12.75" customHeight="1" x14ac:dyDescent="0.1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</row>
    <row r="870" spans="1:19" ht="12.75" customHeight="1" x14ac:dyDescent="0.1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</row>
    <row r="871" spans="1:19" ht="12.75" customHeight="1" x14ac:dyDescent="0.1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</row>
    <row r="872" spans="1:19" ht="12.75" customHeight="1" x14ac:dyDescent="0.1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</row>
    <row r="873" spans="1:19" ht="12.75" customHeight="1" x14ac:dyDescent="0.1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</row>
    <row r="874" spans="1:19" ht="12.75" customHeight="1" x14ac:dyDescent="0.1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</row>
    <row r="875" spans="1:19" ht="12.75" customHeight="1" x14ac:dyDescent="0.1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</row>
    <row r="876" spans="1:19" ht="12.75" customHeight="1" x14ac:dyDescent="0.1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</row>
    <row r="877" spans="1:19" ht="12.75" customHeight="1" x14ac:dyDescent="0.1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</row>
    <row r="878" spans="1:19" ht="12.75" customHeight="1" x14ac:dyDescent="0.1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</row>
    <row r="879" spans="1:19" ht="12.75" customHeight="1" x14ac:dyDescent="0.1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</row>
    <row r="880" spans="1:19" ht="12.75" customHeight="1" x14ac:dyDescent="0.1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</row>
    <row r="881" spans="1:19" ht="12.75" customHeight="1" x14ac:dyDescent="0.1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</row>
    <row r="882" spans="1:19" ht="12.75" customHeight="1" x14ac:dyDescent="0.1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</row>
    <row r="883" spans="1:19" ht="12.75" customHeight="1" x14ac:dyDescent="0.1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</row>
    <row r="884" spans="1:19" ht="12.75" customHeight="1" x14ac:dyDescent="0.1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</row>
    <row r="885" spans="1:19" ht="12.75" customHeight="1" x14ac:dyDescent="0.1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</row>
    <row r="886" spans="1:19" ht="12.75" customHeight="1" x14ac:dyDescent="0.1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</row>
    <row r="887" spans="1:19" ht="12.75" customHeight="1" x14ac:dyDescent="0.1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</row>
    <row r="888" spans="1:19" ht="12.75" customHeight="1" x14ac:dyDescent="0.1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</row>
    <row r="889" spans="1:19" ht="12.75" customHeight="1" x14ac:dyDescent="0.1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</row>
    <row r="890" spans="1:19" ht="12.75" customHeight="1" x14ac:dyDescent="0.1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</row>
    <row r="891" spans="1:19" ht="12.75" customHeight="1" x14ac:dyDescent="0.1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</row>
    <row r="892" spans="1:19" ht="12.75" customHeight="1" x14ac:dyDescent="0.1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</row>
    <row r="893" spans="1:19" ht="12.75" customHeight="1" x14ac:dyDescent="0.1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</row>
    <row r="894" spans="1:19" ht="12.75" customHeight="1" x14ac:dyDescent="0.1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</row>
    <row r="895" spans="1:19" ht="12.75" customHeight="1" x14ac:dyDescent="0.1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</row>
    <row r="896" spans="1:19" ht="12.75" customHeight="1" x14ac:dyDescent="0.1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</row>
    <row r="897" spans="1:19" ht="12.75" customHeight="1" x14ac:dyDescent="0.1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</row>
    <row r="898" spans="1:19" ht="12.75" customHeight="1" x14ac:dyDescent="0.1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</row>
    <row r="899" spans="1:19" ht="12.75" customHeight="1" x14ac:dyDescent="0.1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</row>
    <row r="900" spans="1:19" ht="12.75" customHeight="1" x14ac:dyDescent="0.1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</row>
    <row r="901" spans="1:19" ht="12.75" customHeight="1" x14ac:dyDescent="0.1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</row>
    <row r="902" spans="1:19" ht="12.75" customHeight="1" x14ac:dyDescent="0.1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</row>
    <row r="903" spans="1:19" ht="12.75" customHeight="1" x14ac:dyDescent="0.1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</row>
    <row r="904" spans="1:19" ht="12.75" customHeight="1" x14ac:dyDescent="0.1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</row>
    <row r="905" spans="1:19" ht="12.75" customHeight="1" x14ac:dyDescent="0.1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</row>
    <row r="906" spans="1:19" ht="12.75" customHeight="1" x14ac:dyDescent="0.1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</row>
    <row r="907" spans="1:19" ht="12.75" customHeight="1" x14ac:dyDescent="0.1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</row>
    <row r="908" spans="1:19" ht="12.75" customHeight="1" x14ac:dyDescent="0.1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</row>
    <row r="909" spans="1:19" ht="12.75" customHeight="1" x14ac:dyDescent="0.1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</row>
    <row r="910" spans="1:19" ht="12.75" customHeight="1" x14ac:dyDescent="0.1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</row>
    <row r="911" spans="1:19" ht="12.75" customHeight="1" x14ac:dyDescent="0.1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</row>
    <row r="912" spans="1:19" ht="12.75" customHeight="1" x14ac:dyDescent="0.1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</row>
    <row r="913" spans="1:19" ht="12.75" customHeight="1" x14ac:dyDescent="0.1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</row>
    <row r="914" spans="1:19" ht="12.75" customHeight="1" x14ac:dyDescent="0.1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</row>
    <row r="915" spans="1:19" ht="12.75" customHeight="1" x14ac:dyDescent="0.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</row>
    <row r="916" spans="1:19" ht="12.75" customHeight="1" x14ac:dyDescent="0.1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</row>
    <row r="917" spans="1:19" ht="12.75" customHeight="1" x14ac:dyDescent="0.1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</row>
    <row r="918" spans="1:19" ht="12.75" customHeight="1" x14ac:dyDescent="0.1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</row>
    <row r="919" spans="1:19" ht="12.75" customHeight="1" x14ac:dyDescent="0.1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</row>
    <row r="920" spans="1:19" ht="12.75" customHeight="1" x14ac:dyDescent="0.1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</row>
    <row r="921" spans="1:19" ht="12.75" customHeight="1" x14ac:dyDescent="0.1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</row>
    <row r="922" spans="1:19" ht="12.75" customHeight="1" x14ac:dyDescent="0.1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</row>
    <row r="923" spans="1:19" ht="12.75" customHeight="1" x14ac:dyDescent="0.1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</row>
    <row r="924" spans="1:19" ht="12.75" customHeight="1" x14ac:dyDescent="0.1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</row>
    <row r="925" spans="1:19" ht="12.75" customHeight="1" x14ac:dyDescent="0.1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</row>
    <row r="926" spans="1:19" ht="12.75" customHeight="1" x14ac:dyDescent="0.1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</row>
    <row r="927" spans="1:19" ht="12.75" customHeight="1" x14ac:dyDescent="0.1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</row>
    <row r="928" spans="1:19" ht="12.75" customHeight="1" x14ac:dyDescent="0.1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</row>
    <row r="929" spans="1:19" ht="12.75" customHeight="1" x14ac:dyDescent="0.1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</row>
    <row r="930" spans="1:19" ht="12.75" customHeight="1" x14ac:dyDescent="0.1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</row>
    <row r="931" spans="1:19" ht="12.75" customHeight="1" x14ac:dyDescent="0.1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</row>
    <row r="932" spans="1:19" ht="12.75" customHeight="1" x14ac:dyDescent="0.1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</row>
    <row r="933" spans="1:19" ht="12.75" customHeight="1" x14ac:dyDescent="0.1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</row>
    <row r="934" spans="1:19" ht="12.75" customHeight="1" x14ac:dyDescent="0.1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</row>
    <row r="935" spans="1:19" ht="12.75" customHeight="1" x14ac:dyDescent="0.1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</row>
    <row r="936" spans="1:19" ht="12.75" customHeight="1" x14ac:dyDescent="0.1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</row>
    <row r="937" spans="1:19" ht="12.75" customHeight="1" x14ac:dyDescent="0.1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</row>
    <row r="938" spans="1:19" ht="12.75" customHeight="1" x14ac:dyDescent="0.1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</row>
    <row r="939" spans="1:19" ht="12.75" customHeight="1" x14ac:dyDescent="0.1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</row>
    <row r="940" spans="1:19" ht="12.75" customHeight="1" x14ac:dyDescent="0.1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</row>
    <row r="941" spans="1:19" ht="12.75" customHeight="1" x14ac:dyDescent="0.1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</row>
    <row r="942" spans="1:19" ht="12.75" customHeight="1" x14ac:dyDescent="0.1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</row>
    <row r="943" spans="1:19" ht="12.75" customHeight="1" x14ac:dyDescent="0.1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</row>
    <row r="944" spans="1:19" ht="12.75" customHeight="1" x14ac:dyDescent="0.1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</row>
    <row r="945" spans="1:19" ht="12.75" customHeight="1" x14ac:dyDescent="0.1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</row>
    <row r="946" spans="1:19" ht="12.75" customHeight="1" x14ac:dyDescent="0.1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</row>
    <row r="947" spans="1:19" ht="12.75" customHeight="1" x14ac:dyDescent="0.1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</row>
    <row r="948" spans="1:19" ht="12.75" customHeight="1" x14ac:dyDescent="0.1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</row>
    <row r="949" spans="1:19" ht="12.75" customHeight="1" x14ac:dyDescent="0.1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</row>
    <row r="950" spans="1:19" ht="12.75" customHeight="1" x14ac:dyDescent="0.1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</row>
    <row r="951" spans="1:19" ht="12.75" customHeight="1" x14ac:dyDescent="0.1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</row>
    <row r="952" spans="1:19" ht="12.75" customHeight="1" x14ac:dyDescent="0.1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</row>
    <row r="953" spans="1:19" ht="12.75" customHeight="1" x14ac:dyDescent="0.1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</row>
    <row r="954" spans="1:19" ht="12.75" customHeight="1" x14ac:dyDescent="0.1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</row>
    <row r="955" spans="1:19" ht="12.75" customHeight="1" x14ac:dyDescent="0.1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</row>
    <row r="956" spans="1:19" ht="12.75" customHeight="1" x14ac:dyDescent="0.1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</row>
    <row r="957" spans="1:19" ht="12.75" customHeight="1" x14ac:dyDescent="0.1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</row>
    <row r="958" spans="1:19" ht="12.75" customHeight="1" x14ac:dyDescent="0.1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</row>
    <row r="959" spans="1:19" ht="12.75" customHeight="1" x14ac:dyDescent="0.1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</row>
    <row r="960" spans="1:19" ht="12.75" customHeight="1" x14ac:dyDescent="0.1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</row>
    <row r="961" spans="1:19" ht="12.75" customHeight="1" x14ac:dyDescent="0.1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</row>
    <row r="962" spans="1:19" ht="12.75" customHeight="1" x14ac:dyDescent="0.1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</row>
    <row r="963" spans="1:19" ht="12.75" customHeight="1" x14ac:dyDescent="0.1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</row>
    <row r="964" spans="1:19" ht="12.75" customHeight="1" x14ac:dyDescent="0.1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</row>
    <row r="965" spans="1:19" ht="12.75" customHeight="1" x14ac:dyDescent="0.1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</row>
    <row r="966" spans="1:19" ht="12.75" customHeight="1" x14ac:dyDescent="0.1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</row>
    <row r="967" spans="1:19" ht="12.75" customHeight="1" x14ac:dyDescent="0.1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</row>
    <row r="968" spans="1:19" ht="12.75" customHeight="1" x14ac:dyDescent="0.1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</row>
    <row r="969" spans="1:19" ht="12.75" customHeight="1" x14ac:dyDescent="0.1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</row>
    <row r="970" spans="1:19" ht="12.75" customHeight="1" x14ac:dyDescent="0.1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</row>
    <row r="971" spans="1:19" ht="12.75" customHeight="1" x14ac:dyDescent="0.1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</row>
    <row r="972" spans="1:19" ht="12.75" customHeight="1" x14ac:dyDescent="0.1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</row>
    <row r="973" spans="1:19" ht="12.75" customHeight="1" x14ac:dyDescent="0.1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</row>
    <row r="974" spans="1:19" ht="12.75" customHeight="1" x14ac:dyDescent="0.1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</row>
    <row r="975" spans="1:19" ht="12.75" customHeight="1" x14ac:dyDescent="0.1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</row>
    <row r="976" spans="1:19" ht="12.75" customHeight="1" x14ac:dyDescent="0.1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</row>
    <row r="977" spans="1:19" ht="12.75" customHeight="1" x14ac:dyDescent="0.1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</row>
    <row r="978" spans="1:19" ht="12.75" customHeight="1" x14ac:dyDescent="0.1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</row>
    <row r="979" spans="1:19" ht="12.75" customHeight="1" x14ac:dyDescent="0.1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</row>
    <row r="980" spans="1:19" ht="12.75" customHeight="1" x14ac:dyDescent="0.1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</row>
    <row r="981" spans="1:19" ht="12.75" customHeight="1" x14ac:dyDescent="0.1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</row>
    <row r="982" spans="1:19" ht="12.75" customHeight="1" x14ac:dyDescent="0.1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</row>
    <row r="983" spans="1:19" ht="12.75" customHeight="1" x14ac:dyDescent="0.1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</row>
    <row r="984" spans="1:19" ht="12.75" customHeight="1" x14ac:dyDescent="0.1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</row>
    <row r="985" spans="1:19" ht="12.75" customHeight="1" x14ac:dyDescent="0.1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</row>
    <row r="986" spans="1:19" ht="12.75" customHeight="1" x14ac:dyDescent="0.1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</row>
    <row r="987" spans="1:19" ht="12.75" customHeight="1" x14ac:dyDescent="0.1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</row>
    <row r="988" spans="1:19" ht="12.75" customHeight="1" x14ac:dyDescent="0.1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</row>
    <row r="989" spans="1:19" ht="12.75" customHeight="1" x14ac:dyDescent="0.1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</row>
    <row r="990" spans="1:19" ht="12.75" customHeight="1" x14ac:dyDescent="0.1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</row>
    <row r="991" spans="1:19" ht="12.75" customHeight="1" x14ac:dyDescent="0.1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</row>
    <row r="992" spans="1:19" ht="12.75" customHeight="1" x14ac:dyDescent="0.1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</row>
    <row r="993" spans="1:19" ht="12.75" customHeight="1" x14ac:dyDescent="0.1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</row>
    <row r="994" spans="1:19" ht="12.75" customHeight="1" x14ac:dyDescent="0.1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</row>
    <row r="995" spans="1:19" ht="12.75" customHeight="1" x14ac:dyDescent="0.1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</row>
    <row r="996" spans="1:19" ht="12.75" customHeight="1" x14ac:dyDescent="0.1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</row>
    <row r="997" spans="1:19" ht="12.75" customHeight="1" x14ac:dyDescent="0.1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</row>
    <row r="998" spans="1:19" ht="12.75" customHeight="1" x14ac:dyDescent="0.1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</row>
  </sheetData>
  <mergeCells count="2">
    <mergeCell ref="D2:E2"/>
    <mergeCell ref="D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" customWidth="1"/>
    <col min="2" max="2" width="6.83203125" customWidth="1"/>
    <col min="3" max="3" width="8" customWidth="1"/>
    <col min="4" max="5" width="7.6640625" customWidth="1"/>
    <col min="6" max="6" width="28.33203125" customWidth="1"/>
    <col min="11" max="11" width="21.5" customWidth="1"/>
  </cols>
  <sheetData>
    <row r="1" spans="1:2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28" ht="15.75" customHeight="1" x14ac:dyDescent="0.15">
      <c r="A2" s="1" t="s">
        <v>7</v>
      </c>
      <c r="B2" s="1">
        <v>504</v>
      </c>
      <c r="C2" s="1">
        <v>515</v>
      </c>
      <c r="D2" s="1" t="s">
        <v>8</v>
      </c>
      <c r="E2" s="1" t="s">
        <v>9</v>
      </c>
      <c r="F2" s="1" t="s">
        <v>53</v>
      </c>
      <c r="G2" s="4" t="s">
        <v>54</v>
      </c>
    </row>
    <row r="3" spans="1:28" ht="15.75" customHeight="1" x14ac:dyDescent="0.15">
      <c r="A3" s="1" t="s">
        <v>55</v>
      </c>
      <c r="B3" s="1">
        <v>454</v>
      </c>
      <c r="C3" s="1">
        <v>528</v>
      </c>
      <c r="D3" s="1" t="s">
        <v>56</v>
      </c>
      <c r="E3" s="1" t="s">
        <v>9</v>
      </c>
      <c r="F3" s="2" t="s">
        <v>57</v>
      </c>
      <c r="G3" s="4" t="s">
        <v>58</v>
      </c>
    </row>
    <row r="4" spans="1:28" ht="15.75" customHeight="1" x14ac:dyDescent="0.15">
      <c r="A4" s="1" t="s">
        <v>59</v>
      </c>
      <c r="B4" s="1">
        <v>457</v>
      </c>
      <c r="D4" s="1" t="s">
        <v>56</v>
      </c>
      <c r="E4" s="1" t="s">
        <v>9</v>
      </c>
      <c r="F4" s="2" t="s">
        <v>60</v>
      </c>
      <c r="G4" s="4" t="s">
        <v>61</v>
      </c>
    </row>
    <row r="5" spans="1:28" ht="15.75" customHeight="1" x14ac:dyDescent="0.15">
      <c r="A5" s="1" t="s">
        <v>62</v>
      </c>
      <c r="B5" s="1">
        <v>534</v>
      </c>
      <c r="C5" s="1">
        <v>542</v>
      </c>
      <c r="D5" s="1" t="s">
        <v>63</v>
      </c>
      <c r="E5" s="1" t="s">
        <v>9</v>
      </c>
      <c r="F5" s="2" t="s">
        <v>64</v>
      </c>
      <c r="G5" s="4" t="s">
        <v>65</v>
      </c>
    </row>
    <row r="6" spans="1:28" ht="15.75" customHeight="1" x14ac:dyDescent="0.15">
      <c r="A6" s="5"/>
      <c r="B6" s="6">
        <v>538</v>
      </c>
      <c r="C6" s="5"/>
      <c r="D6" s="6" t="s">
        <v>63</v>
      </c>
      <c r="E6" s="6" t="s">
        <v>9</v>
      </c>
      <c r="F6" s="7" t="s">
        <v>66</v>
      </c>
      <c r="G6" s="8" t="s">
        <v>67</v>
      </c>
      <c r="H6" s="5"/>
      <c r="I6" s="5"/>
      <c r="J6" s="5"/>
      <c r="K6" s="5"/>
      <c r="L6" s="6" t="s">
        <v>68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15.75" customHeight="1" x14ac:dyDescent="0.15">
      <c r="A7" s="1" t="s">
        <v>69</v>
      </c>
      <c r="B7" s="1">
        <v>498</v>
      </c>
      <c r="D7" s="1" t="s">
        <v>8</v>
      </c>
      <c r="E7" s="1" t="s">
        <v>70</v>
      </c>
      <c r="F7" s="1" t="s">
        <v>71</v>
      </c>
      <c r="G7" s="4" t="s">
        <v>72</v>
      </c>
    </row>
    <row r="8" spans="1:28" ht="15.75" customHeight="1" x14ac:dyDescent="0.15">
      <c r="A8" s="1" t="s">
        <v>73</v>
      </c>
      <c r="B8" s="1">
        <v>515</v>
      </c>
      <c r="C8" s="1">
        <v>504</v>
      </c>
      <c r="D8" s="1" t="s">
        <v>8</v>
      </c>
      <c r="E8" s="1" t="s">
        <v>70</v>
      </c>
      <c r="F8" s="1" t="s">
        <v>74</v>
      </c>
      <c r="G8" s="4" t="s">
        <v>75</v>
      </c>
    </row>
    <row r="9" spans="1:28" ht="15.75" customHeight="1" x14ac:dyDescent="0.15">
      <c r="A9" s="1" t="s">
        <v>76</v>
      </c>
      <c r="B9" s="1">
        <v>528</v>
      </c>
      <c r="C9" s="1">
        <v>454</v>
      </c>
      <c r="D9" s="1" t="s">
        <v>56</v>
      </c>
      <c r="E9" s="1" t="s">
        <v>70</v>
      </c>
      <c r="F9" s="2" t="s">
        <v>77</v>
      </c>
      <c r="G9" s="4" t="s">
        <v>78</v>
      </c>
    </row>
    <row r="10" spans="1:28" ht="15.75" customHeight="1" x14ac:dyDescent="0.15">
      <c r="A10" s="1" t="s">
        <v>79</v>
      </c>
      <c r="B10" s="1">
        <v>524</v>
      </c>
      <c r="D10" s="1" t="s">
        <v>56</v>
      </c>
      <c r="E10" s="1" t="s">
        <v>70</v>
      </c>
      <c r="F10" s="2" t="s">
        <v>80</v>
      </c>
      <c r="G10" s="4" t="s">
        <v>81</v>
      </c>
    </row>
    <row r="11" spans="1:28" ht="15.75" customHeight="1" x14ac:dyDescent="0.15">
      <c r="A11" s="1" t="s">
        <v>82</v>
      </c>
      <c r="B11" s="1">
        <v>478</v>
      </c>
      <c r="D11" s="1" t="s">
        <v>56</v>
      </c>
      <c r="E11" s="1" t="s">
        <v>70</v>
      </c>
      <c r="F11" s="2" t="s">
        <v>83</v>
      </c>
      <c r="G11" s="4" t="s">
        <v>84</v>
      </c>
    </row>
    <row r="12" spans="1:28" ht="15.75" customHeight="1" x14ac:dyDescent="0.15">
      <c r="A12" s="1" t="s">
        <v>85</v>
      </c>
      <c r="B12" s="1">
        <v>542</v>
      </c>
      <c r="C12" s="1">
        <v>534</v>
      </c>
      <c r="D12" s="1" t="s">
        <v>63</v>
      </c>
      <c r="E12" s="1" t="s">
        <v>70</v>
      </c>
      <c r="F12" s="2" t="s">
        <v>86</v>
      </c>
      <c r="G12" s="4" t="s">
        <v>87</v>
      </c>
    </row>
    <row r="13" spans="1:28" ht="15.75" customHeight="1" x14ac:dyDescent="0.15">
      <c r="A13" s="1" t="s">
        <v>88</v>
      </c>
      <c r="B13" s="1">
        <v>544</v>
      </c>
      <c r="D13" s="1" t="s">
        <v>63</v>
      </c>
      <c r="E13" s="1" t="s">
        <v>70</v>
      </c>
      <c r="F13" s="2" t="s">
        <v>89</v>
      </c>
      <c r="G13" s="4" t="s">
        <v>90</v>
      </c>
    </row>
    <row r="14" spans="1:28" ht="15.75" customHeight="1" x14ac:dyDescent="0.15">
      <c r="A14" s="1" t="s">
        <v>91</v>
      </c>
      <c r="B14" s="1">
        <v>545</v>
      </c>
      <c r="D14" s="1" t="s">
        <v>63</v>
      </c>
      <c r="E14" s="1" t="s">
        <v>70</v>
      </c>
      <c r="F14" s="2" t="s">
        <v>92</v>
      </c>
      <c r="G14" s="4" t="s">
        <v>93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</hyperlinks>
  <pageMargins left="0.7" right="0.7" top="0.75" bottom="0.75" header="0.3" footer="0.3"/>
  <drawing r:id="rId14"/>
  <legacy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10</v>
      </c>
      <c r="B1" s="2" t="s">
        <v>12</v>
      </c>
      <c r="C1" s="2" t="s">
        <v>13</v>
      </c>
      <c r="D1" s="2" t="s">
        <v>14</v>
      </c>
      <c r="E1" s="1" t="s">
        <v>15</v>
      </c>
      <c r="F1" s="2" t="s">
        <v>16</v>
      </c>
    </row>
    <row r="2" spans="1:6" ht="15.75" customHeight="1" x14ac:dyDescent="0.15">
      <c r="A2" s="2">
        <v>2</v>
      </c>
      <c r="B2" s="2">
        <v>504</v>
      </c>
      <c r="C2" s="2">
        <v>0</v>
      </c>
      <c r="D2" s="2">
        <v>1490709885</v>
      </c>
      <c r="E2" s="1">
        <v>10</v>
      </c>
      <c r="F2" s="2">
        <v>0</v>
      </c>
    </row>
    <row r="3" spans="1:6" ht="15.75" customHeight="1" x14ac:dyDescent="0.15">
      <c r="A3" s="2">
        <v>10187</v>
      </c>
      <c r="B3" s="2">
        <v>504</v>
      </c>
      <c r="C3" s="2">
        <v>1490724656</v>
      </c>
      <c r="D3" s="2">
        <v>1490725233</v>
      </c>
      <c r="E3" s="1">
        <v>10</v>
      </c>
      <c r="F3" s="2">
        <v>573</v>
      </c>
    </row>
    <row r="4" spans="1:6" ht="15.75" customHeight="1" x14ac:dyDescent="0.15">
      <c r="A4" s="2">
        <v>10217</v>
      </c>
      <c r="B4" s="2">
        <v>504</v>
      </c>
      <c r="C4" s="2">
        <v>1490725764</v>
      </c>
      <c r="D4" s="2">
        <v>1490883902</v>
      </c>
      <c r="E4" s="1">
        <v>10</v>
      </c>
      <c r="F4" s="2">
        <v>780</v>
      </c>
    </row>
    <row r="5" spans="1:6" ht="15.75" customHeight="1" x14ac:dyDescent="0.15">
      <c r="A5" s="2">
        <v>10211</v>
      </c>
      <c r="B5" s="2">
        <v>504</v>
      </c>
      <c r="C5" s="2">
        <v>1490730339</v>
      </c>
      <c r="D5" s="2">
        <v>1490730900</v>
      </c>
      <c r="E5" s="1">
        <v>10</v>
      </c>
      <c r="F5" s="2">
        <v>558</v>
      </c>
    </row>
    <row r="6" spans="1:6" ht="15.75" customHeight="1" x14ac:dyDescent="0.15">
      <c r="A6" s="2">
        <v>10210</v>
      </c>
      <c r="B6" s="2">
        <v>504</v>
      </c>
      <c r="C6" s="2">
        <v>1490742967</v>
      </c>
      <c r="D6" s="2">
        <v>1490749723</v>
      </c>
      <c r="E6" s="1">
        <v>10</v>
      </c>
      <c r="F6" s="2">
        <v>3315</v>
      </c>
    </row>
    <row r="7" spans="1:6" ht="15.75" customHeight="1" x14ac:dyDescent="0.15">
      <c r="A7" s="2">
        <v>10188</v>
      </c>
      <c r="B7" s="2">
        <v>504</v>
      </c>
      <c r="C7" s="2">
        <v>1490745104</v>
      </c>
      <c r="D7" s="2">
        <v>1490745961</v>
      </c>
      <c r="E7" s="1">
        <v>10</v>
      </c>
      <c r="F7" s="2">
        <v>853</v>
      </c>
    </row>
    <row r="8" spans="1:6" ht="15.75" customHeight="1" x14ac:dyDescent="0.15">
      <c r="A8" s="2">
        <v>10178</v>
      </c>
      <c r="B8" s="2">
        <v>504</v>
      </c>
      <c r="C8" s="2">
        <v>1490729390</v>
      </c>
      <c r="D8" s="2">
        <v>1490747838</v>
      </c>
      <c r="E8" s="1">
        <v>10</v>
      </c>
      <c r="F8" s="2">
        <v>5240</v>
      </c>
    </row>
    <row r="9" spans="1:6" ht="15.75" customHeight="1" x14ac:dyDescent="0.15">
      <c r="A9" s="2">
        <v>10172</v>
      </c>
      <c r="B9" s="2">
        <v>504</v>
      </c>
      <c r="C9" s="2">
        <v>1490751193</v>
      </c>
      <c r="D9" s="2">
        <v>1490752509</v>
      </c>
      <c r="E9" s="1">
        <v>10</v>
      </c>
      <c r="F9" s="2">
        <v>1314</v>
      </c>
    </row>
    <row r="10" spans="1:6" ht="15.75" customHeight="1" x14ac:dyDescent="0.15">
      <c r="A10" s="2">
        <v>10192</v>
      </c>
      <c r="B10" s="2">
        <v>504</v>
      </c>
      <c r="C10" s="2">
        <v>1490751847</v>
      </c>
      <c r="D10" s="2">
        <v>1490754086</v>
      </c>
      <c r="E10" s="1">
        <v>10</v>
      </c>
      <c r="F10" s="2">
        <v>2235</v>
      </c>
    </row>
    <row r="11" spans="1:6" ht="15.75" customHeight="1" x14ac:dyDescent="0.15">
      <c r="A11" s="2">
        <v>10201</v>
      </c>
      <c r="B11" s="2">
        <v>504</v>
      </c>
      <c r="C11" s="2">
        <v>1490751803</v>
      </c>
      <c r="D11" s="2">
        <v>1490752397</v>
      </c>
      <c r="E11" s="1">
        <v>10</v>
      </c>
      <c r="F11" s="2">
        <v>592</v>
      </c>
    </row>
    <row r="12" spans="1:6" ht="15.75" customHeight="1" x14ac:dyDescent="0.15">
      <c r="A12" s="2">
        <v>10206</v>
      </c>
      <c r="B12" s="2">
        <v>504</v>
      </c>
      <c r="C12" s="2">
        <v>1490752209</v>
      </c>
      <c r="D12" s="2">
        <v>1490753198</v>
      </c>
      <c r="E12" s="1">
        <v>10</v>
      </c>
      <c r="F12" s="2">
        <v>988</v>
      </c>
    </row>
    <row r="13" spans="1:6" ht="15.75" customHeight="1" x14ac:dyDescent="0.15">
      <c r="A13" s="2">
        <v>10202</v>
      </c>
      <c r="B13" s="2">
        <v>504</v>
      </c>
      <c r="C13" s="2">
        <v>1490804478</v>
      </c>
      <c r="D13" s="2">
        <v>1490952482</v>
      </c>
      <c r="E13" s="1">
        <v>10</v>
      </c>
      <c r="F13" s="2">
        <v>6258</v>
      </c>
    </row>
    <row r="14" spans="1:6" ht="15.75" customHeight="1" x14ac:dyDescent="0.15">
      <c r="A14" s="2">
        <v>10184</v>
      </c>
      <c r="B14" s="2">
        <v>504</v>
      </c>
      <c r="C14" s="2">
        <v>1490808515</v>
      </c>
      <c r="D14" s="2">
        <v>1490809251</v>
      </c>
      <c r="E14" s="1">
        <v>10</v>
      </c>
      <c r="F14" s="2">
        <v>734</v>
      </c>
    </row>
    <row r="15" spans="1:6" ht="15.75" customHeight="1" x14ac:dyDescent="0.15">
      <c r="A15" s="2">
        <v>10183</v>
      </c>
      <c r="B15" s="2">
        <v>504</v>
      </c>
      <c r="C15" s="2">
        <v>1490831070</v>
      </c>
      <c r="D15" s="2">
        <v>1490918115</v>
      </c>
      <c r="E15" s="1">
        <v>10</v>
      </c>
      <c r="F15" s="2">
        <v>4343</v>
      </c>
    </row>
    <row r="16" spans="1:6" ht="15.75" customHeight="1" x14ac:dyDescent="0.15">
      <c r="A16" s="2">
        <v>10218</v>
      </c>
      <c r="B16" s="2">
        <v>504</v>
      </c>
      <c r="C16" s="2">
        <v>1490833680</v>
      </c>
      <c r="D16" s="2">
        <v>1490834463</v>
      </c>
      <c r="E16" s="1">
        <v>10</v>
      </c>
      <c r="F16" s="2">
        <v>719</v>
      </c>
    </row>
    <row r="17" spans="1:6" ht="15.75" customHeight="1" x14ac:dyDescent="0.15">
      <c r="A17" s="2">
        <v>10215</v>
      </c>
      <c r="B17" s="2">
        <v>504</v>
      </c>
      <c r="C17" s="2">
        <v>1490831849</v>
      </c>
      <c r="D17" s="2">
        <v>1490832882</v>
      </c>
      <c r="E17" s="1">
        <v>10</v>
      </c>
      <c r="F17" s="2">
        <v>1029</v>
      </c>
    </row>
    <row r="18" spans="1:6" ht="15.75" customHeight="1" x14ac:dyDescent="0.15">
      <c r="A18" s="2">
        <v>10237</v>
      </c>
      <c r="B18" s="2">
        <v>504</v>
      </c>
      <c r="C18" s="2">
        <v>1490835460</v>
      </c>
      <c r="D18" s="2">
        <v>1490836482</v>
      </c>
      <c r="E18" s="1">
        <v>10</v>
      </c>
      <c r="F18" s="2">
        <v>1018</v>
      </c>
    </row>
    <row r="19" spans="1:6" ht="15.75" customHeight="1" x14ac:dyDescent="0.15">
      <c r="A19" s="2">
        <v>10227</v>
      </c>
      <c r="B19" s="2">
        <v>504</v>
      </c>
      <c r="C19" s="2">
        <v>1490835329</v>
      </c>
      <c r="D19" s="2">
        <v>1490838687</v>
      </c>
      <c r="E19" s="1">
        <v>10</v>
      </c>
      <c r="F19" s="2">
        <v>3355</v>
      </c>
    </row>
    <row r="20" spans="1:6" ht="15.75" customHeight="1" x14ac:dyDescent="0.15">
      <c r="A20" s="2">
        <v>10226</v>
      </c>
      <c r="B20" s="2">
        <v>504</v>
      </c>
      <c r="C20" s="2">
        <v>1490835393</v>
      </c>
      <c r="D20" s="2">
        <v>1490838479</v>
      </c>
      <c r="E20" s="1">
        <v>10</v>
      </c>
      <c r="F20" s="2">
        <v>3084</v>
      </c>
    </row>
    <row r="21" spans="1:6" ht="15.75" customHeight="1" x14ac:dyDescent="0.15">
      <c r="A21" s="2">
        <v>10196</v>
      </c>
      <c r="B21" s="2">
        <v>504</v>
      </c>
      <c r="C21" s="2">
        <v>1490836901</v>
      </c>
      <c r="D21" s="2">
        <v>1490839039</v>
      </c>
      <c r="E21" s="1">
        <v>10</v>
      </c>
      <c r="F21" s="2">
        <v>2136</v>
      </c>
    </row>
    <row r="22" spans="1:6" ht="15.75" customHeight="1" x14ac:dyDescent="0.15">
      <c r="A22" s="2">
        <v>10189</v>
      </c>
      <c r="B22" s="2">
        <v>504</v>
      </c>
      <c r="C22" s="2">
        <v>1490832110</v>
      </c>
      <c r="D22" s="2">
        <v>1490838033</v>
      </c>
      <c r="E22" s="1">
        <v>10</v>
      </c>
      <c r="F22" s="2">
        <v>5914</v>
      </c>
    </row>
    <row r="23" spans="1:6" ht="15.75" customHeight="1" x14ac:dyDescent="0.15">
      <c r="A23" s="2">
        <v>10200</v>
      </c>
      <c r="B23" s="2">
        <v>504</v>
      </c>
      <c r="C23" s="2">
        <v>1490836953</v>
      </c>
      <c r="D23" s="2">
        <v>1490842216</v>
      </c>
      <c r="E23" s="1">
        <v>10</v>
      </c>
      <c r="F23" s="2">
        <v>4854</v>
      </c>
    </row>
    <row r="24" spans="1:6" ht="15.75" customHeight="1" x14ac:dyDescent="0.15">
      <c r="A24" s="2">
        <v>10176</v>
      </c>
      <c r="B24" s="2">
        <v>504</v>
      </c>
      <c r="C24" s="2">
        <v>1490838508</v>
      </c>
      <c r="D24" s="2">
        <v>1490842531</v>
      </c>
      <c r="E24" s="1">
        <v>10</v>
      </c>
      <c r="F24" s="2">
        <v>3187</v>
      </c>
    </row>
    <row r="25" spans="1:6" ht="15.75" customHeight="1" x14ac:dyDescent="0.15">
      <c r="A25" s="2">
        <v>10198</v>
      </c>
      <c r="B25" s="2">
        <v>504</v>
      </c>
      <c r="C25" s="2">
        <v>1490866590</v>
      </c>
      <c r="D25" s="2">
        <v>1490955691</v>
      </c>
      <c r="E25" s="1">
        <v>10</v>
      </c>
      <c r="F25" s="2">
        <v>11162</v>
      </c>
    </row>
    <row r="26" spans="1:6" ht="15.75" customHeight="1" x14ac:dyDescent="0.15">
      <c r="A26" s="2">
        <v>10171</v>
      </c>
      <c r="B26" s="2">
        <v>504</v>
      </c>
      <c r="C26" s="2">
        <v>1490868873</v>
      </c>
      <c r="D26" s="2">
        <v>1490870446</v>
      </c>
      <c r="E26" s="1">
        <v>10</v>
      </c>
      <c r="F26" s="2">
        <v>1507</v>
      </c>
    </row>
    <row r="27" spans="1:6" ht="15.75" customHeight="1" x14ac:dyDescent="0.15">
      <c r="A27" s="2">
        <v>10203</v>
      </c>
      <c r="B27" s="2">
        <v>504</v>
      </c>
      <c r="C27" s="2">
        <v>1490882556</v>
      </c>
      <c r="E27" s="3"/>
      <c r="F27" s="2">
        <v>6105</v>
      </c>
    </row>
    <row r="28" spans="1:6" ht="15.75" customHeight="1" x14ac:dyDescent="0.15">
      <c r="A28" s="2">
        <v>10224</v>
      </c>
      <c r="B28" s="2">
        <v>504</v>
      </c>
      <c r="C28" s="2">
        <v>1490824247</v>
      </c>
      <c r="D28" s="2">
        <v>1490894091</v>
      </c>
      <c r="E28" s="1">
        <v>10</v>
      </c>
      <c r="F28" s="2">
        <v>1127</v>
      </c>
    </row>
    <row r="29" spans="1:6" ht="15.75" customHeight="1" x14ac:dyDescent="0.15">
      <c r="A29" s="2">
        <v>10219</v>
      </c>
      <c r="B29" s="2">
        <v>504</v>
      </c>
      <c r="C29" s="2">
        <v>1490912558</v>
      </c>
      <c r="E29" s="3"/>
      <c r="F29" s="2">
        <v>495</v>
      </c>
    </row>
    <row r="30" spans="1:6" ht="15.75" customHeight="1" x14ac:dyDescent="0.15">
      <c r="A30" s="2">
        <v>10193</v>
      </c>
      <c r="B30" s="2">
        <v>504</v>
      </c>
      <c r="C30" s="2">
        <v>1490915569</v>
      </c>
      <c r="D30" s="2">
        <v>1490916239</v>
      </c>
      <c r="E30" s="1">
        <v>10</v>
      </c>
      <c r="F30" s="2">
        <v>668</v>
      </c>
    </row>
    <row r="31" spans="1:6" ht="15.75" customHeight="1" x14ac:dyDescent="0.15">
      <c r="A31" s="2">
        <v>10170</v>
      </c>
      <c r="B31" s="2">
        <v>504</v>
      </c>
      <c r="C31" s="2">
        <v>0</v>
      </c>
      <c r="E31" s="3"/>
      <c r="F31" s="2">
        <v>0</v>
      </c>
    </row>
    <row r="32" spans="1:6" ht="15.75" customHeight="1" x14ac:dyDescent="0.15">
      <c r="A32" s="2">
        <v>10223</v>
      </c>
      <c r="B32" s="2">
        <v>504</v>
      </c>
      <c r="C32" s="2">
        <v>0</v>
      </c>
      <c r="E32" s="3"/>
      <c r="F32" s="2">
        <v>0</v>
      </c>
    </row>
    <row r="33" spans="1:6" ht="15.75" customHeight="1" x14ac:dyDescent="0.15">
      <c r="A33" s="2">
        <v>10175</v>
      </c>
      <c r="B33" s="2">
        <v>504</v>
      </c>
      <c r="C33" s="2">
        <v>0</v>
      </c>
      <c r="E33" s="3"/>
      <c r="F33" s="2">
        <v>0</v>
      </c>
    </row>
    <row r="34" spans="1:6" ht="15.75" customHeight="1" x14ac:dyDescent="0.15">
      <c r="A34" s="2">
        <v>10181</v>
      </c>
      <c r="B34" s="2">
        <v>504</v>
      </c>
      <c r="C34" s="2">
        <v>0</v>
      </c>
      <c r="E34" s="3"/>
      <c r="F34" s="2">
        <v>0</v>
      </c>
    </row>
    <row r="35" spans="1:6" ht="15.75" customHeight="1" x14ac:dyDescent="0.15">
      <c r="A35" s="2">
        <v>10191</v>
      </c>
      <c r="B35" s="2">
        <v>504</v>
      </c>
      <c r="C35" s="2">
        <v>0</v>
      </c>
      <c r="E35" s="3"/>
      <c r="F35" s="2">
        <v>0</v>
      </c>
    </row>
    <row r="36" spans="1:6" ht="15.75" customHeight="1" x14ac:dyDescent="0.15">
      <c r="A36" s="2">
        <v>10190</v>
      </c>
      <c r="B36" s="2">
        <v>504</v>
      </c>
      <c r="C36" s="2">
        <v>0</v>
      </c>
      <c r="E36" s="3"/>
      <c r="F36" s="2">
        <v>0</v>
      </c>
    </row>
    <row r="37" spans="1:6" ht="15.75" customHeight="1" x14ac:dyDescent="0.15">
      <c r="A37" s="2">
        <v>10199</v>
      </c>
      <c r="B37" s="2">
        <v>504</v>
      </c>
      <c r="C37" s="2">
        <v>0</v>
      </c>
      <c r="E37" s="3"/>
      <c r="F37" s="2">
        <v>0</v>
      </c>
    </row>
    <row r="38" spans="1:6" ht="15.75" customHeight="1" x14ac:dyDescent="0.15">
      <c r="A38" s="2">
        <v>10240</v>
      </c>
      <c r="B38" s="2">
        <v>504</v>
      </c>
      <c r="C38" s="2">
        <v>0</v>
      </c>
      <c r="E38" s="3"/>
      <c r="F38" s="2">
        <v>0</v>
      </c>
    </row>
    <row r="39" spans="1:6" ht="15.75" customHeight="1" x14ac:dyDescent="0.15">
      <c r="A39" s="2">
        <v>10216</v>
      </c>
      <c r="B39" s="2">
        <v>504</v>
      </c>
      <c r="C39" s="2">
        <v>0</v>
      </c>
      <c r="E39" s="3"/>
      <c r="F39" s="2">
        <v>0</v>
      </c>
    </row>
    <row r="40" spans="1:6" ht="15.75" customHeight="1" x14ac:dyDescent="0.15">
      <c r="A40" s="2">
        <v>10214</v>
      </c>
      <c r="B40" s="2">
        <v>504</v>
      </c>
      <c r="C40" s="2">
        <v>0</v>
      </c>
      <c r="E40" s="3"/>
      <c r="F40" s="2">
        <v>0</v>
      </c>
    </row>
    <row r="41" spans="1:6" ht="15.75" customHeight="1" x14ac:dyDescent="0.15">
      <c r="A41" s="2">
        <v>10208</v>
      </c>
      <c r="B41" s="2">
        <v>504</v>
      </c>
      <c r="C41" s="2">
        <v>0</v>
      </c>
      <c r="E41" s="3"/>
      <c r="F41" s="2">
        <v>0</v>
      </c>
    </row>
    <row r="42" spans="1:6" ht="15.75" customHeight="1" x14ac:dyDescent="0.15">
      <c r="A42" s="2">
        <v>10231</v>
      </c>
      <c r="B42" s="2">
        <v>504</v>
      </c>
      <c r="C42" s="2">
        <v>0</v>
      </c>
      <c r="E42" s="3"/>
      <c r="F42" s="2">
        <v>0</v>
      </c>
    </row>
    <row r="43" spans="1:6" ht="15.75" customHeight="1" x14ac:dyDescent="0.15">
      <c r="A43" s="2">
        <v>10204</v>
      </c>
      <c r="B43" s="2">
        <v>504</v>
      </c>
      <c r="C43" s="2">
        <v>0</v>
      </c>
      <c r="E43" s="3"/>
      <c r="F43" s="2">
        <v>0</v>
      </c>
    </row>
    <row r="44" spans="1:6" ht="15.75" customHeight="1" x14ac:dyDescent="0.15">
      <c r="A44" s="2">
        <v>10197</v>
      </c>
      <c r="B44" s="2">
        <v>504</v>
      </c>
      <c r="C44" s="2">
        <v>0</v>
      </c>
      <c r="E44" s="3"/>
      <c r="F44" s="2">
        <v>0</v>
      </c>
    </row>
    <row r="45" spans="1:6" ht="15.75" customHeight="1" x14ac:dyDescent="0.15">
      <c r="A45" s="2">
        <v>10212</v>
      </c>
      <c r="B45" s="2">
        <v>504</v>
      </c>
      <c r="C45" s="2">
        <v>0</v>
      </c>
      <c r="E45" s="3"/>
      <c r="F45" s="2">
        <v>0</v>
      </c>
    </row>
    <row r="46" spans="1:6" ht="13" x14ac:dyDescent="0.15">
      <c r="A46" s="2">
        <v>10221</v>
      </c>
      <c r="B46" s="2">
        <v>504</v>
      </c>
      <c r="C46" s="2">
        <v>0</v>
      </c>
      <c r="E46" s="3"/>
      <c r="F46" s="2">
        <v>0</v>
      </c>
    </row>
    <row r="47" spans="1:6" ht="13" x14ac:dyDescent="0.15">
      <c r="A47" s="2">
        <v>10222</v>
      </c>
      <c r="B47" s="2">
        <v>504</v>
      </c>
      <c r="C47" s="2">
        <v>0</v>
      </c>
      <c r="E47" s="3"/>
      <c r="F47" s="2">
        <v>0</v>
      </c>
    </row>
    <row r="48" spans="1:6" ht="13" x14ac:dyDescent="0.15">
      <c r="A48" s="2">
        <v>10209</v>
      </c>
      <c r="B48" s="2">
        <v>504</v>
      </c>
      <c r="C48" s="2">
        <v>1490977483</v>
      </c>
      <c r="E48" s="3"/>
      <c r="F48" s="2">
        <v>2368</v>
      </c>
    </row>
    <row r="49" spans="1:6" ht="13" x14ac:dyDescent="0.15">
      <c r="A49" s="2">
        <v>10174</v>
      </c>
      <c r="B49" s="2">
        <v>504</v>
      </c>
      <c r="C49" s="2">
        <v>0</v>
      </c>
      <c r="E49" s="3"/>
      <c r="F49" s="2">
        <v>0</v>
      </c>
    </row>
    <row r="50" spans="1:6" ht="13" x14ac:dyDescent="0.15">
      <c r="A50" s="2">
        <v>10169</v>
      </c>
      <c r="B50" s="2">
        <v>504</v>
      </c>
      <c r="C50" s="2">
        <v>0</v>
      </c>
      <c r="E50" s="3"/>
      <c r="F50" s="2">
        <v>0</v>
      </c>
    </row>
    <row r="51" spans="1:6" ht="13" x14ac:dyDescent="0.15">
      <c r="A51" s="2">
        <v>10195</v>
      </c>
      <c r="B51" s="2">
        <v>504</v>
      </c>
      <c r="C51" s="2">
        <v>0</v>
      </c>
      <c r="E51" s="3"/>
      <c r="F51" s="2">
        <v>0</v>
      </c>
    </row>
    <row r="52" spans="1:6" ht="13" x14ac:dyDescent="0.15">
      <c r="A52" s="2">
        <v>10232</v>
      </c>
      <c r="B52" s="2">
        <v>504</v>
      </c>
      <c r="C52" s="2">
        <v>0</v>
      </c>
      <c r="E52" s="3"/>
      <c r="F52" s="2">
        <v>0</v>
      </c>
    </row>
    <row r="53" spans="1:6" ht="13" x14ac:dyDescent="0.15">
      <c r="A53" s="2">
        <v>10228</v>
      </c>
      <c r="B53" s="2">
        <v>504</v>
      </c>
      <c r="C53" s="2">
        <v>0</v>
      </c>
      <c r="E53" s="3"/>
      <c r="F53" s="2">
        <v>0</v>
      </c>
    </row>
    <row r="54" spans="1:6" ht="13" x14ac:dyDescent="0.15">
      <c r="A54" s="2">
        <v>10213</v>
      </c>
      <c r="B54" s="2">
        <v>504</v>
      </c>
      <c r="C54" s="2">
        <v>0</v>
      </c>
      <c r="E54" s="3"/>
      <c r="F54" s="2">
        <v>0</v>
      </c>
    </row>
    <row r="55" spans="1:6" ht="13" x14ac:dyDescent="0.15">
      <c r="A55" s="2">
        <v>10230</v>
      </c>
      <c r="B55" s="2">
        <v>504</v>
      </c>
      <c r="C55" s="2">
        <v>0</v>
      </c>
      <c r="E55" s="3"/>
      <c r="F55" s="2">
        <v>0</v>
      </c>
    </row>
    <row r="56" spans="1:6" ht="13" x14ac:dyDescent="0.15">
      <c r="A56" s="2">
        <v>10233</v>
      </c>
      <c r="B56" s="2">
        <v>504</v>
      </c>
      <c r="C56" s="2">
        <v>0</v>
      </c>
      <c r="E56" s="3"/>
      <c r="F56" s="2">
        <v>0</v>
      </c>
    </row>
    <row r="57" spans="1:6" ht="13" x14ac:dyDescent="0.15">
      <c r="A57" s="2">
        <v>10234</v>
      </c>
      <c r="B57" s="2">
        <v>504</v>
      </c>
      <c r="C57" s="2">
        <v>0</v>
      </c>
      <c r="E57" s="3"/>
      <c r="F57" s="2">
        <v>0</v>
      </c>
    </row>
    <row r="58" spans="1:6" ht="13" x14ac:dyDescent="0.15">
      <c r="A58" s="2">
        <v>10185</v>
      </c>
      <c r="B58" s="2">
        <v>504</v>
      </c>
      <c r="C58" s="2">
        <v>0</v>
      </c>
      <c r="E58" s="3"/>
      <c r="F58" s="2">
        <v>0</v>
      </c>
    </row>
    <row r="59" spans="1:6" ht="13" x14ac:dyDescent="0.15">
      <c r="A59" s="2">
        <v>10186</v>
      </c>
      <c r="B59" s="2">
        <v>504</v>
      </c>
      <c r="C59" s="2">
        <v>0</v>
      </c>
      <c r="E59" s="3"/>
      <c r="F59" s="2">
        <v>0</v>
      </c>
    </row>
    <row r="60" spans="1:6" ht="13" x14ac:dyDescent="0.15">
      <c r="A60" s="2">
        <v>10238</v>
      </c>
      <c r="B60" s="2">
        <v>504</v>
      </c>
      <c r="C60" s="2">
        <v>0</v>
      </c>
      <c r="E60" s="3"/>
      <c r="F60" s="2">
        <v>0</v>
      </c>
    </row>
    <row r="61" spans="1:6" ht="13" x14ac:dyDescent="0.15">
      <c r="A61" s="2">
        <v>10179</v>
      </c>
      <c r="B61" s="2">
        <v>504</v>
      </c>
      <c r="C61" s="2">
        <v>0</v>
      </c>
      <c r="E61" s="3"/>
      <c r="F61" s="2">
        <v>0</v>
      </c>
    </row>
    <row r="62" spans="1:6" ht="13" x14ac:dyDescent="0.15">
      <c r="A62" s="2">
        <v>10220</v>
      </c>
      <c r="B62" s="2">
        <v>504</v>
      </c>
      <c r="C62" s="2">
        <v>1490892710</v>
      </c>
      <c r="E62" s="3"/>
      <c r="F62" s="2">
        <v>514</v>
      </c>
    </row>
    <row r="63" spans="1:6" ht="13" x14ac:dyDescent="0.15">
      <c r="A63" s="2">
        <v>2</v>
      </c>
      <c r="B63" s="2">
        <v>454</v>
      </c>
      <c r="C63" s="2">
        <v>0</v>
      </c>
      <c r="D63" s="2">
        <v>1491341716</v>
      </c>
      <c r="E63" s="1">
        <v>10</v>
      </c>
      <c r="F63" s="2">
        <v>0</v>
      </c>
    </row>
    <row r="64" spans="1:6" ht="13" x14ac:dyDescent="0.15">
      <c r="A64" s="2">
        <v>10214</v>
      </c>
      <c r="B64" s="2">
        <v>454</v>
      </c>
      <c r="C64" s="2">
        <v>1491345213</v>
      </c>
      <c r="D64" s="2">
        <v>1491571280</v>
      </c>
      <c r="E64" s="1">
        <v>10</v>
      </c>
      <c r="F64" s="2">
        <v>3733</v>
      </c>
    </row>
    <row r="65" spans="1:6" ht="13" x14ac:dyDescent="0.15">
      <c r="A65" s="2">
        <v>10178</v>
      </c>
      <c r="B65" s="2">
        <v>454</v>
      </c>
      <c r="C65" s="2">
        <v>1491346451</v>
      </c>
      <c r="D65" s="2">
        <v>1491350112</v>
      </c>
      <c r="E65" s="1">
        <v>10</v>
      </c>
      <c r="F65" s="2">
        <v>2523</v>
      </c>
    </row>
    <row r="66" spans="1:6" ht="13" x14ac:dyDescent="0.15">
      <c r="A66" s="2">
        <v>10224</v>
      </c>
      <c r="B66" s="2">
        <v>454</v>
      </c>
      <c r="C66" s="2">
        <v>1491354859</v>
      </c>
      <c r="D66" s="2">
        <v>1491355288</v>
      </c>
      <c r="E66" s="1">
        <v>10</v>
      </c>
      <c r="F66" s="2">
        <v>426</v>
      </c>
    </row>
    <row r="67" spans="1:6" ht="13" x14ac:dyDescent="0.15">
      <c r="A67" s="2">
        <v>10184</v>
      </c>
      <c r="B67" s="2">
        <v>454</v>
      </c>
      <c r="C67" s="2">
        <v>1491359298</v>
      </c>
      <c r="D67" s="2">
        <v>1491360297</v>
      </c>
      <c r="E67" s="1">
        <v>10</v>
      </c>
      <c r="F67" s="2">
        <v>997</v>
      </c>
    </row>
    <row r="68" spans="1:6" ht="13" x14ac:dyDescent="0.15">
      <c r="A68" s="2">
        <v>10217</v>
      </c>
      <c r="B68" s="2">
        <v>454</v>
      </c>
      <c r="C68" s="2">
        <v>1491401406</v>
      </c>
      <c r="D68" s="2">
        <v>1491401772</v>
      </c>
      <c r="E68" s="1">
        <v>10</v>
      </c>
      <c r="F68" s="2">
        <v>360</v>
      </c>
    </row>
    <row r="69" spans="1:6" ht="13" x14ac:dyDescent="0.15">
      <c r="A69" s="2">
        <v>10193</v>
      </c>
      <c r="B69" s="2">
        <v>454</v>
      </c>
      <c r="C69" s="2">
        <v>1491407909</v>
      </c>
      <c r="D69" s="2">
        <v>1491409190</v>
      </c>
      <c r="E69" s="1">
        <v>10</v>
      </c>
      <c r="F69" s="2">
        <v>720</v>
      </c>
    </row>
    <row r="70" spans="1:6" ht="13" x14ac:dyDescent="0.15">
      <c r="A70" s="2">
        <v>10223</v>
      </c>
      <c r="B70" s="2">
        <v>454</v>
      </c>
      <c r="C70" s="2">
        <v>1491408835</v>
      </c>
      <c r="D70" s="2">
        <v>1491409053</v>
      </c>
      <c r="E70" s="1">
        <v>10</v>
      </c>
      <c r="F70" s="2">
        <v>216</v>
      </c>
    </row>
    <row r="71" spans="1:6" ht="13" x14ac:dyDescent="0.15">
      <c r="A71" s="2">
        <v>10240</v>
      </c>
      <c r="B71" s="2">
        <v>454</v>
      </c>
      <c r="C71" s="2">
        <v>1491409459</v>
      </c>
      <c r="D71" s="2">
        <v>1491682606</v>
      </c>
      <c r="E71" s="1">
        <v>10</v>
      </c>
      <c r="F71" s="2">
        <v>1011</v>
      </c>
    </row>
    <row r="72" spans="1:6" ht="13" x14ac:dyDescent="0.15">
      <c r="A72" s="2">
        <v>10210</v>
      </c>
      <c r="B72" s="2">
        <v>454</v>
      </c>
      <c r="C72" s="2">
        <v>1491410967</v>
      </c>
      <c r="D72" s="2">
        <v>1491515274</v>
      </c>
      <c r="E72" s="1">
        <v>10</v>
      </c>
      <c r="F72" s="2">
        <v>2157</v>
      </c>
    </row>
    <row r="73" spans="1:6" ht="13" x14ac:dyDescent="0.15">
      <c r="A73" s="2">
        <v>10209</v>
      </c>
      <c r="B73" s="2">
        <v>454</v>
      </c>
      <c r="C73" s="2">
        <v>1491428709</v>
      </c>
      <c r="D73" s="2">
        <v>1492096078</v>
      </c>
      <c r="E73" s="1">
        <v>10</v>
      </c>
      <c r="F73" s="2">
        <v>360</v>
      </c>
    </row>
    <row r="74" spans="1:6" ht="13" x14ac:dyDescent="0.15">
      <c r="A74" s="2">
        <v>10188</v>
      </c>
      <c r="B74" s="2">
        <v>454</v>
      </c>
      <c r="C74" s="2">
        <v>1491429483</v>
      </c>
      <c r="D74" s="2">
        <v>1491662067</v>
      </c>
      <c r="E74" s="1">
        <v>10</v>
      </c>
      <c r="F74" s="2">
        <v>1028</v>
      </c>
    </row>
    <row r="75" spans="1:6" ht="13" x14ac:dyDescent="0.15">
      <c r="A75" s="2">
        <v>10175</v>
      </c>
      <c r="B75" s="2">
        <v>454</v>
      </c>
      <c r="C75" s="2">
        <v>1491429675</v>
      </c>
      <c r="D75" s="2">
        <v>1491430981</v>
      </c>
      <c r="E75" s="1">
        <v>10</v>
      </c>
      <c r="F75" s="2">
        <v>1303</v>
      </c>
    </row>
    <row r="76" spans="1:6" ht="13" x14ac:dyDescent="0.15">
      <c r="A76" s="2">
        <v>10218</v>
      </c>
      <c r="B76" s="2">
        <v>454</v>
      </c>
      <c r="C76" s="2">
        <v>1491435810</v>
      </c>
      <c r="D76" s="2">
        <v>1491437744</v>
      </c>
      <c r="E76" s="1">
        <v>10</v>
      </c>
      <c r="F76" s="2">
        <v>1735</v>
      </c>
    </row>
    <row r="77" spans="1:6" ht="13" x14ac:dyDescent="0.15">
      <c r="A77" s="2">
        <v>10196</v>
      </c>
      <c r="B77" s="2">
        <v>454</v>
      </c>
      <c r="C77" s="2">
        <v>1491443969</v>
      </c>
      <c r="D77" s="2">
        <v>1491445990</v>
      </c>
      <c r="E77" s="1">
        <v>10</v>
      </c>
      <c r="F77" s="2">
        <v>1996</v>
      </c>
    </row>
    <row r="78" spans="1:6" ht="13" x14ac:dyDescent="0.15">
      <c r="A78" s="2">
        <v>10189</v>
      </c>
      <c r="B78" s="2">
        <v>454</v>
      </c>
      <c r="C78" s="2">
        <v>1491480039</v>
      </c>
      <c r="D78" s="2">
        <v>1491480721</v>
      </c>
      <c r="E78" s="1">
        <v>10</v>
      </c>
      <c r="F78" s="2">
        <v>678</v>
      </c>
    </row>
    <row r="79" spans="1:6" ht="13" x14ac:dyDescent="0.15">
      <c r="A79" s="2">
        <v>10181</v>
      </c>
      <c r="B79" s="2">
        <v>454</v>
      </c>
      <c r="C79" s="2">
        <v>1491480410</v>
      </c>
      <c r="D79" s="2">
        <v>1491480632</v>
      </c>
      <c r="E79" s="1">
        <v>10</v>
      </c>
      <c r="F79" s="2">
        <v>220</v>
      </c>
    </row>
    <row r="80" spans="1:6" ht="13" x14ac:dyDescent="0.15">
      <c r="A80" s="2">
        <v>10199</v>
      </c>
      <c r="B80" s="2">
        <v>454</v>
      </c>
      <c r="C80" s="2">
        <v>1491494022</v>
      </c>
      <c r="D80" s="2">
        <v>1491494326</v>
      </c>
      <c r="E80" s="1">
        <v>10</v>
      </c>
      <c r="F80" s="2">
        <v>303</v>
      </c>
    </row>
    <row r="81" spans="1:6" ht="13" x14ac:dyDescent="0.15">
      <c r="A81" s="2">
        <v>10231</v>
      </c>
      <c r="B81" s="2">
        <v>454</v>
      </c>
      <c r="C81" s="2">
        <v>1491497112</v>
      </c>
      <c r="D81" s="2">
        <v>1491497433</v>
      </c>
      <c r="E81" s="1">
        <v>10</v>
      </c>
      <c r="F81" s="2">
        <v>295</v>
      </c>
    </row>
    <row r="82" spans="1:6" ht="13" x14ac:dyDescent="0.15">
      <c r="A82" s="2">
        <v>10187</v>
      </c>
      <c r="B82" s="2">
        <v>454</v>
      </c>
      <c r="C82" s="2">
        <v>1491508032</v>
      </c>
      <c r="D82" s="2">
        <v>1491508288</v>
      </c>
      <c r="E82" s="1">
        <v>10</v>
      </c>
      <c r="F82" s="2">
        <v>254</v>
      </c>
    </row>
    <row r="83" spans="1:6" ht="13" x14ac:dyDescent="0.15">
      <c r="A83" s="2">
        <v>10201</v>
      </c>
      <c r="B83" s="2">
        <v>454</v>
      </c>
      <c r="C83" s="2">
        <v>1491521351</v>
      </c>
      <c r="D83" s="2">
        <v>1491523122</v>
      </c>
      <c r="E83" s="1">
        <v>10</v>
      </c>
      <c r="F83" s="2">
        <v>1769</v>
      </c>
    </row>
    <row r="84" spans="1:6" ht="13" x14ac:dyDescent="0.15">
      <c r="A84" s="2">
        <v>10192</v>
      </c>
      <c r="B84" s="2">
        <v>454</v>
      </c>
      <c r="C84" s="2">
        <v>1491525030</v>
      </c>
      <c r="D84" s="2">
        <v>1491526302</v>
      </c>
      <c r="E84" s="1">
        <v>10</v>
      </c>
      <c r="F84" s="2">
        <v>1268</v>
      </c>
    </row>
    <row r="85" spans="1:6" ht="13" x14ac:dyDescent="0.15">
      <c r="A85" s="2">
        <v>10176</v>
      </c>
      <c r="B85" s="2">
        <v>454</v>
      </c>
      <c r="C85" s="2">
        <v>1491528063</v>
      </c>
      <c r="D85" s="2">
        <v>1491836255</v>
      </c>
      <c r="E85" s="1">
        <v>10</v>
      </c>
      <c r="F85" s="2">
        <v>2123</v>
      </c>
    </row>
    <row r="86" spans="1:6" ht="13" x14ac:dyDescent="0.15">
      <c r="A86" s="2">
        <v>10204</v>
      </c>
      <c r="B86" s="2">
        <v>454</v>
      </c>
      <c r="C86" s="2">
        <v>1491512969</v>
      </c>
      <c r="D86" s="2">
        <v>1492715834</v>
      </c>
      <c r="E86" s="1">
        <v>10</v>
      </c>
      <c r="F86" s="2">
        <v>5363</v>
      </c>
    </row>
    <row r="87" spans="1:6" ht="13" x14ac:dyDescent="0.15">
      <c r="A87" s="2">
        <v>10206</v>
      </c>
      <c r="B87" s="2">
        <v>454</v>
      </c>
      <c r="C87" s="2">
        <v>1491704884</v>
      </c>
      <c r="D87" s="2">
        <v>1491705783</v>
      </c>
      <c r="E87" s="1">
        <v>10</v>
      </c>
      <c r="F87" s="2">
        <v>898</v>
      </c>
    </row>
    <row r="88" spans="1:6" ht="13" x14ac:dyDescent="0.15">
      <c r="A88" s="2">
        <v>10208</v>
      </c>
      <c r="B88" s="2">
        <v>454</v>
      </c>
      <c r="C88" s="2">
        <v>1491759104</v>
      </c>
      <c r="D88" s="2">
        <v>1491759313</v>
      </c>
      <c r="E88" s="1">
        <v>10</v>
      </c>
      <c r="F88" s="2">
        <v>198</v>
      </c>
    </row>
    <row r="89" spans="1:6" ht="13" x14ac:dyDescent="0.15">
      <c r="A89" s="2">
        <v>10215</v>
      </c>
      <c r="B89" s="2">
        <v>454</v>
      </c>
      <c r="C89" s="2">
        <v>1491835155</v>
      </c>
      <c r="D89" s="2">
        <v>1491835382</v>
      </c>
      <c r="E89" s="1">
        <v>10</v>
      </c>
      <c r="F89" s="2">
        <v>219</v>
      </c>
    </row>
    <row r="90" spans="1:6" ht="13" x14ac:dyDescent="0.15">
      <c r="A90" s="2">
        <v>10211</v>
      </c>
      <c r="B90" s="2">
        <v>454</v>
      </c>
      <c r="C90" s="2">
        <v>1491835242</v>
      </c>
      <c r="D90" s="2">
        <v>1491836421</v>
      </c>
      <c r="E90" s="1">
        <v>10</v>
      </c>
      <c r="F90" s="2">
        <v>1176</v>
      </c>
    </row>
    <row r="91" spans="1:6" ht="13" x14ac:dyDescent="0.15">
      <c r="A91" s="2">
        <v>10200</v>
      </c>
      <c r="B91" s="2">
        <v>454</v>
      </c>
      <c r="C91" s="2">
        <v>1491847204</v>
      </c>
      <c r="D91" s="2">
        <v>1492284427</v>
      </c>
      <c r="E91" s="1">
        <v>10</v>
      </c>
      <c r="F91" s="2">
        <v>4507</v>
      </c>
    </row>
    <row r="92" spans="1:6" ht="13" x14ac:dyDescent="0.15">
      <c r="A92" s="2">
        <v>10171</v>
      </c>
      <c r="B92" s="2">
        <v>454</v>
      </c>
      <c r="C92" s="2">
        <v>1491847467</v>
      </c>
      <c r="D92" s="2">
        <v>1491848071</v>
      </c>
      <c r="E92" s="1">
        <v>10</v>
      </c>
      <c r="F92" s="2">
        <v>408</v>
      </c>
    </row>
    <row r="93" spans="1:6" ht="13" x14ac:dyDescent="0.15">
      <c r="A93" s="2">
        <v>10191</v>
      </c>
      <c r="B93" s="2">
        <v>454</v>
      </c>
      <c r="C93" s="2">
        <v>1491848445</v>
      </c>
      <c r="D93" s="2">
        <v>1491849307</v>
      </c>
      <c r="E93" s="1">
        <v>10</v>
      </c>
      <c r="F93" s="2">
        <v>318</v>
      </c>
    </row>
    <row r="94" spans="1:6" ht="13" x14ac:dyDescent="0.15">
      <c r="A94" s="2">
        <v>10212</v>
      </c>
      <c r="B94" s="2">
        <v>454</v>
      </c>
      <c r="C94" s="2">
        <v>1491841522</v>
      </c>
      <c r="D94" s="2">
        <v>1491849446</v>
      </c>
      <c r="E94" s="1">
        <v>10</v>
      </c>
      <c r="F94" s="2">
        <v>647</v>
      </c>
    </row>
    <row r="95" spans="1:6" ht="13" x14ac:dyDescent="0.15">
      <c r="A95" s="2">
        <v>10197</v>
      </c>
      <c r="B95" s="2">
        <v>454</v>
      </c>
      <c r="C95" s="2">
        <v>1491912967</v>
      </c>
      <c r="D95" s="2">
        <v>1491914549</v>
      </c>
      <c r="E95" s="1">
        <v>10</v>
      </c>
      <c r="F95" s="2">
        <v>1565</v>
      </c>
    </row>
    <row r="96" spans="1:6" ht="13" x14ac:dyDescent="0.15">
      <c r="A96" s="2">
        <v>10202</v>
      </c>
      <c r="B96" s="2">
        <v>454</v>
      </c>
      <c r="C96" s="2">
        <v>1491853817</v>
      </c>
      <c r="D96" s="2">
        <v>1491950087</v>
      </c>
      <c r="E96" s="1">
        <v>10</v>
      </c>
      <c r="F96" s="2">
        <v>9601</v>
      </c>
    </row>
    <row r="97" spans="1:6" ht="13" x14ac:dyDescent="0.15">
      <c r="A97" s="2">
        <v>10198</v>
      </c>
      <c r="B97" s="2">
        <v>454</v>
      </c>
      <c r="C97" s="2">
        <v>1491776964</v>
      </c>
      <c r="D97" s="2">
        <v>1492193198</v>
      </c>
      <c r="E97" s="1">
        <v>10</v>
      </c>
      <c r="F97" s="2">
        <v>4116</v>
      </c>
    </row>
    <row r="98" spans="1:6" ht="13" x14ac:dyDescent="0.15">
      <c r="A98" s="2">
        <v>10172</v>
      </c>
      <c r="B98" s="2">
        <v>454</v>
      </c>
      <c r="C98" s="2">
        <v>1492456379</v>
      </c>
      <c r="D98" s="2">
        <v>1492456490</v>
      </c>
      <c r="E98" s="1">
        <v>10</v>
      </c>
      <c r="F98" s="2">
        <v>108</v>
      </c>
    </row>
    <row r="99" spans="1:6" ht="13" x14ac:dyDescent="0.15">
      <c r="A99" s="2">
        <v>10216</v>
      </c>
      <c r="B99" s="2">
        <v>454</v>
      </c>
      <c r="C99" s="2">
        <v>1492532596</v>
      </c>
      <c r="D99" s="2">
        <v>1492532780</v>
      </c>
      <c r="E99" s="1">
        <v>10</v>
      </c>
      <c r="F99" s="2">
        <v>181</v>
      </c>
    </row>
    <row r="100" spans="1:6" ht="13" x14ac:dyDescent="0.15">
      <c r="A100" s="2">
        <v>10213</v>
      </c>
      <c r="B100" s="2">
        <v>454</v>
      </c>
      <c r="C100" s="2">
        <v>1492560683</v>
      </c>
      <c r="E100" s="3"/>
      <c r="F100" s="2">
        <v>277</v>
      </c>
    </row>
    <row r="101" spans="1:6" ht="13" x14ac:dyDescent="0.15">
      <c r="A101" s="2">
        <v>10203</v>
      </c>
      <c r="B101" s="2">
        <v>454</v>
      </c>
      <c r="C101" s="2">
        <v>1492694156</v>
      </c>
      <c r="D101" s="2">
        <v>1492696359</v>
      </c>
      <c r="E101" s="1">
        <v>10</v>
      </c>
      <c r="F101" s="2">
        <v>2201</v>
      </c>
    </row>
    <row r="102" spans="1:6" ht="13" x14ac:dyDescent="0.15">
      <c r="A102" s="2">
        <v>10169</v>
      </c>
      <c r="B102" s="2">
        <v>454</v>
      </c>
      <c r="C102" s="2">
        <v>1492709550</v>
      </c>
      <c r="D102" s="2">
        <v>1492710921</v>
      </c>
      <c r="E102" s="1">
        <v>10</v>
      </c>
      <c r="F102" s="2">
        <v>1367</v>
      </c>
    </row>
    <row r="103" spans="1:6" ht="13" x14ac:dyDescent="0.15">
      <c r="A103" s="2">
        <v>10230</v>
      </c>
      <c r="B103" s="2">
        <v>454</v>
      </c>
      <c r="C103" s="2">
        <v>0</v>
      </c>
      <c r="E103" s="3"/>
      <c r="F103" s="2">
        <v>0</v>
      </c>
    </row>
    <row r="104" spans="1:6" ht="13" x14ac:dyDescent="0.15">
      <c r="A104" s="2">
        <v>10227</v>
      </c>
      <c r="B104" s="2">
        <v>454</v>
      </c>
      <c r="C104" s="2">
        <v>0</v>
      </c>
      <c r="E104" s="3"/>
      <c r="F104" s="2">
        <v>0</v>
      </c>
    </row>
    <row r="105" spans="1:6" ht="13" x14ac:dyDescent="0.15">
      <c r="A105" s="2">
        <v>10233</v>
      </c>
      <c r="B105" s="2">
        <v>454</v>
      </c>
      <c r="C105" s="2">
        <v>0</v>
      </c>
      <c r="E105" s="3"/>
      <c r="F105" s="2">
        <v>0</v>
      </c>
    </row>
    <row r="106" spans="1:6" ht="13" x14ac:dyDescent="0.15">
      <c r="A106" s="2">
        <v>10221</v>
      </c>
      <c r="B106" s="2">
        <v>454</v>
      </c>
      <c r="C106" s="2">
        <v>0</v>
      </c>
      <c r="E106" s="3"/>
      <c r="F106" s="2">
        <v>0</v>
      </c>
    </row>
    <row r="107" spans="1:6" ht="13" x14ac:dyDescent="0.15">
      <c r="A107" s="2">
        <v>10226</v>
      </c>
      <c r="B107" s="2">
        <v>454</v>
      </c>
      <c r="C107" s="2">
        <v>0</v>
      </c>
      <c r="E107" s="3"/>
      <c r="F107" s="2">
        <v>0</v>
      </c>
    </row>
    <row r="108" spans="1:6" ht="13" x14ac:dyDescent="0.15">
      <c r="A108" s="2">
        <v>10234</v>
      </c>
      <c r="B108" s="2">
        <v>454</v>
      </c>
      <c r="C108" s="2">
        <v>0</v>
      </c>
      <c r="E108" s="3"/>
      <c r="F108" s="2">
        <v>0</v>
      </c>
    </row>
    <row r="109" spans="1:6" ht="13" x14ac:dyDescent="0.15">
      <c r="A109" s="2">
        <v>10186</v>
      </c>
      <c r="B109" s="2">
        <v>454</v>
      </c>
      <c r="C109" s="2">
        <v>0</v>
      </c>
      <c r="E109" s="3"/>
      <c r="F109" s="2">
        <v>0</v>
      </c>
    </row>
    <row r="110" spans="1:6" ht="13" x14ac:dyDescent="0.15">
      <c r="A110" s="2">
        <v>10183</v>
      </c>
      <c r="B110" s="2">
        <v>454</v>
      </c>
      <c r="C110" s="2">
        <v>0</v>
      </c>
      <c r="E110" s="3"/>
      <c r="F110" s="2">
        <v>0</v>
      </c>
    </row>
    <row r="111" spans="1:6" ht="13" x14ac:dyDescent="0.15">
      <c r="A111" s="2">
        <v>10174</v>
      </c>
      <c r="B111" s="2">
        <v>454</v>
      </c>
      <c r="C111" s="2">
        <v>0</v>
      </c>
      <c r="E111" s="3"/>
      <c r="F111" s="2">
        <v>0</v>
      </c>
    </row>
    <row r="112" spans="1:6" ht="13" x14ac:dyDescent="0.15">
      <c r="A112" s="2">
        <v>10222</v>
      </c>
      <c r="B112" s="2">
        <v>454</v>
      </c>
      <c r="C112" s="2">
        <v>0</v>
      </c>
      <c r="E112" s="3"/>
      <c r="F112" s="2">
        <v>0</v>
      </c>
    </row>
    <row r="113" spans="1:6" ht="13" x14ac:dyDescent="0.15">
      <c r="A113" s="2">
        <v>10238</v>
      </c>
      <c r="B113" s="2">
        <v>454</v>
      </c>
      <c r="C113" s="2">
        <v>1492528814</v>
      </c>
      <c r="E113" s="3"/>
      <c r="F113" s="2">
        <v>241</v>
      </c>
    </row>
    <row r="114" spans="1:6" ht="13" x14ac:dyDescent="0.15">
      <c r="A114" s="2">
        <v>10170</v>
      </c>
      <c r="B114" s="2">
        <v>454</v>
      </c>
      <c r="C114" s="2">
        <v>1491791894</v>
      </c>
      <c r="E114" s="3"/>
      <c r="F114" s="2">
        <v>809</v>
      </c>
    </row>
    <row r="115" spans="1:6" ht="13" x14ac:dyDescent="0.15">
      <c r="A115" s="2">
        <v>10232</v>
      </c>
      <c r="B115" s="2">
        <v>454</v>
      </c>
      <c r="C115" s="2">
        <v>0</v>
      </c>
      <c r="E115" s="3"/>
      <c r="F115" s="2">
        <v>0</v>
      </c>
    </row>
    <row r="116" spans="1:6" ht="13" x14ac:dyDescent="0.15">
      <c r="A116" s="2">
        <v>10220</v>
      </c>
      <c r="B116" s="2">
        <v>454</v>
      </c>
      <c r="C116" s="2">
        <v>0</v>
      </c>
      <c r="E116" s="3"/>
      <c r="F116" s="2">
        <v>0</v>
      </c>
    </row>
    <row r="117" spans="1:6" ht="13" x14ac:dyDescent="0.15">
      <c r="A117" s="2">
        <v>10179</v>
      </c>
      <c r="B117" s="2">
        <v>454</v>
      </c>
      <c r="C117" s="2">
        <v>0</v>
      </c>
      <c r="E117" s="3"/>
      <c r="F117" s="2">
        <v>0</v>
      </c>
    </row>
    <row r="118" spans="1:6" ht="13" x14ac:dyDescent="0.15">
      <c r="A118" s="2">
        <v>10190</v>
      </c>
      <c r="B118" s="2">
        <v>454</v>
      </c>
      <c r="C118" s="2">
        <v>0</v>
      </c>
      <c r="E118" s="3"/>
      <c r="F118" s="2">
        <v>0</v>
      </c>
    </row>
    <row r="119" spans="1:6" ht="13" x14ac:dyDescent="0.15">
      <c r="A119" s="2">
        <v>10219</v>
      </c>
      <c r="B119" s="2">
        <v>454</v>
      </c>
      <c r="C119" s="2">
        <v>0</v>
      </c>
      <c r="E119" s="3"/>
      <c r="F119" s="2">
        <v>0</v>
      </c>
    </row>
    <row r="120" spans="1:6" ht="13" x14ac:dyDescent="0.15">
      <c r="A120" s="2">
        <v>10228</v>
      </c>
      <c r="B120" s="2">
        <v>454</v>
      </c>
      <c r="C120" s="2">
        <v>0</v>
      </c>
      <c r="E120" s="3"/>
      <c r="F120" s="2">
        <v>0</v>
      </c>
    </row>
    <row r="121" spans="1:6" ht="13" x14ac:dyDescent="0.15">
      <c r="A121" s="2">
        <v>10237</v>
      </c>
      <c r="B121" s="2">
        <v>454</v>
      </c>
      <c r="C121" s="2">
        <v>0</v>
      </c>
      <c r="E121" s="3"/>
      <c r="F121" s="2">
        <v>0</v>
      </c>
    </row>
    <row r="122" spans="1:6" ht="13" x14ac:dyDescent="0.15">
      <c r="A122" s="2">
        <v>10185</v>
      </c>
      <c r="B122" s="2">
        <v>454</v>
      </c>
      <c r="C122" s="2">
        <v>0</v>
      </c>
      <c r="E122" s="3"/>
      <c r="F122" s="2">
        <v>0</v>
      </c>
    </row>
    <row r="123" spans="1:6" ht="13" x14ac:dyDescent="0.15">
      <c r="A123" s="2">
        <v>2</v>
      </c>
      <c r="B123" s="2">
        <v>457</v>
      </c>
      <c r="C123" s="2">
        <v>0</v>
      </c>
      <c r="D123" s="2">
        <v>1491530540</v>
      </c>
      <c r="E123" s="1">
        <v>10</v>
      </c>
      <c r="F123" s="2">
        <v>0</v>
      </c>
    </row>
    <row r="124" spans="1:6" ht="13" x14ac:dyDescent="0.15">
      <c r="A124" s="2">
        <v>10184</v>
      </c>
      <c r="B124" s="2">
        <v>457</v>
      </c>
      <c r="C124" s="2">
        <v>1491609232</v>
      </c>
      <c r="D124" s="2">
        <v>1491613379</v>
      </c>
      <c r="E124" s="1">
        <v>10</v>
      </c>
      <c r="F124" s="2">
        <v>809</v>
      </c>
    </row>
    <row r="125" spans="1:6" ht="13" x14ac:dyDescent="0.15">
      <c r="A125" s="2">
        <v>10231</v>
      </c>
      <c r="B125" s="2">
        <v>457</v>
      </c>
      <c r="C125" s="2">
        <v>1491659803</v>
      </c>
      <c r="D125" s="2">
        <v>1491660863</v>
      </c>
      <c r="E125" s="1">
        <v>10</v>
      </c>
      <c r="F125" s="2">
        <v>969</v>
      </c>
    </row>
    <row r="126" spans="1:6" ht="13" x14ac:dyDescent="0.15">
      <c r="A126" s="2">
        <v>10193</v>
      </c>
      <c r="B126" s="2">
        <v>457</v>
      </c>
      <c r="C126" s="2">
        <v>1491678056</v>
      </c>
      <c r="D126" s="2">
        <v>1491678662</v>
      </c>
      <c r="E126" s="1">
        <v>10</v>
      </c>
      <c r="F126" s="2">
        <v>602</v>
      </c>
    </row>
    <row r="127" spans="1:6" ht="13" x14ac:dyDescent="0.15">
      <c r="A127" s="2">
        <v>10188</v>
      </c>
      <c r="B127" s="2">
        <v>457</v>
      </c>
      <c r="C127" s="2">
        <v>1491662112</v>
      </c>
      <c r="D127" s="2">
        <v>1491682657</v>
      </c>
      <c r="E127" s="1">
        <v>10</v>
      </c>
      <c r="F127" s="2">
        <v>254</v>
      </c>
    </row>
    <row r="128" spans="1:6" ht="13" x14ac:dyDescent="0.15">
      <c r="A128" s="2">
        <v>10208</v>
      </c>
      <c r="B128" s="2">
        <v>457</v>
      </c>
      <c r="C128" s="2">
        <v>1491759985</v>
      </c>
      <c r="D128" s="2">
        <v>1491762639</v>
      </c>
      <c r="E128" s="1">
        <v>10</v>
      </c>
      <c r="F128" s="2">
        <v>2033</v>
      </c>
    </row>
    <row r="129" spans="1:6" ht="13" x14ac:dyDescent="0.15">
      <c r="A129" s="2">
        <v>10176</v>
      </c>
      <c r="B129" s="2">
        <v>457</v>
      </c>
      <c r="C129" s="2">
        <v>1491836077</v>
      </c>
      <c r="D129" s="2">
        <v>1492466470</v>
      </c>
      <c r="E129" s="1">
        <v>10</v>
      </c>
      <c r="F129" s="2">
        <v>2208</v>
      </c>
    </row>
    <row r="130" spans="1:6" ht="13" x14ac:dyDescent="0.15">
      <c r="A130" s="2">
        <v>10215</v>
      </c>
      <c r="B130" s="2">
        <v>457</v>
      </c>
      <c r="C130" s="2">
        <v>1491837226</v>
      </c>
      <c r="D130" s="2">
        <v>1491837707</v>
      </c>
      <c r="E130" s="1">
        <v>10</v>
      </c>
      <c r="F130" s="2">
        <v>461</v>
      </c>
    </row>
    <row r="131" spans="1:6" ht="13" x14ac:dyDescent="0.15">
      <c r="A131" s="2">
        <v>10211</v>
      </c>
      <c r="B131" s="2">
        <v>457</v>
      </c>
      <c r="C131" s="2">
        <v>1491838533</v>
      </c>
      <c r="D131" s="2">
        <v>1491839228</v>
      </c>
      <c r="E131" s="1">
        <v>10</v>
      </c>
      <c r="F131" s="2">
        <v>691</v>
      </c>
    </row>
    <row r="132" spans="1:6" ht="13" x14ac:dyDescent="0.15">
      <c r="A132" s="2">
        <v>10171</v>
      </c>
      <c r="B132" s="2">
        <v>457</v>
      </c>
      <c r="C132" s="2">
        <v>1491848894</v>
      </c>
      <c r="D132" s="2">
        <v>1491850340</v>
      </c>
      <c r="E132" s="1">
        <v>10</v>
      </c>
      <c r="F132" s="2">
        <v>1138</v>
      </c>
    </row>
    <row r="133" spans="1:6" ht="13" x14ac:dyDescent="0.15">
      <c r="A133" s="2">
        <v>10212</v>
      </c>
      <c r="B133" s="2">
        <v>457</v>
      </c>
      <c r="C133" s="2">
        <v>1491849510</v>
      </c>
      <c r="E133" s="3"/>
      <c r="F133" s="2">
        <v>9384</v>
      </c>
    </row>
    <row r="134" spans="1:6" ht="13" x14ac:dyDescent="0.15">
      <c r="A134" s="2">
        <v>10181</v>
      </c>
      <c r="B134" s="2">
        <v>457</v>
      </c>
      <c r="C134" s="2">
        <v>1491850793</v>
      </c>
      <c r="D134" s="2">
        <v>1491851284</v>
      </c>
      <c r="E134" s="1">
        <v>10</v>
      </c>
      <c r="F134" s="2">
        <v>487</v>
      </c>
    </row>
    <row r="135" spans="1:6" ht="13" x14ac:dyDescent="0.15">
      <c r="A135" s="2">
        <v>10201</v>
      </c>
      <c r="B135" s="2">
        <v>457</v>
      </c>
      <c r="C135" s="2">
        <v>1491870766</v>
      </c>
      <c r="D135" s="2">
        <v>1492445690</v>
      </c>
      <c r="E135" s="1">
        <v>10</v>
      </c>
      <c r="F135" s="2">
        <v>4369</v>
      </c>
    </row>
    <row r="136" spans="1:6" ht="13" x14ac:dyDescent="0.15">
      <c r="A136" s="2">
        <v>10210</v>
      </c>
      <c r="B136" s="2">
        <v>457</v>
      </c>
      <c r="C136" s="2">
        <v>1491910070</v>
      </c>
      <c r="D136" s="2">
        <v>1491910757</v>
      </c>
      <c r="E136" s="1">
        <v>10</v>
      </c>
      <c r="F136" s="2">
        <v>684</v>
      </c>
    </row>
    <row r="137" spans="1:6" ht="13" x14ac:dyDescent="0.15">
      <c r="A137" s="2">
        <v>10191</v>
      </c>
      <c r="B137" s="2">
        <v>457</v>
      </c>
      <c r="C137" s="2">
        <v>1491924462</v>
      </c>
      <c r="D137" s="2">
        <v>1491925232</v>
      </c>
      <c r="E137" s="1">
        <v>10</v>
      </c>
      <c r="F137" s="2">
        <v>1688</v>
      </c>
    </row>
    <row r="138" spans="1:6" ht="13" x14ac:dyDescent="0.15">
      <c r="A138" s="2">
        <v>10175</v>
      </c>
      <c r="B138" s="2">
        <v>457</v>
      </c>
      <c r="C138" s="2">
        <v>1491949515</v>
      </c>
      <c r="D138" s="2">
        <v>1491950054</v>
      </c>
      <c r="E138" s="1">
        <v>10</v>
      </c>
      <c r="F138" s="2">
        <v>537</v>
      </c>
    </row>
    <row r="139" spans="1:6" ht="13" x14ac:dyDescent="0.15">
      <c r="A139" s="2">
        <v>10206</v>
      </c>
      <c r="B139" s="2">
        <v>457</v>
      </c>
      <c r="C139" s="2">
        <v>1491955471</v>
      </c>
      <c r="D139" s="2">
        <v>1491955944</v>
      </c>
      <c r="E139" s="1">
        <v>10</v>
      </c>
      <c r="F139" s="2">
        <v>470</v>
      </c>
    </row>
    <row r="140" spans="1:6" ht="13" x14ac:dyDescent="0.15">
      <c r="A140" s="2">
        <v>10204</v>
      </c>
      <c r="B140" s="2">
        <v>457</v>
      </c>
      <c r="C140" s="2">
        <v>1492092350</v>
      </c>
      <c r="E140" s="3"/>
      <c r="F140" s="2">
        <v>20815</v>
      </c>
    </row>
    <row r="141" spans="1:6" ht="13" x14ac:dyDescent="0.15">
      <c r="A141" s="2">
        <v>10223</v>
      </c>
      <c r="B141" s="2">
        <v>457</v>
      </c>
      <c r="C141" s="2">
        <v>1492099491</v>
      </c>
      <c r="D141" s="2">
        <v>1492105106</v>
      </c>
      <c r="E141" s="1">
        <v>10</v>
      </c>
      <c r="F141" s="2">
        <v>5600</v>
      </c>
    </row>
    <row r="142" spans="1:6" ht="13" x14ac:dyDescent="0.15">
      <c r="A142" s="2">
        <v>10209</v>
      </c>
      <c r="B142" s="2">
        <v>457</v>
      </c>
      <c r="C142" s="2">
        <v>1492012792</v>
      </c>
      <c r="D142" s="2">
        <v>1492130720</v>
      </c>
      <c r="E142" s="1">
        <v>10</v>
      </c>
      <c r="F142" s="2">
        <v>1188</v>
      </c>
    </row>
    <row r="143" spans="1:6" ht="13" x14ac:dyDescent="0.15">
      <c r="A143" s="2">
        <v>10198</v>
      </c>
      <c r="B143" s="2">
        <v>457</v>
      </c>
      <c r="C143" s="2">
        <v>1492193254</v>
      </c>
      <c r="D143" s="2">
        <v>1492201744</v>
      </c>
      <c r="E143" s="1">
        <v>10</v>
      </c>
      <c r="F143" s="2">
        <v>8488</v>
      </c>
    </row>
    <row r="144" spans="1:6" ht="13" x14ac:dyDescent="0.15">
      <c r="A144" s="2">
        <v>10202</v>
      </c>
      <c r="B144" s="2">
        <v>457</v>
      </c>
      <c r="C144" s="2">
        <v>1491949270</v>
      </c>
      <c r="E144" s="3"/>
      <c r="F144" s="2">
        <v>6809</v>
      </c>
    </row>
    <row r="145" spans="1:6" ht="13" x14ac:dyDescent="0.15">
      <c r="A145" s="2">
        <v>10200</v>
      </c>
      <c r="B145" s="2">
        <v>457</v>
      </c>
      <c r="C145" s="2">
        <v>1492285440</v>
      </c>
      <c r="D145" s="2">
        <v>1492477878</v>
      </c>
      <c r="E145" s="1">
        <v>10</v>
      </c>
      <c r="F145" s="2">
        <v>25241</v>
      </c>
    </row>
    <row r="146" spans="1:6" ht="13" x14ac:dyDescent="0.15">
      <c r="A146" s="2">
        <v>10217</v>
      </c>
      <c r="B146" s="2">
        <v>457</v>
      </c>
      <c r="C146" s="2">
        <v>1492396073</v>
      </c>
      <c r="D146" s="2">
        <v>1492400488</v>
      </c>
      <c r="E146" s="1">
        <v>10</v>
      </c>
      <c r="F146" s="2">
        <v>4411</v>
      </c>
    </row>
    <row r="147" spans="1:6" ht="13" x14ac:dyDescent="0.15">
      <c r="A147" s="2">
        <v>10214</v>
      </c>
      <c r="B147" s="2">
        <v>457</v>
      </c>
      <c r="C147" s="2">
        <v>1492442776</v>
      </c>
      <c r="D147" s="2">
        <v>1492710406</v>
      </c>
      <c r="E147" s="1">
        <v>10</v>
      </c>
      <c r="F147" s="2">
        <v>10755</v>
      </c>
    </row>
    <row r="148" spans="1:6" ht="13" x14ac:dyDescent="0.15">
      <c r="A148" s="2">
        <v>10172</v>
      </c>
      <c r="B148" s="2">
        <v>457</v>
      </c>
      <c r="C148" s="2">
        <v>1492456619</v>
      </c>
      <c r="D148" s="2">
        <v>1492458901</v>
      </c>
      <c r="E148" s="1">
        <v>10</v>
      </c>
      <c r="F148" s="2">
        <v>2278</v>
      </c>
    </row>
    <row r="149" spans="1:6" ht="13" x14ac:dyDescent="0.15">
      <c r="A149" s="2">
        <v>10199</v>
      </c>
      <c r="B149" s="2">
        <v>457</v>
      </c>
      <c r="C149" s="2">
        <v>1492457134</v>
      </c>
      <c r="D149" s="2">
        <v>1492708430</v>
      </c>
      <c r="E149" s="1">
        <v>10</v>
      </c>
      <c r="F149" s="2">
        <v>12373</v>
      </c>
    </row>
    <row r="150" spans="1:6" ht="13" x14ac:dyDescent="0.15">
      <c r="A150" s="2">
        <v>10219</v>
      </c>
      <c r="B150" s="2">
        <v>457</v>
      </c>
      <c r="C150" s="2">
        <v>1492460913</v>
      </c>
      <c r="E150" s="3"/>
      <c r="F150" s="2">
        <v>1865</v>
      </c>
    </row>
    <row r="151" spans="1:6" ht="13" x14ac:dyDescent="0.15">
      <c r="A151" s="2">
        <v>10196</v>
      </c>
      <c r="B151" s="2">
        <v>457</v>
      </c>
      <c r="C151" s="2">
        <v>1492475522</v>
      </c>
      <c r="D151" s="2">
        <v>1492476058</v>
      </c>
      <c r="E151" s="1">
        <v>10</v>
      </c>
      <c r="F151" s="2">
        <v>533</v>
      </c>
    </row>
    <row r="152" spans="1:6" ht="13" x14ac:dyDescent="0.15">
      <c r="A152" s="2">
        <v>10218</v>
      </c>
      <c r="B152" s="2">
        <v>457</v>
      </c>
      <c r="C152" s="2">
        <v>1492476501</v>
      </c>
      <c r="D152" s="2">
        <v>1492476699</v>
      </c>
      <c r="E152" s="1">
        <v>10</v>
      </c>
      <c r="F152" s="2">
        <v>195</v>
      </c>
    </row>
    <row r="153" spans="1:6" ht="13" x14ac:dyDescent="0.15">
      <c r="A153" s="2">
        <v>10189</v>
      </c>
      <c r="B153" s="2">
        <v>457</v>
      </c>
      <c r="C153" s="2">
        <v>1492478556</v>
      </c>
      <c r="D153" s="2">
        <v>1492478824</v>
      </c>
      <c r="E153" s="1">
        <v>10</v>
      </c>
      <c r="F153" s="2">
        <v>265</v>
      </c>
    </row>
    <row r="154" spans="1:6" ht="13" x14ac:dyDescent="0.15">
      <c r="A154" s="2">
        <v>10216</v>
      </c>
      <c r="B154" s="2">
        <v>457</v>
      </c>
      <c r="C154" s="2">
        <v>1492532874</v>
      </c>
      <c r="D154" s="2">
        <v>1492533331</v>
      </c>
      <c r="E154" s="1">
        <v>10</v>
      </c>
      <c r="F154" s="2">
        <v>454</v>
      </c>
    </row>
    <row r="155" spans="1:6" ht="13" x14ac:dyDescent="0.15">
      <c r="A155" s="2">
        <v>10187</v>
      </c>
      <c r="B155" s="2">
        <v>457</v>
      </c>
      <c r="C155" s="2">
        <v>1492534312</v>
      </c>
      <c r="D155" s="2">
        <v>1492539279</v>
      </c>
      <c r="E155" s="1">
        <v>10</v>
      </c>
      <c r="F155" s="2">
        <v>4913</v>
      </c>
    </row>
    <row r="156" spans="1:6" ht="13" x14ac:dyDescent="0.15">
      <c r="A156" s="2">
        <v>10178</v>
      </c>
      <c r="B156" s="2">
        <v>457</v>
      </c>
      <c r="C156" s="2">
        <v>1492556739</v>
      </c>
      <c r="D156" s="2">
        <v>1492784110</v>
      </c>
      <c r="E156" s="1">
        <v>10</v>
      </c>
      <c r="F156" s="2">
        <v>1481</v>
      </c>
    </row>
    <row r="157" spans="1:6" ht="13" x14ac:dyDescent="0.15">
      <c r="A157" s="2">
        <v>10169</v>
      </c>
      <c r="B157" s="2">
        <v>457</v>
      </c>
      <c r="C157" s="2">
        <v>1492711780</v>
      </c>
      <c r="E157" s="3"/>
      <c r="F157" s="2">
        <v>3530</v>
      </c>
    </row>
    <row r="158" spans="1:6" ht="13" x14ac:dyDescent="0.15">
      <c r="A158" s="2">
        <v>10230</v>
      </c>
      <c r="B158" s="2">
        <v>457</v>
      </c>
      <c r="C158" s="2">
        <v>0</v>
      </c>
      <c r="E158" s="3"/>
      <c r="F158" s="2">
        <v>0</v>
      </c>
    </row>
    <row r="159" spans="1:6" ht="13" x14ac:dyDescent="0.15">
      <c r="A159" s="2">
        <v>10233</v>
      </c>
      <c r="B159" s="2">
        <v>457</v>
      </c>
      <c r="C159" s="2">
        <v>0</v>
      </c>
      <c r="E159" s="3"/>
      <c r="F159" s="2">
        <v>0</v>
      </c>
    </row>
    <row r="160" spans="1:6" ht="13" x14ac:dyDescent="0.15">
      <c r="A160" s="2">
        <v>10226</v>
      </c>
      <c r="B160" s="2">
        <v>457</v>
      </c>
      <c r="C160" s="2">
        <v>0</v>
      </c>
      <c r="E160" s="3"/>
      <c r="F160" s="2">
        <v>0</v>
      </c>
    </row>
    <row r="161" spans="1:6" ht="13" x14ac:dyDescent="0.15">
      <c r="A161" s="2">
        <v>10240</v>
      </c>
      <c r="B161" s="2">
        <v>457</v>
      </c>
      <c r="C161" s="2">
        <v>0</v>
      </c>
      <c r="E161" s="3"/>
      <c r="F161" s="2">
        <v>0</v>
      </c>
    </row>
    <row r="162" spans="1:6" ht="13" x14ac:dyDescent="0.15">
      <c r="A162" s="2">
        <v>10227</v>
      </c>
      <c r="B162" s="2">
        <v>457</v>
      </c>
      <c r="C162" s="2">
        <v>0</v>
      </c>
      <c r="E162" s="3"/>
      <c r="F162" s="2">
        <v>0</v>
      </c>
    </row>
    <row r="163" spans="1:6" ht="13" x14ac:dyDescent="0.15">
      <c r="A163" s="2">
        <v>10186</v>
      </c>
      <c r="B163" s="2">
        <v>457</v>
      </c>
      <c r="C163" s="2">
        <v>0</v>
      </c>
      <c r="E163" s="3"/>
      <c r="F163" s="2">
        <v>0</v>
      </c>
    </row>
    <row r="164" spans="1:6" ht="13" x14ac:dyDescent="0.15">
      <c r="A164" s="2">
        <v>10197</v>
      </c>
      <c r="B164" s="2">
        <v>457</v>
      </c>
      <c r="C164" s="2">
        <v>0</v>
      </c>
      <c r="E164" s="3"/>
      <c r="F164" s="2">
        <v>0</v>
      </c>
    </row>
    <row r="165" spans="1:6" ht="13" x14ac:dyDescent="0.15">
      <c r="A165" s="2">
        <v>10213</v>
      </c>
      <c r="B165" s="2">
        <v>457</v>
      </c>
      <c r="C165" s="2">
        <v>0</v>
      </c>
      <c r="E165" s="3"/>
      <c r="F165" s="2">
        <v>0</v>
      </c>
    </row>
    <row r="166" spans="1:6" ht="13" x14ac:dyDescent="0.15">
      <c r="A166" s="2">
        <v>10174</v>
      </c>
      <c r="B166" s="2">
        <v>457</v>
      </c>
      <c r="C166" s="2">
        <v>0</v>
      </c>
      <c r="E166" s="3"/>
      <c r="F166" s="2">
        <v>0</v>
      </c>
    </row>
    <row r="167" spans="1:6" ht="13" x14ac:dyDescent="0.15">
      <c r="A167" s="2">
        <v>10238</v>
      </c>
      <c r="B167" s="2">
        <v>457</v>
      </c>
      <c r="C167" s="2">
        <v>0</v>
      </c>
      <c r="E167" s="3"/>
      <c r="F167" s="2">
        <v>0</v>
      </c>
    </row>
    <row r="168" spans="1:6" ht="13" x14ac:dyDescent="0.15">
      <c r="A168" s="2">
        <v>10232</v>
      </c>
      <c r="B168" s="2">
        <v>457</v>
      </c>
      <c r="C168" s="2">
        <v>0</v>
      </c>
      <c r="E168" s="3"/>
      <c r="F168" s="2">
        <v>0</v>
      </c>
    </row>
    <row r="169" spans="1:6" ht="13" x14ac:dyDescent="0.15">
      <c r="A169" s="2">
        <v>10220</v>
      </c>
      <c r="B169" s="2">
        <v>457</v>
      </c>
      <c r="C169" s="2">
        <v>0</v>
      </c>
      <c r="E169" s="3"/>
      <c r="F169" s="2">
        <v>0</v>
      </c>
    </row>
    <row r="170" spans="1:6" ht="13" x14ac:dyDescent="0.15">
      <c r="A170" s="2">
        <v>10221</v>
      </c>
      <c r="B170" s="2">
        <v>457</v>
      </c>
      <c r="C170" s="2">
        <v>0</v>
      </c>
      <c r="E170" s="3"/>
      <c r="F170" s="2">
        <v>0</v>
      </c>
    </row>
    <row r="171" spans="1:6" ht="13" x14ac:dyDescent="0.15">
      <c r="A171" s="2">
        <v>10203</v>
      </c>
      <c r="B171" s="2">
        <v>457</v>
      </c>
      <c r="C171" s="2">
        <v>1492696628</v>
      </c>
      <c r="E171" s="3"/>
      <c r="F171" s="2">
        <v>99</v>
      </c>
    </row>
    <row r="172" spans="1:6" ht="13" x14ac:dyDescent="0.15">
      <c r="A172" s="2">
        <v>10222</v>
      </c>
      <c r="B172" s="2">
        <v>457</v>
      </c>
      <c r="C172" s="2">
        <v>0</v>
      </c>
      <c r="E172" s="3"/>
      <c r="F172" s="2">
        <v>0</v>
      </c>
    </row>
    <row r="173" spans="1:6" ht="13" x14ac:dyDescent="0.15">
      <c r="A173" s="2">
        <v>10170</v>
      </c>
      <c r="B173" s="2">
        <v>457</v>
      </c>
      <c r="C173" s="2">
        <v>0</v>
      </c>
      <c r="E173" s="3"/>
      <c r="F173" s="2">
        <v>0</v>
      </c>
    </row>
    <row r="174" spans="1:6" ht="13" x14ac:dyDescent="0.15">
      <c r="A174" s="2">
        <v>10192</v>
      </c>
      <c r="B174" s="2">
        <v>457</v>
      </c>
      <c r="C174" s="2">
        <v>1492456908</v>
      </c>
      <c r="E174" s="3"/>
      <c r="F174" s="2">
        <v>8</v>
      </c>
    </row>
    <row r="175" spans="1:6" ht="13" x14ac:dyDescent="0.15">
      <c r="A175" s="2">
        <v>10228</v>
      </c>
      <c r="B175" s="2">
        <v>457</v>
      </c>
      <c r="C175" s="2">
        <v>0</v>
      </c>
      <c r="E175" s="3"/>
      <c r="F175" s="2">
        <v>0</v>
      </c>
    </row>
    <row r="176" spans="1:6" ht="13" x14ac:dyDescent="0.15">
      <c r="A176" s="2">
        <v>10237</v>
      </c>
      <c r="B176" s="2">
        <v>457</v>
      </c>
      <c r="C176" s="2">
        <v>0</v>
      </c>
      <c r="E176" s="3"/>
      <c r="F176" s="2">
        <v>0</v>
      </c>
    </row>
    <row r="177" spans="1:6" ht="13" x14ac:dyDescent="0.15">
      <c r="A177" s="2">
        <v>10179</v>
      </c>
      <c r="B177" s="2">
        <v>457</v>
      </c>
      <c r="C177" s="2">
        <v>0</v>
      </c>
      <c r="E177" s="3"/>
      <c r="F177" s="2">
        <v>0</v>
      </c>
    </row>
    <row r="178" spans="1:6" ht="13" x14ac:dyDescent="0.15">
      <c r="A178" s="2">
        <v>10185</v>
      </c>
      <c r="B178" s="2">
        <v>457</v>
      </c>
      <c r="C178" s="2">
        <v>0</v>
      </c>
      <c r="E178" s="3"/>
      <c r="F178" s="2">
        <v>0</v>
      </c>
    </row>
    <row r="179" spans="1:6" ht="13" x14ac:dyDescent="0.15">
      <c r="A179" s="2">
        <v>10234</v>
      </c>
      <c r="B179" s="2">
        <v>457</v>
      </c>
      <c r="C179" s="2">
        <v>0</v>
      </c>
      <c r="E179" s="3"/>
      <c r="F179" s="2">
        <v>0</v>
      </c>
    </row>
    <row r="180" spans="1:6" ht="13" x14ac:dyDescent="0.15">
      <c r="A180" s="2">
        <v>10190</v>
      </c>
      <c r="B180" s="2">
        <v>457</v>
      </c>
      <c r="C180" s="2">
        <v>0</v>
      </c>
      <c r="E180" s="3"/>
      <c r="F180" s="2">
        <v>0</v>
      </c>
    </row>
    <row r="181" spans="1:6" ht="13" x14ac:dyDescent="0.15">
      <c r="A181" s="2">
        <v>2</v>
      </c>
      <c r="B181" s="2">
        <v>534</v>
      </c>
      <c r="C181" s="2">
        <v>0</v>
      </c>
      <c r="D181" s="2">
        <v>1495517960</v>
      </c>
      <c r="E181" s="1">
        <v>100</v>
      </c>
      <c r="F181" s="2">
        <v>0</v>
      </c>
    </row>
    <row r="182" spans="1:6" ht="13" x14ac:dyDescent="0.15">
      <c r="A182" s="2">
        <v>10188</v>
      </c>
      <c r="B182" s="2">
        <v>534</v>
      </c>
      <c r="C182" s="2">
        <v>1495570337</v>
      </c>
      <c r="D182" s="2">
        <v>1495581270</v>
      </c>
      <c r="E182" s="1">
        <v>10</v>
      </c>
      <c r="F182" s="2">
        <v>10931</v>
      </c>
    </row>
    <row r="183" spans="1:6" ht="13" x14ac:dyDescent="0.15">
      <c r="A183" s="2">
        <v>10184</v>
      </c>
      <c r="B183" s="2">
        <v>534</v>
      </c>
      <c r="C183" s="2">
        <v>1495579420</v>
      </c>
      <c r="D183" s="2">
        <v>1495583038</v>
      </c>
      <c r="E183" s="1">
        <v>10</v>
      </c>
      <c r="F183" s="2">
        <v>9838</v>
      </c>
    </row>
    <row r="184" spans="1:6" ht="13" x14ac:dyDescent="0.15">
      <c r="A184" s="2">
        <v>10197</v>
      </c>
      <c r="B184" s="2">
        <v>534</v>
      </c>
      <c r="C184" s="2">
        <v>1495579898</v>
      </c>
      <c r="D184" s="2">
        <v>1495672421</v>
      </c>
      <c r="E184" s="1">
        <v>10</v>
      </c>
      <c r="F184" s="2">
        <v>8693</v>
      </c>
    </row>
    <row r="185" spans="1:6" ht="13" x14ac:dyDescent="0.15">
      <c r="A185" s="2">
        <v>10204</v>
      </c>
      <c r="B185" s="2">
        <v>534</v>
      </c>
      <c r="C185" s="2">
        <v>1495631033</v>
      </c>
      <c r="E185" s="3"/>
      <c r="F185" s="2">
        <v>6317</v>
      </c>
    </row>
    <row r="186" spans="1:6" ht="13" x14ac:dyDescent="0.15">
      <c r="A186" s="2">
        <v>10219</v>
      </c>
      <c r="B186" s="2">
        <v>534</v>
      </c>
      <c r="C186" s="2">
        <v>1495644508</v>
      </c>
      <c r="E186" s="3"/>
      <c r="F186" s="2">
        <v>1964</v>
      </c>
    </row>
    <row r="187" spans="1:6" ht="13" x14ac:dyDescent="0.15">
      <c r="A187" s="2">
        <v>10200</v>
      </c>
      <c r="B187" s="2">
        <v>534</v>
      </c>
      <c r="C187" s="2">
        <v>1495645952</v>
      </c>
      <c r="E187" s="3"/>
      <c r="F187" s="2">
        <v>20554</v>
      </c>
    </row>
    <row r="188" spans="1:6" ht="13" x14ac:dyDescent="0.15">
      <c r="A188" s="2">
        <v>10208</v>
      </c>
      <c r="B188" s="2">
        <v>534</v>
      </c>
      <c r="C188" s="2">
        <v>1495649875</v>
      </c>
      <c r="D188" s="2">
        <v>1495654095</v>
      </c>
      <c r="E188" s="1">
        <v>10</v>
      </c>
      <c r="F188" s="2">
        <v>4218</v>
      </c>
    </row>
    <row r="189" spans="1:6" ht="13" x14ac:dyDescent="0.15">
      <c r="A189" s="2">
        <v>10171</v>
      </c>
      <c r="B189" s="2">
        <v>534</v>
      </c>
      <c r="C189" s="2">
        <v>1495670139</v>
      </c>
      <c r="D189" s="2">
        <v>1495759268</v>
      </c>
      <c r="E189" s="1">
        <v>10</v>
      </c>
      <c r="F189" s="2">
        <v>9869</v>
      </c>
    </row>
    <row r="190" spans="1:6" ht="13" x14ac:dyDescent="0.15">
      <c r="A190" s="2">
        <v>10231</v>
      </c>
      <c r="B190" s="2">
        <v>534</v>
      </c>
      <c r="C190" s="2">
        <v>0</v>
      </c>
      <c r="E190" s="3"/>
      <c r="F190" s="2">
        <v>0</v>
      </c>
    </row>
    <row r="191" spans="1:6" ht="13" x14ac:dyDescent="0.15">
      <c r="A191" s="2">
        <v>10211</v>
      </c>
      <c r="B191" s="2">
        <v>534</v>
      </c>
      <c r="C191" s="2">
        <v>0</v>
      </c>
      <c r="E191" s="3"/>
      <c r="F191" s="2">
        <v>0</v>
      </c>
    </row>
    <row r="192" spans="1:6" ht="13" x14ac:dyDescent="0.15">
      <c r="A192" s="2">
        <v>10227</v>
      </c>
      <c r="B192" s="2">
        <v>534</v>
      </c>
      <c r="C192" s="2">
        <v>0</v>
      </c>
      <c r="E192" s="3"/>
      <c r="F192" s="2">
        <v>0</v>
      </c>
    </row>
    <row r="193" spans="1:6" ht="13" x14ac:dyDescent="0.15">
      <c r="A193" s="2">
        <v>10214</v>
      </c>
      <c r="B193" s="2">
        <v>534</v>
      </c>
      <c r="C193" s="2">
        <v>0</v>
      </c>
      <c r="E193" s="3"/>
      <c r="F193" s="2">
        <v>0</v>
      </c>
    </row>
    <row r="194" spans="1:6" ht="13" x14ac:dyDescent="0.15">
      <c r="A194" s="2">
        <v>10187</v>
      </c>
      <c r="B194" s="2">
        <v>534</v>
      </c>
      <c r="C194" s="2">
        <v>0</v>
      </c>
      <c r="E194" s="3"/>
      <c r="F194" s="2">
        <v>0</v>
      </c>
    </row>
    <row r="195" spans="1:6" ht="13" x14ac:dyDescent="0.15">
      <c r="A195" s="2">
        <v>10217</v>
      </c>
      <c r="B195" s="2">
        <v>534</v>
      </c>
      <c r="C195" s="2">
        <v>0</v>
      </c>
      <c r="E195" s="3"/>
      <c r="F195" s="2">
        <v>0</v>
      </c>
    </row>
    <row r="196" spans="1:6" ht="13" x14ac:dyDescent="0.15">
      <c r="A196" s="2">
        <v>10175</v>
      </c>
      <c r="B196" s="2">
        <v>534</v>
      </c>
      <c r="C196" s="2">
        <v>0</v>
      </c>
      <c r="E196" s="3"/>
      <c r="F196" s="2">
        <v>0</v>
      </c>
    </row>
    <row r="197" spans="1:6" ht="13" x14ac:dyDescent="0.15">
      <c r="A197" s="2">
        <v>10223</v>
      </c>
      <c r="B197" s="2">
        <v>534</v>
      </c>
      <c r="C197" s="2">
        <v>0</v>
      </c>
      <c r="E197" s="3"/>
      <c r="F197" s="2">
        <v>0</v>
      </c>
    </row>
    <row r="198" spans="1:6" ht="13" x14ac:dyDescent="0.15">
      <c r="A198" s="2">
        <v>10191</v>
      </c>
      <c r="B198" s="2">
        <v>534</v>
      </c>
      <c r="C198" s="2">
        <v>0</v>
      </c>
      <c r="E198" s="3"/>
      <c r="F198" s="2">
        <v>0</v>
      </c>
    </row>
    <row r="199" spans="1:6" ht="13" x14ac:dyDescent="0.15">
      <c r="A199" s="2">
        <v>10210</v>
      </c>
      <c r="B199" s="2">
        <v>534</v>
      </c>
      <c r="C199" s="2">
        <v>0</v>
      </c>
      <c r="E199" s="3"/>
      <c r="F199" s="2">
        <v>0</v>
      </c>
    </row>
    <row r="200" spans="1:6" ht="13" x14ac:dyDescent="0.15">
      <c r="A200" s="2">
        <v>10192</v>
      </c>
      <c r="B200" s="2">
        <v>534</v>
      </c>
      <c r="C200" s="2">
        <v>0</v>
      </c>
      <c r="E200" s="3"/>
      <c r="F200" s="2">
        <v>0</v>
      </c>
    </row>
    <row r="201" spans="1:6" ht="13" x14ac:dyDescent="0.15">
      <c r="A201" s="2">
        <v>10206</v>
      </c>
      <c r="B201" s="2">
        <v>534</v>
      </c>
      <c r="C201" s="2">
        <v>0</v>
      </c>
      <c r="E201" s="3"/>
      <c r="F201" s="2">
        <v>0</v>
      </c>
    </row>
    <row r="202" spans="1:6" ht="13" x14ac:dyDescent="0.15">
      <c r="A202" s="2">
        <v>10172</v>
      </c>
      <c r="B202" s="2">
        <v>534</v>
      </c>
      <c r="C202" s="2">
        <v>0</v>
      </c>
      <c r="E202" s="3"/>
      <c r="F202" s="2">
        <v>0</v>
      </c>
    </row>
    <row r="203" spans="1:6" ht="13" x14ac:dyDescent="0.15">
      <c r="A203" s="2">
        <v>10215</v>
      </c>
      <c r="B203" s="2">
        <v>534</v>
      </c>
      <c r="C203" s="2">
        <v>0</v>
      </c>
      <c r="E203" s="3"/>
      <c r="F203" s="2">
        <v>0</v>
      </c>
    </row>
    <row r="204" spans="1:6" ht="13" x14ac:dyDescent="0.15">
      <c r="A204" s="2">
        <v>10201</v>
      </c>
      <c r="B204" s="2">
        <v>534</v>
      </c>
      <c r="C204" s="2">
        <v>0</v>
      </c>
      <c r="E204" s="3"/>
      <c r="F204" s="2">
        <v>0</v>
      </c>
    </row>
    <row r="205" spans="1:6" ht="13" x14ac:dyDescent="0.15">
      <c r="A205" s="2">
        <v>10198</v>
      </c>
      <c r="B205" s="2">
        <v>534</v>
      </c>
      <c r="C205" s="2">
        <v>0</v>
      </c>
      <c r="E205" s="3"/>
      <c r="F205" s="2">
        <v>0</v>
      </c>
    </row>
    <row r="206" spans="1:6" ht="13" x14ac:dyDescent="0.15">
      <c r="A206" s="2">
        <v>10220</v>
      </c>
      <c r="B206" s="2">
        <v>534</v>
      </c>
      <c r="C206" s="2">
        <v>0</v>
      </c>
      <c r="E206" s="3"/>
      <c r="F206" s="2">
        <v>0</v>
      </c>
    </row>
    <row r="207" spans="1:6" ht="13" x14ac:dyDescent="0.15">
      <c r="A207" s="2">
        <v>10174</v>
      </c>
      <c r="B207" s="2">
        <v>534</v>
      </c>
      <c r="C207" s="2">
        <v>0</v>
      </c>
      <c r="E207" s="3"/>
      <c r="F207" s="2">
        <v>0</v>
      </c>
    </row>
    <row r="208" spans="1:6" ht="13" x14ac:dyDescent="0.15">
      <c r="A208" s="2">
        <v>10230</v>
      </c>
      <c r="B208" s="2">
        <v>534</v>
      </c>
      <c r="C208" s="2">
        <v>0</v>
      </c>
      <c r="E208" s="3"/>
      <c r="F208" s="2">
        <v>0</v>
      </c>
    </row>
    <row r="209" spans="1:6" ht="13" x14ac:dyDescent="0.15">
      <c r="A209" s="2">
        <v>10183</v>
      </c>
      <c r="B209" s="2">
        <v>534</v>
      </c>
      <c r="C209" s="2">
        <v>0</v>
      </c>
      <c r="E209" s="3"/>
      <c r="F209" s="2">
        <v>0</v>
      </c>
    </row>
    <row r="210" spans="1:6" ht="13" x14ac:dyDescent="0.15">
      <c r="A210" s="2">
        <v>10181</v>
      </c>
      <c r="B210" s="2">
        <v>534</v>
      </c>
      <c r="C210" s="2">
        <v>0</v>
      </c>
      <c r="E210" s="3"/>
      <c r="F210" s="2">
        <v>0</v>
      </c>
    </row>
    <row r="211" spans="1:6" ht="13" x14ac:dyDescent="0.15">
      <c r="A211" s="2">
        <v>10240</v>
      </c>
      <c r="B211" s="2">
        <v>534</v>
      </c>
      <c r="C211" s="2">
        <v>0</v>
      </c>
      <c r="E211" s="3"/>
      <c r="F211" s="2">
        <v>0</v>
      </c>
    </row>
    <row r="212" spans="1:6" ht="13" x14ac:dyDescent="0.15">
      <c r="A212" s="2">
        <v>10196</v>
      </c>
      <c r="B212" s="2">
        <v>534</v>
      </c>
      <c r="C212" s="2">
        <v>0</v>
      </c>
      <c r="E212" s="3"/>
      <c r="F212" s="2">
        <v>0</v>
      </c>
    </row>
    <row r="213" spans="1:6" ht="13" x14ac:dyDescent="0.15">
      <c r="A213" s="2">
        <v>10176</v>
      </c>
      <c r="B213" s="2">
        <v>534</v>
      </c>
      <c r="C213" s="2">
        <v>0</v>
      </c>
      <c r="E213" s="3"/>
      <c r="F213" s="2">
        <v>0</v>
      </c>
    </row>
    <row r="214" spans="1:6" ht="13" x14ac:dyDescent="0.15">
      <c r="A214" s="2">
        <v>10189</v>
      </c>
      <c r="B214" s="2">
        <v>534</v>
      </c>
      <c r="C214" s="2">
        <v>0</v>
      </c>
      <c r="E214" s="3"/>
      <c r="F214" s="2">
        <v>0</v>
      </c>
    </row>
    <row r="215" spans="1:6" ht="13" x14ac:dyDescent="0.15">
      <c r="A215" s="2">
        <v>10202</v>
      </c>
      <c r="B215" s="2">
        <v>534</v>
      </c>
      <c r="C215" s="2">
        <v>0</v>
      </c>
      <c r="E215" s="3"/>
      <c r="F215" s="2">
        <v>0</v>
      </c>
    </row>
    <row r="216" spans="1:6" ht="13" x14ac:dyDescent="0.15">
      <c r="A216" s="2">
        <v>10178</v>
      </c>
      <c r="B216" s="2">
        <v>534</v>
      </c>
      <c r="C216" s="2">
        <v>0</v>
      </c>
      <c r="E216" s="3"/>
      <c r="F216" s="2">
        <v>0</v>
      </c>
    </row>
    <row r="217" spans="1:6" ht="13" x14ac:dyDescent="0.15">
      <c r="A217" s="2">
        <v>10234</v>
      </c>
      <c r="B217" s="2">
        <v>534</v>
      </c>
      <c r="C217" s="2">
        <v>0</v>
      </c>
      <c r="E217" s="3"/>
      <c r="F217" s="2">
        <v>0</v>
      </c>
    </row>
    <row r="218" spans="1:6" ht="13" x14ac:dyDescent="0.15">
      <c r="A218" s="2">
        <v>10190</v>
      </c>
      <c r="B218" s="2">
        <v>534</v>
      </c>
      <c r="C218" s="2">
        <v>0</v>
      </c>
      <c r="E218" s="3"/>
      <c r="F218" s="2">
        <v>0</v>
      </c>
    </row>
    <row r="219" spans="1:6" ht="13" x14ac:dyDescent="0.15">
      <c r="A219" s="2">
        <v>10216</v>
      </c>
      <c r="B219" s="2">
        <v>534</v>
      </c>
      <c r="C219" s="2">
        <v>0</v>
      </c>
      <c r="E219" s="3"/>
      <c r="F219" s="2">
        <v>0</v>
      </c>
    </row>
    <row r="220" spans="1:6" ht="13" x14ac:dyDescent="0.15">
      <c r="A220" s="2">
        <v>10193</v>
      </c>
      <c r="B220" s="2">
        <v>534</v>
      </c>
      <c r="C220" s="2">
        <v>0</v>
      </c>
      <c r="E220" s="3"/>
      <c r="F220" s="2">
        <v>0</v>
      </c>
    </row>
    <row r="221" spans="1:6" ht="13" x14ac:dyDescent="0.15">
      <c r="A221" s="2">
        <v>10199</v>
      </c>
      <c r="B221" s="2">
        <v>534</v>
      </c>
      <c r="C221" s="2">
        <v>0</v>
      </c>
      <c r="E221" s="3"/>
      <c r="F221" s="2">
        <v>0</v>
      </c>
    </row>
    <row r="222" spans="1:6" ht="13" x14ac:dyDescent="0.15">
      <c r="A222" s="2">
        <v>10186</v>
      </c>
      <c r="B222" s="2">
        <v>534</v>
      </c>
      <c r="C222" s="2">
        <v>0</v>
      </c>
      <c r="E222" s="3"/>
      <c r="F222" s="2">
        <v>0</v>
      </c>
    </row>
    <row r="223" spans="1:6" ht="13" x14ac:dyDescent="0.15">
      <c r="A223" s="2">
        <v>10209</v>
      </c>
      <c r="B223" s="2">
        <v>534</v>
      </c>
      <c r="C223" s="2">
        <v>0</v>
      </c>
      <c r="E223" s="3"/>
      <c r="F223" s="2">
        <v>0</v>
      </c>
    </row>
    <row r="224" spans="1:6" ht="13" x14ac:dyDescent="0.15">
      <c r="A224" s="2">
        <v>10232</v>
      </c>
      <c r="B224" s="2">
        <v>534</v>
      </c>
      <c r="C224" s="2">
        <v>0</v>
      </c>
      <c r="E224" s="3"/>
      <c r="F224" s="2">
        <v>0</v>
      </c>
    </row>
    <row r="225" spans="1:6" ht="13" x14ac:dyDescent="0.15">
      <c r="A225" s="2">
        <v>10228</v>
      </c>
      <c r="B225" s="2">
        <v>534</v>
      </c>
      <c r="C225" s="2">
        <v>0</v>
      </c>
      <c r="E225" s="3"/>
      <c r="F225" s="2">
        <v>0</v>
      </c>
    </row>
    <row r="226" spans="1:6" ht="13" x14ac:dyDescent="0.15">
      <c r="A226" s="2">
        <v>10169</v>
      </c>
      <c r="B226" s="2">
        <v>534</v>
      </c>
      <c r="C226" s="2">
        <v>0</v>
      </c>
      <c r="E226" s="3"/>
      <c r="F226" s="2">
        <v>0</v>
      </c>
    </row>
    <row r="227" spans="1:6" ht="13" x14ac:dyDescent="0.15">
      <c r="A227" s="2">
        <v>10179</v>
      </c>
      <c r="B227" s="2">
        <v>534</v>
      </c>
      <c r="C227" s="2">
        <v>0</v>
      </c>
      <c r="E227" s="3"/>
      <c r="F227" s="2">
        <v>0</v>
      </c>
    </row>
    <row r="228" spans="1:6" ht="13" x14ac:dyDescent="0.15">
      <c r="A228" s="2">
        <v>10185</v>
      </c>
      <c r="B228" s="2">
        <v>534</v>
      </c>
      <c r="C228" s="2">
        <v>0</v>
      </c>
      <c r="E228" s="3"/>
      <c r="F228" s="2">
        <v>0</v>
      </c>
    </row>
    <row r="229" spans="1:6" ht="13" x14ac:dyDescent="0.15">
      <c r="A229" s="2">
        <v>10237</v>
      </c>
      <c r="B229" s="2">
        <v>534</v>
      </c>
      <c r="C229" s="2">
        <v>0</v>
      </c>
      <c r="E229" s="3"/>
      <c r="F229" s="2">
        <v>0</v>
      </c>
    </row>
    <row r="230" spans="1:6" ht="13" x14ac:dyDescent="0.15">
      <c r="A230" s="2">
        <v>10170</v>
      </c>
      <c r="B230" s="2">
        <v>534</v>
      </c>
      <c r="C230" s="2">
        <v>0</v>
      </c>
      <c r="E230" s="3"/>
      <c r="F230" s="2">
        <v>0</v>
      </c>
    </row>
    <row r="231" spans="1:6" ht="13" x14ac:dyDescent="0.15">
      <c r="A231" s="2">
        <v>10221</v>
      </c>
      <c r="B231" s="2">
        <v>534</v>
      </c>
      <c r="C231" s="2">
        <v>0</v>
      </c>
      <c r="E231" s="3"/>
      <c r="F231" s="2">
        <v>0</v>
      </c>
    </row>
    <row r="232" spans="1:6" ht="13" x14ac:dyDescent="0.15">
      <c r="A232" s="2">
        <v>10226</v>
      </c>
      <c r="B232" s="2">
        <v>534</v>
      </c>
      <c r="C232" s="2">
        <v>0</v>
      </c>
      <c r="E232" s="3"/>
      <c r="F232" s="2">
        <v>0</v>
      </c>
    </row>
    <row r="233" spans="1:6" ht="13" x14ac:dyDescent="0.15">
      <c r="A233" s="2">
        <v>10213</v>
      </c>
      <c r="B233" s="2">
        <v>534</v>
      </c>
      <c r="C233" s="2">
        <v>0</v>
      </c>
      <c r="E233" s="3"/>
      <c r="F233" s="2">
        <v>0</v>
      </c>
    </row>
    <row r="234" spans="1:6" ht="13" x14ac:dyDescent="0.15">
      <c r="A234" s="2">
        <v>2</v>
      </c>
      <c r="B234" s="2">
        <v>498</v>
      </c>
      <c r="C234" s="2">
        <v>0</v>
      </c>
      <c r="D234" s="2">
        <v>1491333732</v>
      </c>
      <c r="E234" s="1">
        <v>10</v>
      </c>
      <c r="F234" s="2">
        <v>0</v>
      </c>
    </row>
    <row r="235" spans="1:6" ht="13" x14ac:dyDescent="0.15">
      <c r="A235" s="2">
        <v>10208</v>
      </c>
      <c r="B235" s="2">
        <v>498</v>
      </c>
      <c r="C235" s="2">
        <v>1492445132</v>
      </c>
      <c r="D235" s="2">
        <v>1492446937</v>
      </c>
      <c r="E235" s="1">
        <v>10</v>
      </c>
      <c r="F235" s="2">
        <v>1172</v>
      </c>
    </row>
    <row r="236" spans="1:6" ht="13" x14ac:dyDescent="0.15">
      <c r="A236" s="2">
        <v>10201</v>
      </c>
      <c r="B236" s="2">
        <v>498</v>
      </c>
      <c r="C236" s="2">
        <v>1492445713</v>
      </c>
      <c r="D236" s="2">
        <v>1492446959</v>
      </c>
      <c r="E236" s="1">
        <v>10</v>
      </c>
      <c r="F236" s="2">
        <v>1095</v>
      </c>
    </row>
    <row r="237" spans="1:6" ht="13" x14ac:dyDescent="0.15">
      <c r="A237" s="2">
        <v>10184</v>
      </c>
      <c r="B237" s="2">
        <v>498</v>
      </c>
      <c r="C237" s="2">
        <v>1492445317</v>
      </c>
      <c r="D237" s="2">
        <v>1492446609</v>
      </c>
      <c r="E237" s="1">
        <v>10</v>
      </c>
      <c r="F237" s="2">
        <v>317</v>
      </c>
    </row>
    <row r="238" spans="1:6" ht="13" x14ac:dyDescent="0.15">
      <c r="A238" s="2">
        <v>10172</v>
      </c>
      <c r="B238" s="2">
        <v>498</v>
      </c>
      <c r="C238" s="2">
        <v>1492455544</v>
      </c>
      <c r="D238" s="2">
        <v>1492455921</v>
      </c>
      <c r="E238" s="1">
        <v>10</v>
      </c>
      <c r="F238" s="2">
        <v>375</v>
      </c>
    </row>
    <row r="239" spans="1:6" ht="13" x14ac:dyDescent="0.15">
      <c r="A239" s="2">
        <v>10169</v>
      </c>
      <c r="B239" s="2">
        <v>498</v>
      </c>
      <c r="C239" s="2">
        <v>1492461549</v>
      </c>
      <c r="D239" s="2">
        <v>1492461900</v>
      </c>
      <c r="E239" s="1">
        <v>10</v>
      </c>
      <c r="F239" s="2">
        <v>347</v>
      </c>
    </row>
    <row r="240" spans="1:6" ht="13" x14ac:dyDescent="0.15">
      <c r="A240" s="2">
        <v>10188</v>
      </c>
      <c r="B240" s="2">
        <v>498</v>
      </c>
      <c r="C240" s="2">
        <v>1492468833</v>
      </c>
      <c r="D240" s="2">
        <v>1492469100</v>
      </c>
      <c r="E240" s="1">
        <v>10</v>
      </c>
      <c r="F240" s="2">
        <v>263</v>
      </c>
    </row>
    <row r="241" spans="1:6" ht="13" x14ac:dyDescent="0.15">
      <c r="A241" s="2">
        <v>10227</v>
      </c>
      <c r="B241" s="2">
        <v>498</v>
      </c>
      <c r="C241" s="2">
        <v>1492468765</v>
      </c>
      <c r="D241" s="2">
        <v>1493310656</v>
      </c>
      <c r="E241" s="1">
        <v>10</v>
      </c>
      <c r="F241" s="2">
        <v>8676</v>
      </c>
    </row>
    <row r="242" spans="1:6" ht="13" x14ac:dyDescent="0.15">
      <c r="A242" s="2">
        <v>10195</v>
      </c>
      <c r="B242" s="2">
        <v>498</v>
      </c>
      <c r="C242" s="2">
        <v>1492469565</v>
      </c>
      <c r="D242" s="2">
        <v>1492471195</v>
      </c>
      <c r="E242" s="1">
        <v>10</v>
      </c>
      <c r="F242" s="2">
        <v>1626</v>
      </c>
    </row>
    <row r="243" spans="1:6" ht="13" x14ac:dyDescent="0.15">
      <c r="A243" s="2">
        <v>10206</v>
      </c>
      <c r="B243" s="2">
        <v>498</v>
      </c>
      <c r="C243" s="2">
        <v>1492474909</v>
      </c>
      <c r="D243" s="2">
        <v>1492475156</v>
      </c>
      <c r="E243" s="1">
        <v>10</v>
      </c>
      <c r="F243" s="2">
        <v>244</v>
      </c>
    </row>
    <row r="244" spans="1:6" ht="13" x14ac:dyDescent="0.15">
      <c r="A244" s="2">
        <v>10181</v>
      </c>
      <c r="B244" s="2">
        <v>498</v>
      </c>
      <c r="C244" s="2">
        <v>1492475458</v>
      </c>
      <c r="D244" s="2">
        <v>1493311016</v>
      </c>
      <c r="E244" s="1">
        <v>10</v>
      </c>
      <c r="F244" s="2">
        <v>3112</v>
      </c>
    </row>
    <row r="245" spans="1:6" ht="13" x14ac:dyDescent="0.15">
      <c r="A245" s="2">
        <v>10196</v>
      </c>
      <c r="B245" s="2">
        <v>498</v>
      </c>
      <c r="C245" s="2">
        <v>1492476160</v>
      </c>
      <c r="D245" s="2">
        <v>1492477993</v>
      </c>
      <c r="E245" s="1">
        <v>10</v>
      </c>
      <c r="F245" s="2">
        <v>1830</v>
      </c>
    </row>
    <row r="246" spans="1:6" ht="13" x14ac:dyDescent="0.15">
      <c r="A246" s="2">
        <v>10218</v>
      </c>
      <c r="B246" s="2">
        <v>498</v>
      </c>
      <c r="C246" s="2">
        <v>1492476951</v>
      </c>
      <c r="D246" s="2">
        <v>1492477325</v>
      </c>
      <c r="E246" s="1">
        <v>10</v>
      </c>
      <c r="F246" s="2">
        <v>372</v>
      </c>
    </row>
    <row r="247" spans="1:6" ht="13" x14ac:dyDescent="0.15">
      <c r="A247" s="2">
        <v>10187</v>
      </c>
      <c r="B247" s="2">
        <v>498</v>
      </c>
      <c r="C247" s="2">
        <v>1492478131</v>
      </c>
      <c r="D247" s="2">
        <v>1492478476</v>
      </c>
      <c r="E247" s="1">
        <v>10</v>
      </c>
      <c r="F247" s="2">
        <v>341</v>
      </c>
    </row>
    <row r="248" spans="1:6" ht="13" x14ac:dyDescent="0.15">
      <c r="A248" s="2">
        <v>10193</v>
      </c>
      <c r="B248" s="2">
        <v>498</v>
      </c>
      <c r="C248" s="2">
        <v>1492479717</v>
      </c>
      <c r="D248" s="2">
        <v>1492480059</v>
      </c>
      <c r="E248" s="1">
        <v>10</v>
      </c>
      <c r="F248" s="2">
        <v>340</v>
      </c>
    </row>
    <row r="249" spans="1:6" ht="13" x14ac:dyDescent="0.15">
      <c r="A249" s="2">
        <v>10232</v>
      </c>
      <c r="B249" s="2">
        <v>498</v>
      </c>
      <c r="C249" s="2">
        <v>1492512903</v>
      </c>
      <c r="D249" s="2">
        <v>1492513811</v>
      </c>
      <c r="E249" s="1">
        <v>10</v>
      </c>
      <c r="F249" s="2">
        <v>907</v>
      </c>
    </row>
    <row r="250" spans="1:6" ht="13" x14ac:dyDescent="0.15">
      <c r="A250" s="2">
        <v>10240</v>
      </c>
      <c r="B250" s="2">
        <v>498</v>
      </c>
      <c r="C250" s="2">
        <v>1492528581</v>
      </c>
      <c r="D250" s="2">
        <v>1492530482</v>
      </c>
      <c r="E250" s="1">
        <v>10</v>
      </c>
      <c r="F250" s="2">
        <v>1394</v>
      </c>
    </row>
    <row r="251" spans="1:6" ht="13" x14ac:dyDescent="0.15">
      <c r="A251" s="2">
        <v>10217</v>
      </c>
      <c r="B251" s="2">
        <v>498</v>
      </c>
      <c r="C251" s="2">
        <v>1492532694</v>
      </c>
      <c r="D251" s="2">
        <v>1492533424</v>
      </c>
      <c r="E251" s="1">
        <v>10</v>
      </c>
      <c r="F251" s="2">
        <v>728</v>
      </c>
    </row>
    <row r="252" spans="1:6" ht="13" x14ac:dyDescent="0.15">
      <c r="A252" s="2">
        <v>10216</v>
      </c>
      <c r="B252" s="2">
        <v>498</v>
      </c>
      <c r="C252" s="2">
        <v>1492533456</v>
      </c>
      <c r="D252" s="2">
        <v>1492533681</v>
      </c>
      <c r="E252" s="1">
        <v>10</v>
      </c>
      <c r="F252" s="2">
        <v>222</v>
      </c>
    </row>
    <row r="253" spans="1:6" ht="13" x14ac:dyDescent="0.15">
      <c r="A253" s="2">
        <v>10197</v>
      </c>
      <c r="B253" s="2">
        <v>498</v>
      </c>
      <c r="C253" s="2">
        <v>1492548595</v>
      </c>
      <c r="D253" s="2">
        <v>1492946634</v>
      </c>
      <c r="E253" s="1">
        <v>10</v>
      </c>
      <c r="F253" s="2">
        <v>5906</v>
      </c>
    </row>
    <row r="254" spans="1:6" ht="13" x14ac:dyDescent="0.15">
      <c r="A254" s="2">
        <v>10183</v>
      </c>
      <c r="B254" s="2">
        <v>498</v>
      </c>
      <c r="C254" s="2">
        <v>1492557006</v>
      </c>
      <c r="D254" s="2">
        <v>1492558113</v>
      </c>
      <c r="E254" s="1">
        <v>10</v>
      </c>
      <c r="F254" s="2">
        <v>555</v>
      </c>
    </row>
    <row r="255" spans="1:6" ht="13" x14ac:dyDescent="0.15">
      <c r="A255" s="2">
        <v>10214</v>
      </c>
      <c r="B255" s="2">
        <v>498</v>
      </c>
      <c r="C255" s="2">
        <v>1492638819</v>
      </c>
      <c r="D255" s="2">
        <v>1492707773</v>
      </c>
      <c r="E255" s="1">
        <v>10</v>
      </c>
      <c r="F255" s="2">
        <v>991</v>
      </c>
    </row>
    <row r="256" spans="1:6" ht="13" x14ac:dyDescent="0.15">
      <c r="A256" s="2">
        <v>10203</v>
      </c>
      <c r="B256" s="2">
        <v>498</v>
      </c>
      <c r="C256" s="2">
        <v>1492645265</v>
      </c>
      <c r="D256" s="2">
        <v>1492645950</v>
      </c>
      <c r="E256" s="1">
        <v>10</v>
      </c>
      <c r="F256" s="2">
        <v>683</v>
      </c>
    </row>
    <row r="257" spans="1:6" ht="13" x14ac:dyDescent="0.15">
      <c r="A257" s="2">
        <v>10204</v>
      </c>
      <c r="B257" s="2">
        <v>498</v>
      </c>
      <c r="C257" s="2">
        <v>1492704342</v>
      </c>
      <c r="D257" s="2">
        <v>1492705801</v>
      </c>
      <c r="E257" s="1">
        <v>10</v>
      </c>
      <c r="F257" s="2">
        <v>1402</v>
      </c>
    </row>
    <row r="258" spans="1:6" ht="13" x14ac:dyDescent="0.15">
      <c r="A258" s="2">
        <v>10199</v>
      </c>
      <c r="B258" s="2">
        <v>498</v>
      </c>
      <c r="C258" s="2">
        <v>1492708689</v>
      </c>
      <c r="D258" s="2">
        <v>1492709474</v>
      </c>
      <c r="E258" s="1">
        <v>10</v>
      </c>
      <c r="F258" s="2">
        <v>783</v>
      </c>
    </row>
    <row r="259" spans="1:6" ht="13" x14ac:dyDescent="0.15">
      <c r="A259" s="2">
        <v>10189</v>
      </c>
      <c r="B259" s="2">
        <v>498</v>
      </c>
      <c r="C259" s="2">
        <v>1492709638</v>
      </c>
      <c r="D259" s="2">
        <v>1492710037</v>
      </c>
      <c r="E259" s="1">
        <v>10</v>
      </c>
      <c r="F259" s="2">
        <v>395</v>
      </c>
    </row>
    <row r="260" spans="1:6" ht="13" x14ac:dyDescent="0.15">
      <c r="A260" s="2">
        <v>10215</v>
      </c>
      <c r="B260" s="2">
        <v>498</v>
      </c>
      <c r="C260" s="2">
        <v>1492709200</v>
      </c>
      <c r="D260" s="2">
        <v>1492712860</v>
      </c>
      <c r="E260" s="1">
        <v>10</v>
      </c>
      <c r="F260" s="2">
        <v>1912</v>
      </c>
    </row>
    <row r="261" spans="1:6" ht="13" x14ac:dyDescent="0.15">
      <c r="A261" s="2">
        <v>10213</v>
      </c>
      <c r="B261" s="2">
        <v>498</v>
      </c>
      <c r="C261" s="2">
        <v>1492711295</v>
      </c>
      <c r="D261" s="2">
        <v>1492713895</v>
      </c>
      <c r="E261" s="1">
        <v>10</v>
      </c>
      <c r="F261" s="2">
        <v>744</v>
      </c>
    </row>
    <row r="262" spans="1:6" ht="13" x14ac:dyDescent="0.15">
      <c r="A262" s="2">
        <v>10190</v>
      </c>
      <c r="B262" s="2">
        <v>498</v>
      </c>
      <c r="C262" s="2">
        <v>1492714734</v>
      </c>
      <c r="D262" s="2">
        <v>1492715534</v>
      </c>
      <c r="E262" s="1">
        <v>10</v>
      </c>
      <c r="F262" s="2">
        <v>798</v>
      </c>
    </row>
    <row r="263" spans="1:6" ht="13" x14ac:dyDescent="0.15">
      <c r="A263" s="2">
        <v>10178</v>
      </c>
      <c r="B263" s="2">
        <v>498</v>
      </c>
      <c r="C263" s="2">
        <v>1492717778</v>
      </c>
      <c r="D263" s="2">
        <v>1492718017</v>
      </c>
      <c r="E263" s="1">
        <v>10</v>
      </c>
      <c r="F263" s="2">
        <v>235</v>
      </c>
    </row>
    <row r="264" spans="1:6" ht="13" x14ac:dyDescent="0.15">
      <c r="A264" s="2">
        <v>10231</v>
      </c>
      <c r="B264" s="2">
        <v>498</v>
      </c>
      <c r="C264" s="2">
        <v>1492782133</v>
      </c>
      <c r="D264" s="2">
        <v>1492782477</v>
      </c>
      <c r="E264" s="1">
        <v>10</v>
      </c>
      <c r="F264" s="2">
        <v>342</v>
      </c>
    </row>
    <row r="265" spans="1:6" ht="13" x14ac:dyDescent="0.15">
      <c r="A265" s="2">
        <v>10171</v>
      </c>
      <c r="B265" s="2">
        <v>498</v>
      </c>
      <c r="C265" s="2">
        <v>1492868308</v>
      </c>
      <c r="D265" s="2">
        <v>1492869054</v>
      </c>
      <c r="E265" s="1">
        <v>10</v>
      </c>
      <c r="F265" s="2">
        <v>743</v>
      </c>
    </row>
    <row r="266" spans="1:6" ht="13" x14ac:dyDescent="0.15">
      <c r="A266" s="2">
        <v>10211</v>
      </c>
      <c r="B266" s="2">
        <v>498</v>
      </c>
      <c r="C266" s="2">
        <v>1492874129</v>
      </c>
      <c r="D266" s="2">
        <v>1492874341</v>
      </c>
      <c r="E266" s="1">
        <v>10</v>
      </c>
      <c r="F266" s="2">
        <v>211</v>
      </c>
    </row>
    <row r="267" spans="1:6" ht="13" x14ac:dyDescent="0.15">
      <c r="A267" s="2">
        <v>10176</v>
      </c>
      <c r="B267" s="2">
        <v>498</v>
      </c>
      <c r="C267" s="2">
        <v>1492884440</v>
      </c>
      <c r="D267" s="2">
        <v>1492885387</v>
      </c>
      <c r="E267" s="1">
        <v>10</v>
      </c>
      <c r="F267" s="2">
        <v>426</v>
      </c>
    </row>
    <row r="268" spans="1:6" ht="13" x14ac:dyDescent="0.15">
      <c r="A268" s="2">
        <v>10200</v>
      </c>
      <c r="B268" s="2">
        <v>498</v>
      </c>
      <c r="C268" s="2">
        <v>1492892078</v>
      </c>
      <c r="D268" s="2">
        <v>1492893268</v>
      </c>
      <c r="E268" s="1">
        <v>10</v>
      </c>
      <c r="F268" s="2">
        <v>1188</v>
      </c>
    </row>
    <row r="269" spans="1:6" ht="13" x14ac:dyDescent="0.15">
      <c r="A269" s="2">
        <v>10175</v>
      </c>
      <c r="B269" s="2">
        <v>498</v>
      </c>
      <c r="C269" s="2">
        <v>1492984716</v>
      </c>
      <c r="D269" s="2">
        <v>1492985216</v>
      </c>
      <c r="E269" s="1">
        <v>10</v>
      </c>
      <c r="F269" s="2">
        <v>496</v>
      </c>
    </row>
    <row r="270" spans="1:6" ht="13" x14ac:dyDescent="0.15">
      <c r="A270" s="2">
        <v>10198</v>
      </c>
      <c r="B270" s="2">
        <v>498</v>
      </c>
      <c r="C270" s="2">
        <v>1493071247</v>
      </c>
      <c r="D270" s="2">
        <v>1493072595</v>
      </c>
      <c r="E270" s="1">
        <v>10</v>
      </c>
      <c r="F270" s="2">
        <v>1344</v>
      </c>
    </row>
    <row r="271" spans="1:6" ht="13" x14ac:dyDescent="0.15">
      <c r="A271" s="2">
        <v>10192</v>
      </c>
      <c r="B271" s="2">
        <v>498</v>
      </c>
      <c r="C271" s="2">
        <v>1493072087</v>
      </c>
      <c r="D271" s="2">
        <v>1493075869</v>
      </c>
      <c r="E271" s="1">
        <v>10</v>
      </c>
      <c r="F271" s="2">
        <v>2465</v>
      </c>
    </row>
    <row r="272" spans="1:6" ht="13" x14ac:dyDescent="0.15">
      <c r="A272" s="2">
        <v>10224</v>
      </c>
      <c r="B272" s="2">
        <v>498</v>
      </c>
      <c r="C272" s="2">
        <v>1493085514</v>
      </c>
      <c r="D272" s="2">
        <v>1493085997</v>
      </c>
      <c r="E272" s="1">
        <v>10</v>
      </c>
      <c r="F272" s="2">
        <v>479</v>
      </c>
    </row>
    <row r="273" spans="1:6" ht="13" x14ac:dyDescent="0.15">
      <c r="A273" s="2">
        <v>10191</v>
      </c>
      <c r="B273" s="2">
        <v>498</v>
      </c>
      <c r="C273" s="2">
        <v>1493259418</v>
      </c>
      <c r="D273" s="2">
        <v>1493260053</v>
      </c>
      <c r="E273" s="1">
        <v>10</v>
      </c>
      <c r="F273" s="2">
        <v>631</v>
      </c>
    </row>
    <row r="274" spans="1:6" ht="13" x14ac:dyDescent="0.15">
      <c r="A274" s="2">
        <v>10230</v>
      </c>
      <c r="B274" s="2">
        <v>498</v>
      </c>
      <c r="C274" s="2">
        <v>1493311143</v>
      </c>
      <c r="D274" s="2">
        <v>1493311463</v>
      </c>
      <c r="E274" s="1">
        <v>10</v>
      </c>
      <c r="F274" s="2">
        <v>318</v>
      </c>
    </row>
    <row r="275" spans="1:6" ht="13" x14ac:dyDescent="0.15">
      <c r="A275" s="2">
        <v>10174</v>
      </c>
      <c r="B275" s="2">
        <v>498</v>
      </c>
      <c r="C275" s="2">
        <v>1493391461</v>
      </c>
      <c r="D275" s="2">
        <v>1493393954</v>
      </c>
      <c r="E275" s="1">
        <v>10</v>
      </c>
      <c r="F275" s="2">
        <v>2491</v>
      </c>
    </row>
    <row r="276" spans="1:6" ht="13" x14ac:dyDescent="0.15">
      <c r="A276" s="2">
        <v>10210</v>
      </c>
      <c r="B276" s="2">
        <v>498</v>
      </c>
      <c r="C276" s="2">
        <v>1493487388</v>
      </c>
      <c r="D276" s="2">
        <v>1493489180</v>
      </c>
      <c r="E276" s="1">
        <v>10</v>
      </c>
      <c r="F276" s="2">
        <v>211</v>
      </c>
    </row>
    <row r="277" spans="1:6" ht="13" x14ac:dyDescent="0.15">
      <c r="A277" s="2">
        <v>10233</v>
      </c>
      <c r="B277" s="2">
        <v>498</v>
      </c>
      <c r="C277" s="2">
        <v>1493503322</v>
      </c>
      <c r="D277" s="2">
        <v>1493503808</v>
      </c>
      <c r="E277" s="1">
        <v>10</v>
      </c>
      <c r="F277" s="2">
        <v>510</v>
      </c>
    </row>
    <row r="278" spans="1:6" ht="13" x14ac:dyDescent="0.15">
      <c r="A278" s="2">
        <v>10170</v>
      </c>
      <c r="B278" s="2">
        <v>498</v>
      </c>
      <c r="C278" s="2">
        <v>1493518631</v>
      </c>
      <c r="D278" s="2">
        <v>1493521478</v>
      </c>
      <c r="E278" s="1">
        <v>10</v>
      </c>
      <c r="F278" s="2">
        <v>2837</v>
      </c>
    </row>
    <row r="279" spans="1:6" ht="13" x14ac:dyDescent="0.15">
      <c r="A279" s="2">
        <v>10226</v>
      </c>
      <c r="B279" s="2">
        <v>498</v>
      </c>
      <c r="C279" s="2">
        <v>1493684339</v>
      </c>
      <c r="D279" s="2">
        <v>1493685163</v>
      </c>
      <c r="E279" s="1">
        <v>10</v>
      </c>
      <c r="F279" s="2">
        <v>941</v>
      </c>
    </row>
    <row r="280" spans="1:6" ht="13" x14ac:dyDescent="0.15">
      <c r="A280" s="2">
        <v>10221</v>
      </c>
      <c r="B280" s="2">
        <v>498</v>
      </c>
      <c r="C280" s="2">
        <v>1493763889</v>
      </c>
      <c r="D280" s="2">
        <v>1493764757</v>
      </c>
      <c r="E280" s="1">
        <v>10</v>
      </c>
      <c r="F280" s="2">
        <v>864</v>
      </c>
    </row>
    <row r="281" spans="1:6" ht="13" x14ac:dyDescent="0.15">
      <c r="A281" s="2">
        <v>10234</v>
      </c>
      <c r="B281" s="2">
        <v>498</v>
      </c>
      <c r="C281" s="2">
        <v>1494096855</v>
      </c>
      <c r="D281" s="2">
        <v>1494097510</v>
      </c>
      <c r="E281" s="1">
        <v>10</v>
      </c>
      <c r="F281" s="2">
        <v>654</v>
      </c>
    </row>
    <row r="282" spans="1:6" ht="13" x14ac:dyDescent="0.15">
      <c r="A282" s="2">
        <v>10185</v>
      </c>
      <c r="B282" s="2">
        <v>498</v>
      </c>
      <c r="C282" s="2">
        <v>1494132717</v>
      </c>
      <c r="D282" s="2">
        <v>1497810015</v>
      </c>
      <c r="E282" s="1">
        <v>10</v>
      </c>
      <c r="F282" s="2">
        <v>1211</v>
      </c>
    </row>
    <row r="283" spans="1:6" ht="13" x14ac:dyDescent="0.15">
      <c r="A283" s="2">
        <v>10186</v>
      </c>
      <c r="B283" s="2">
        <v>498</v>
      </c>
      <c r="C283" s="2">
        <v>1494204928</v>
      </c>
      <c r="D283" s="2">
        <v>1494205600</v>
      </c>
      <c r="E283" s="1">
        <v>10</v>
      </c>
      <c r="F283" s="2">
        <v>670</v>
      </c>
    </row>
    <row r="284" spans="1:6" ht="13" x14ac:dyDescent="0.15">
      <c r="A284" s="2">
        <v>10238</v>
      </c>
      <c r="B284" s="2">
        <v>498</v>
      </c>
      <c r="C284" s="2">
        <v>1494698562</v>
      </c>
      <c r="D284" s="2">
        <v>1494698924</v>
      </c>
      <c r="E284" s="1">
        <v>10</v>
      </c>
      <c r="F284" s="2">
        <v>360</v>
      </c>
    </row>
    <row r="285" spans="1:6" ht="13" x14ac:dyDescent="0.15">
      <c r="A285" s="2">
        <v>10219</v>
      </c>
      <c r="B285" s="2">
        <v>498</v>
      </c>
      <c r="C285" s="2">
        <v>1494887818</v>
      </c>
      <c r="D285" s="2">
        <v>1494889208</v>
      </c>
      <c r="E285" s="1">
        <v>10</v>
      </c>
      <c r="F285" s="2">
        <v>1387</v>
      </c>
    </row>
    <row r="286" spans="1:6" ht="13" x14ac:dyDescent="0.15">
      <c r="A286" s="2">
        <v>10222</v>
      </c>
      <c r="B286" s="2">
        <v>498</v>
      </c>
      <c r="C286" s="2">
        <v>1496721235</v>
      </c>
      <c r="D286" s="2">
        <v>1496721407</v>
      </c>
      <c r="E286" s="1">
        <v>10</v>
      </c>
      <c r="F286" s="2">
        <v>171</v>
      </c>
    </row>
    <row r="287" spans="1:6" ht="13" x14ac:dyDescent="0.15">
      <c r="A287" s="2">
        <v>10237</v>
      </c>
      <c r="B287" s="2">
        <v>498</v>
      </c>
      <c r="C287" s="2">
        <v>1497218801</v>
      </c>
      <c r="D287" s="2">
        <v>1497219026</v>
      </c>
      <c r="E287" s="1">
        <v>10</v>
      </c>
      <c r="F287" s="2">
        <v>222</v>
      </c>
    </row>
    <row r="288" spans="1:6" ht="13" x14ac:dyDescent="0.15">
      <c r="A288" s="2">
        <v>10209</v>
      </c>
      <c r="B288" s="2">
        <v>498</v>
      </c>
      <c r="C288" s="2">
        <v>1497829031</v>
      </c>
      <c r="D288" s="2">
        <v>1497830619</v>
      </c>
      <c r="E288" s="1">
        <v>10</v>
      </c>
      <c r="F288" s="2">
        <v>179</v>
      </c>
    </row>
    <row r="289" spans="1:6" ht="13" x14ac:dyDescent="0.15">
      <c r="A289" s="2">
        <v>10228</v>
      </c>
      <c r="B289" s="2">
        <v>498</v>
      </c>
      <c r="C289" s="2">
        <v>1498947652</v>
      </c>
      <c r="D289" s="2">
        <v>1498950245</v>
      </c>
      <c r="E289" s="1">
        <v>10</v>
      </c>
      <c r="F289" s="2">
        <v>1683</v>
      </c>
    </row>
    <row r="290" spans="1:6" ht="13" x14ac:dyDescent="0.15">
      <c r="A290" s="2">
        <v>10223</v>
      </c>
      <c r="B290" s="2">
        <v>498</v>
      </c>
      <c r="C290" s="2">
        <v>1499019212</v>
      </c>
      <c r="D290" s="2">
        <v>1499019450</v>
      </c>
      <c r="E290" s="1">
        <v>10</v>
      </c>
      <c r="F290" s="2">
        <v>235</v>
      </c>
    </row>
    <row r="291" spans="1:6" ht="13" x14ac:dyDescent="0.15">
      <c r="A291" s="2">
        <v>10202</v>
      </c>
      <c r="B291" s="2">
        <v>498</v>
      </c>
      <c r="C291" s="2">
        <v>1499205573</v>
      </c>
      <c r="D291" s="2">
        <v>1499205822</v>
      </c>
      <c r="E291" s="1">
        <v>10</v>
      </c>
      <c r="F291" s="2">
        <v>248</v>
      </c>
    </row>
    <row r="292" spans="1:6" ht="13" x14ac:dyDescent="0.15">
      <c r="A292" s="2">
        <v>10179</v>
      </c>
      <c r="B292" s="2">
        <v>498</v>
      </c>
      <c r="C292" s="2">
        <v>1499406361</v>
      </c>
      <c r="D292" s="2">
        <v>1499406784</v>
      </c>
      <c r="E292" s="1">
        <v>10</v>
      </c>
      <c r="F292" s="2">
        <v>420</v>
      </c>
    </row>
    <row r="293" spans="1:6" ht="13" x14ac:dyDescent="0.15">
      <c r="A293" s="2">
        <v>10220</v>
      </c>
      <c r="B293" s="2">
        <v>498</v>
      </c>
      <c r="C293" s="2">
        <v>1499456080</v>
      </c>
      <c r="D293" s="2">
        <v>1499479533</v>
      </c>
      <c r="E293" s="1">
        <v>10</v>
      </c>
      <c r="F293" s="2">
        <v>1657</v>
      </c>
    </row>
    <row r="294" spans="1:6" ht="13" x14ac:dyDescent="0.15">
      <c r="A294" s="2">
        <v>10212</v>
      </c>
      <c r="B294" s="2">
        <v>498</v>
      </c>
      <c r="C294" s="2">
        <v>1499457118</v>
      </c>
      <c r="D294" s="2">
        <v>1499457558</v>
      </c>
      <c r="E294" s="1">
        <v>10</v>
      </c>
      <c r="F294" s="2">
        <v>439</v>
      </c>
    </row>
    <row r="295" spans="1:6" ht="13" x14ac:dyDescent="0.15">
      <c r="A295" s="2">
        <v>2</v>
      </c>
      <c r="B295" s="2">
        <v>515</v>
      </c>
      <c r="C295" s="2">
        <v>0</v>
      </c>
      <c r="D295" s="2">
        <v>1492398320</v>
      </c>
      <c r="E295" s="1">
        <v>10</v>
      </c>
      <c r="F295" s="2">
        <v>0</v>
      </c>
    </row>
    <row r="296" spans="1:6" ht="13" x14ac:dyDescent="0.15">
      <c r="A296" s="2">
        <v>10201</v>
      </c>
      <c r="B296" s="2">
        <v>515</v>
      </c>
      <c r="C296" s="2">
        <v>1492446217</v>
      </c>
      <c r="D296" s="2">
        <v>1492447993</v>
      </c>
      <c r="E296" s="1">
        <v>10</v>
      </c>
      <c r="F296" s="2">
        <v>2478</v>
      </c>
    </row>
    <row r="297" spans="1:6" ht="13" x14ac:dyDescent="0.15">
      <c r="A297" s="2">
        <v>10184</v>
      </c>
      <c r="B297" s="2">
        <v>515</v>
      </c>
      <c r="C297" s="2">
        <v>1492446764</v>
      </c>
      <c r="D297" s="2">
        <v>1492447430</v>
      </c>
      <c r="E297" s="1">
        <v>10</v>
      </c>
      <c r="F297" s="2">
        <v>664</v>
      </c>
    </row>
    <row r="298" spans="1:6" ht="13" x14ac:dyDescent="0.15">
      <c r="A298" s="2">
        <v>10208</v>
      </c>
      <c r="B298" s="2">
        <v>515</v>
      </c>
      <c r="C298" s="2">
        <v>1492447205</v>
      </c>
      <c r="D298" s="2">
        <v>1492448177</v>
      </c>
      <c r="E298" s="1">
        <v>10</v>
      </c>
      <c r="F298" s="2">
        <v>968</v>
      </c>
    </row>
    <row r="299" spans="1:6" ht="13" x14ac:dyDescent="0.15">
      <c r="A299" s="2">
        <v>10172</v>
      </c>
      <c r="B299" s="2">
        <v>515</v>
      </c>
      <c r="C299" s="2">
        <v>1492456062</v>
      </c>
      <c r="D299" s="2">
        <v>1492456296</v>
      </c>
      <c r="E299" s="1">
        <v>10</v>
      </c>
      <c r="F299" s="2">
        <v>231</v>
      </c>
    </row>
    <row r="300" spans="1:6" ht="13" x14ac:dyDescent="0.15">
      <c r="A300" s="2">
        <v>10169</v>
      </c>
      <c r="B300" s="2">
        <v>515</v>
      </c>
      <c r="C300" s="2">
        <v>1492462225</v>
      </c>
      <c r="D300" s="2">
        <v>1492707801</v>
      </c>
      <c r="E300" s="1">
        <v>10</v>
      </c>
      <c r="F300" s="2">
        <v>7402</v>
      </c>
    </row>
    <row r="301" spans="1:6" ht="13" x14ac:dyDescent="0.15">
      <c r="A301" s="2">
        <v>10195</v>
      </c>
      <c r="B301" s="2">
        <v>515</v>
      </c>
      <c r="C301" s="2">
        <v>1492473514</v>
      </c>
      <c r="E301" s="3"/>
      <c r="F301" s="2">
        <v>1855</v>
      </c>
    </row>
    <row r="302" spans="1:6" ht="13" x14ac:dyDescent="0.15">
      <c r="A302" s="2">
        <v>10206</v>
      </c>
      <c r="B302" s="2">
        <v>515</v>
      </c>
      <c r="C302" s="2">
        <v>1492476383</v>
      </c>
      <c r="D302" s="2">
        <v>1492476943</v>
      </c>
      <c r="E302" s="1">
        <v>10</v>
      </c>
      <c r="F302" s="2">
        <v>555</v>
      </c>
    </row>
    <row r="303" spans="1:6" ht="13" x14ac:dyDescent="0.15">
      <c r="A303" s="2">
        <v>10196</v>
      </c>
      <c r="B303" s="2">
        <v>515</v>
      </c>
      <c r="C303" s="2">
        <v>1492477301</v>
      </c>
      <c r="D303" s="2">
        <v>1492478982</v>
      </c>
      <c r="E303" s="1">
        <v>10</v>
      </c>
      <c r="F303" s="2">
        <v>1547</v>
      </c>
    </row>
    <row r="304" spans="1:6" ht="13" x14ac:dyDescent="0.15">
      <c r="A304" s="2">
        <v>10187</v>
      </c>
      <c r="B304" s="2">
        <v>515</v>
      </c>
      <c r="C304" s="2">
        <v>1492478707</v>
      </c>
      <c r="D304" s="2">
        <v>1492480984</v>
      </c>
      <c r="E304" s="1">
        <v>10</v>
      </c>
      <c r="F304" s="2">
        <v>2266</v>
      </c>
    </row>
    <row r="305" spans="1:6" ht="13" x14ac:dyDescent="0.15">
      <c r="A305" s="2">
        <v>10217</v>
      </c>
      <c r="B305" s="2">
        <v>515</v>
      </c>
      <c r="C305" s="2">
        <v>1492533528</v>
      </c>
      <c r="D305" s="2">
        <v>1492533966</v>
      </c>
      <c r="E305" s="1">
        <v>10</v>
      </c>
      <c r="F305" s="2">
        <v>436</v>
      </c>
    </row>
    <row r="306" spans="1:6" ht="13" x14ac:dyDescent="0.15">
      <c r="A306" s="2">
        <v>10216</v>
      </c>
      <c r="B306" s="2">
        <v>515</v>
      </c>
      <c r="C306" s="2">
        <v>1492533713</v>
      </c>
      <c r="D306" s="2">
        <v>1492534161</v>
      </c>
      <c r="E306" s="1">
        <v>10</v>
      </c>
      <c r="F306" s="2">
        <v>445</v>
      </c>
    </row>
    <row r="307" spans="1:6" ht="13" x14ac:dyDescent="0.15">
      <c r="A307" s="2">
        <v>10183</v>
      </c>
      <c r="B307" s="2">
        <v>515</v>
      </c>
      <c r="C307" s="2">
        <v>1492558298</v>
      </c>
      <c r="D307" s="2">
        <v>1492559533</v>
      </c>
      <c r="E307" s="1">
        <v>10</v>
      </c>
      <c r="F307" s="2">
        <v>1231</v>
      </c>
    </row>
    <row r="308" spans="1:6" ht="13" x14ac:dyDescent="0.15">
      <c r="A308" s="2">
        <v>10214</v>
      </c>
      <c r="B308" s="2">
        <v>515</v>
      </c>
      <c r="C308" s="2">
        <v>1492639168</v>
      </c>
      <c r="D308" s="2">
        <v>1492708692</v>
      </c>
      <c r="E308" s="1">
        <v>10</v>
      </c>
      <c r="F308" s="2">
        <v>2437</v>
      </c>
    </row>
    <row r="309" spans="1:6" ht="13" x14ac:dyDescent="0.15">
      <c r="A309" s="2">
        <v>10203</v>
      </c>
      <c r="B309" s="2">
        <v>515</v>
      </c>
      <c r="C309" s="2">
        <v>1492646095</v>
      </c>
      <c r="E309" s="3"/>
      <c r="F309" s="2">
        <v>9816</v>
      </c>
    </row>
    <row r="310" spans="1:6" ht="13" x14ac:dyDescent="0.15">
      <c r="A310" s="2">
        <v>10204</v>
      </c>
      <c r="B310" s="2">
        <v>515</v>
      </c>
      <c r="C310" s="2">
        <v>1492706259</v>
      </c>
      <c r="D310" s="2">
        <v>1493312527</v>
      </c>
      <c r="E310" s="1">
        <v>10</v>
      </c>
      <c r="F310" s="2">
        <v>816</v>
      </c>
    </row>
    <row r="311" spans="1:6" ht="13" x14ac:dyDescent="0.15">
      <c r="A311" s="2">
        <v>10215</v>
      </c>
      <c r="B311" s="2">
        <v>515</v>
      </c>
      <c r="C311" s="2">
        <v>1492709443</v>
      </c>
      <c r="E311" s="3"/>
      <c r="F311" s="2">
        <v>1545</v>
      </c>
    </row>
    <row r="312" spans="1:6" ht="13" x14ac:dyDescent="0.15">
      <c r="A312" s="2">
        <v>10199</v>
      </c>
      <c r="B312" s="2">
        <v>515</v>
      </c>
      <c r="C312" s="2">
        <v>1492710173</v>
      </c>
      <c r="D312" s="2">
        <v>1492710867</v>
      </c>
      <c r="E312" s="1">
        <v>10</v>
      </c>
      <c r="F312" s="2">
        <v>691</v>
      </c>
    </row>
    <row r="313" spans="1:6" ht="13" x14ac:dyDescent="0.15">
      <c r="A313" s="2">
        <v>10178</v>
      </c>
      <c r="B313" s="2">
        <v>515</v>
      </c>
      <c r="C313" s="2">
        <v>1492718267</v>
      </c>
      <c r="D313" s="2">
        <v>1492719070</v>
      </c>
      <c r="E313" s="1">
        <v>10</v>
      </c>
      <c r="F313" s="2">
        <v>794</v>
      </c>
    </row>
    <row r="314" spans="1:6" ht="13" x14ac:dyDescent="0.15">
      <c r="A314" s="2">
        <v>10231</v>
      </c>
      <c r="B314" s="2">
        <v>515</v>
      </c>
      <c r="C314" s="2">
        <v>1492782532</v>
      </c>
      <c r="D314" s="2">
        <v>1492784515</v>
      </c>
      <c r="E314" s="1">
        <v>10</v>
      </c>
      <c r="F314" s="2">
        <v>1980</v>
      </c>
    </row>
    <row r="315" spans="1:6" ht="13" x14ac:dyDescent="0.15">
      <c r="A315" s="2">
        <v>10171</v>
      </c>
      <c r="B315" s="2">
        <v>515</v>
      </c>
      <c r="C315" s="2">
        <v>1492869256</v>
      </c>
      <c r="D315" s="2">
        <v>1492870100</v>
      </c>
      <c r="E315" s="1">
        <v>10</v>
      </c>
      <c r="F315" s="2">
        <v>842</v>
      </c>
    </row>
    <row r="316" spans="1:6" ht="13" x14ac:dyDescent="0.15">
      <c r="A316" s="2">
        <v>10211</v>
      </c>
      <c r="B316" s="2">
        <v>515</v>
      </c>
      <c r="C316" s="2">
        <v>1492874734</v>
      </c>
      <c r="D316" s="2">
        <v>1492875206</v>
      </c>
      <c r="E316" s="1">
        <v>10</v>
      </c>
      <c r="F316" s="2">
        <v>468</v>
      </c>
    </row>
    <row r="317" spans="1:6" ht="13" x14ac:dyDescent="0.15">
      <c r="A317" s="2">
        <v>10176</v>
      </c>
      <c r="B317" s="2">
        <v>515</v>
      </c>
      <c r="C317" s="2">
        <v>1492883890</v>
      </c>
      <c r="D317" s="2">
        <v>1492884914</v>
      </c>
      <c r="E317" s="1">
        <v>10</v>
      </c>
      <c r="F317" s="2">
        <v>1023</v>
      </c>
    </row>
    <row r="318" spans="1:6" ht="13" x14ac:dyDescent="0.15">
      <c r="A318" s="2">
        <v>10197</v>
      </c>
      <c r="B318" s="2">
        <v>515</v>
      </c>
      <c r="C318" s="2">
        <v>1492946751</v>
      </c>
      <c r="D318" s="2">
        <v>1492949805</v>
      </c>
      <c r="E318" s="1">
        <v>10</v>
      </c>
      <c r="F318" s="2">
        <v>3040</v>
      </c>
    </row>
    <row r="319" spans="1:6" ht="13" x14ac:dyDescent="0.15">
      <c r="A319" s="2">
        <v>10175</v>
      </c>
      <c r="B319" s="2">
        <v>515</v>
      </c>
      <c r="C319" s="2">
        <v>1492985291</v>
      </c>
      <c r="D319" s="2">
        <v>1492986019</v>
      </c>
      <c r="E319" s="1">
        <v>10</v>
      </c>
      <c r="F319" s="2">
        <v>724</v>
      </c>
    </row>
    <row r="320" spans="1:6" ht="13" x14ac:dyDescent="0.15">
      <c r="A320" s="2">
        <v>10189</v>
      </c>
      <c r="B320" s="2">
        <v>515</v>
      </c>
      <c r="C320" s="2">
        <v>1492710779</v>
      </c>
      <c r="D320" s="2">
        <v>1493070566</v>
      </c>
      <c r="E320" s="1">
        <v>10</v>
      </c>
      <c r="F320" s="2">
        <v>6795</v>
      </c>
    </row>
    <row r="321" spans="1:6" ht="13" x14ac:dyDescent="0.15">
      <c r="A321" s="2">
        <v>10192</v>
      </c>
      <c r="B321" s="2">
        <v>515</v>
      </c>
      <c r="C321" s="2">
        <v>1493074970</v>
      </c>
      <c r="D321" s="2">
        <v>1493075832</v>
      </c>
      <c r="E321" s="1">
        <v>10</v>
      </c>
      <c r="F321" s="2">
        <v>780</v>
      </c>
    </row>
    <row r="322" spans="1:6" ht="13" x14ac:dyDescent="0.15">
      <c r="A322" s="2">
        <v>10240</v>
      </c>
      <c r="B322" s="2">
        <v>515</v>
      </c>
      <c r="C322" s="2">
        <v>1492528340</v>
      </c>
      <c r="D322" s="2">
        <v>1493137279</v>
      </c>
      <c r="E322" s="1">
        <v>10</v>
      </c>
      <c r="F322" s="2">
        <v>3966</v>
      </c>
    </row>
    <row r="323" spans="1:6" ht="13" x14ac:dyDescent="0.15">
      <c r="A323" s="2">
        <v>10188</v>
      </c>
      <c r="B323" s="2">
        <v>515</v>
      </c>
      <c r="C323" s="2">
        <v>1492469366</v>
      </c>
      <c r="D323" s="2">
        <v>1493159963</v>
      </c>
      <c r="E323" s="1">
        <v>10</v>
      </c>
      <c r="F323" s="2">
        <v>1631</v>
      </c>
    </row>
    <row r="324" spans="1:6" ht="13" x14ac:dyDescent="0.15">
      <c r="A324" s="2">
        <v>10224</v>
      </c>
      <c r="B324" s="2">
        <v>515</v>
      </c>
      <c r="C324" s="2">
        <v>1493224674</v>
      </c>
      <c r="D324" s="2">
        <v>1493225645</v>
      </c>
      <c r="E324" s="1">
        <v>10</v>
      </c>
      <c r="F324" s="2">
        <v>970</v>
      </c>
    </row>
    <row r="325" spans="1:6" ht="13" x14ac:dyDescent="0.15">
      <c r="A325" s="2">
        <v>10227</v>
      </c>
      <c r="B325" s="2">
        <v>515</v>
      </c>
      <c r="C325" s="2">
        <v>1493310707</v>
      </c>
      <c r="D325" s="2">
        <v>1493312395</v>
      </c>
      <c r="E325" s="1">
        <v>10</v>
      </c>
      <c r="F325" s="2">
        <v>1686</v>
      </c>
    </row>
    <row r="326" spans="1:6" ht="13" x14ac:dyDescent="0.15">
      <c r="A326" s="2">
        <v>10230</v>
      </c>
      <c r="B326" s="2">
        <v>515</v>
      </c>
      <c r="C326" s="2">
        <v>1493403212</v>
      </c>
      <c r="D326" s="2">
        <v>1493404344</v>
      </c>
      <c r="E326" s="1">
        <v>10</v>
      </c>
      <c r="F326" s="2">
        <v>1128</v>
      </c>
    </row>
    <row r="327" spans="1:6" ht="13" x14ac:dyDescent="0.15">
      <c r="A327" s="2">
        <v>10191</v>
      </c>
      <c r="B327" s="2">
        <v>515</v>
      </c>
      <c r="C327" s="2">
        <v>1493430295</v>
      </c>
      <c r="D327" s="2">
        <v>1493595455</v>
      </c>
      <c r="E327" s="1">
        <v>10</v>
      </c>
      <c r="F327" s="2">
        <v>880</v>
      </c>
    </row>
    <row r="328" spans="1:6" ht="13" x14ac:dyDescent="0.15">
      <c r="A328" s="2">
        <v>10210</v>
      </c>
      <c r="B328" s="2">
        <v>515</v>
      </c>
      <c r="C328" s="2">
        <v>1493489481</v>
      </c>
      <c r="D328" s="2">
        <v>1493492314</v>
      </c>
      <c r="E328" s="1">
        <v>10</v>
      </c>
      <c r="F328" s="2">
        <v>2832</v>
      </c>
    </row>
    <row r="329" spans="1:6" ht="13" x14ac:dyDescent="0.15">
      <c r="A329" s="2">
        <v>10233</v>
      </c>
      <c r="B329" s="2">
        <v>515</v>
      </c>
      <c r="C329" s="2">
        <v>1493503921</v>
      </c>
      <c r="D329" s="2">
        <v>1493504920</v>
      </c>
      <c r="E329" s="1">
        <v>10</v>
      </c>
      <c r="F329" s="2">
        <v>997</v>
      </c>
    </row>
    <row r="330" spans="1:6" ht="13" x14ac:dyDescent="0.15">
      <c r="A330" s="2">
        <v>10181</v>
      </c>
      <c r="B330" s="2">
        <v>515</v>
      </c>
      <c r="C330" s="2">
        <v>1492619186</v>
      </c>
      <c r="D330" s="2">
        <v>1497299110</v>
      </c>
      <c r="E330" s="1">
        <v>10</v>
      </c>
      <c r="F330" s="2">
        <v>1176</v>
      </c>
    </row>
    <row r="331" spans="1:6" ht="13" x14ac:dyDescent="0.15">
      <c r="A331" s="2">
        <v>10198</v>
      </c>
      <c r="B331" s="2">
        <v>515</v>
      </c>
      <c r="C331" s="2">
        <v>1493559664</v>
      </c>
      <c r="D331" s="2">
        <v>1493563996</v>
      </c>
      <c r="E331" s="1">
        <v>10</v>
      </c>
      <c r="F331" s="2">
        <v>4322</v>
      </c>
    </row>
    <row r="332" spans="1:6" ht="13" x14ac:dyDescent="0.15">
      <c r="A332" s="2">
        <v>10200</v>
      </c>
      <c r="B332" s="2">
        <v>515</v>
      </c>
      <c r="C332" s="2">
        <v>1493583333</v>
      </c>
      <c r="D332" s="2">
        <v>1493585954</v>
      </c>
      <c r="E332" s="1">
        <v>10</v>
      </c>
      <c r="F332" s="2">
        <v>2619</v>
      </c>
    </row>
    <row r="333" spans="1:6" ht="13" x14ac:dyDescent="0.15">
      <c r="A333" s="2">
        <v>10226</v>
      </c>
      <c r="B333" s="2">
        <v>515</v>
      </c>
      <c r="C333" s="2">
        <v>1493686469</v>
      </c>
      <c r="D333" s="2">
        <v>1493689505</v>
      </c>
      <c r="E333" s="1">
        <v>10</v>
      </c>
      <c r="F333" s="2">
        <v>2992</v>
      </c>
    </row>
    <row r="334" spans="1:6" ht="13" x14ac:dyDescent="0.15">
      <c r="A334" s="2">
        <v>10221</v>
      </c>
      <c r="B334" s="2">
        <v>515</v>
      </c>
      <c r="C334" s="2">
        <v>1493764818</v>
      </c>
      <c r="D334" s="2">
        <v>1493842699</v>
      </c>
      <c r="E334" s="1">
        <v>10</v>
      </c>
      <c r="F334" s="2">
        <v>8778</v>
      </c>
    </row>
    <row r="335" spans="1:6" ht="13" x14ac:dyDescent="0.15">
      <c r="A335" s="2">
        <v>10170</v>
      </c>
      <c r="B335" s="2">
        <v>515</v>
      </c>
      <c r="C335" s="2">
        <v>1493522617</v>
      </c>
      <c r="D335" s="2">
        <v>1493997597</v>
      </c>
      <c r="E335" s="1">
        <v>10</v>
      </c>
      <c r="F335" s="2">
        <v>4337</v>
      </c>
    </row>
    <row r="336" spans="1:6" ht="13" x14ac:dyDescent="0.15">
      <c r="A336" s="2">
        <v>10234</v>
      </c>
      <c r="B336" s="2">
        <v>515</v>
      </c>
      <c r="C336" s="2">
        <v>1494097940</v>
      </c>
      <c r="D336" s="2">
        <v>1494127384</v>
      </c>
      <c r="E336" s="1">
        <v>10</v>
      </c>
      <c r="F336" s="2">
        <v>2157</v>
      </c>
    </row>
    <row r="337" spans="1:6" ht="13" x14ac:dyDescent="0.15">
      <c r="A337" s="2">
        <v>10186</v>
      </c>
      <c r="B337" s="2">
        <v>515</v>
      </c>
      <c r="C337" s="2">
        <v>1494206528</v>
      </c>
      <c r="D337" s="2">
        <v>1494207778</v>
      </c>
      <c r="E337" s="1">
        <v>10</v>
      </c>
      <c r="F337" s="2">
        <v>1246</v>
      </c>
    </row>
    <row r="338" spans="1:6" ht="13" x14ac:dyDescent="0.15">
      <c r="A338" s="2">
        <v>10238</v>
      </c>
      <c r="B338" s="2">
        <v>515</v>
      </c>
      <c r="C338" s="2">
        <v>1494699145</v>
      </c>
      <c r="D338" s="2">
        <v>1494699481</v>
      </c>
      <c r="E338" s="1">
        <v>10</v>
      </c>
      <c r="F338" s="2">
        <v>334</v>
      </c>
    </row>
    <row r="339" spans="1:6" ht="13" x14ac:dyDescent="0.15">
      <c r="A339" s="2">
        <v>10174</v>
      </c>
      <c r="B339" s="2">
        <v>515</v>
      </c>
      <c r="C339" s="2">
        <v>1494714002</v>
      </c>
      <c r="D339" s="2">
        <v>1494722547</v>
      </c>
      <c r="E339" s="1">
        <v>10</v>
      </c>
      <c r="F339" s="2">
        <v>8542</v>
      </c>
    </row>
    <row r="340" spans="1:6" ht="13" x14ac:dyDescent="0.15">
      <c r="A340" s="2">
        <v>10213</v>
      </c>
      <c r="B340" s="2">
        <v>515</v>
      </c>
      <c r="C340" s="2">
        <v>1493309827</v>
      </c>
      <c r="D340" s="2">
        <v>1494732182</v>
      </c>
      <c r="E340" s="1">
        <v>10</v>
      </c>
      <c r="F340" s="2">
        <v>1061</v>
      </c>
    </row>
    <row r="341" spans="1:6" ht="13" x14ac:dyDescent="0.15">
      <c r="A341" s="2">
        <v>10232</v>
      </c>
      <c r="B341" s="2">
        <v>515</v>
      </c>
      <c r="C341" s="2">
        <v>1494867563</v>
      </c>
      <c r="D341" s="2">
        <v>1494878218</v>
      </c>
      <c r="E341" s="1">
        <v>10</v>
      </c>
      <c r="F341" s="2">
        <v>1706</v>
      </c>
    </row>
    <row r="342" spans="1:6" ht="13" x14ac:dyDescent="0.15">
      <c r="A342" s="2">
        <v>10218</v>
      </c>
      <c r="B342" s="2">
        <v>515</v>
      </c>
      <c r="C342" s="2">
        <v>1494874995</v>
      </c>
      <c r="D342" s="2">
        <v>1494876026</v>
      </c>
      <c r="E342" s="1">
        <v>10</v>
      </c>
      <c r="F342" s="2">
        <v>1028</v>
      </c>
    </row>
    <row r="343" spans="1:6" ht="13" x14ac:dyDescent="0.15">
      <c r="A343" s="2">
        <v>10190</v>
      </c>
      <c r="B343" s="2">
        <v>515</v>
      </c>
      <c r="C343" s="2">
        <v>1495416796</v>
      </c>
      <c r="D343" s="2">
        <v>1495417395</v>
      </c>
      <c r="E343" s="1">
        <v>10</v>
      </c>
      <c r="F343" s="2">
        <v>597</v>
      </c>
    </row>
    <row r="344" spans="1:6" ht="13" x14ac:dyDescent="0.15">
      <c r="A344" s="2">
        <v>10222</v>
      </c>
      <c r="B344" s="2">
        <v>515</v>
      </c>
      <c r="C344" s="2">
        <v>1496719786</v>
      </c>
      <c r="D344" s="2">
        <v>1496720348</v>
      </c>
      <c r="E344" s="1">
        <v>10</v>
      </c>
      <c r="F344" s="2">
        <v>561</v>
      </c>
    </row>
    <row r="345" spans="1:6" ht="13" x14ac:dyDescent="0.15">
      <c r="A345" s="2">
        <v>10237</v>
      </c>
      <c r="B345" s="2">
        <v>515</v>
      </c>
      <c r="C345" s="2">
        <v>1497219315</v>
      </c>
      <c r="D345" s="2">
        <v>1497220175</v>
      </c>
      <c r="E345" s="1">
        <v>10</v>
      </c>
      <c r="F345" s="2">
        <v>692</v>
      </c>
    </row>
    <row r="346" spans="1:6" ht="13" x14ac:dyDescent="0.15">
      <c r="A346" s="2">
        <v>10185</v>
      </c>
      <c r="B346" s="2">
        <v>515</v>
      </c>
      <c r="C346" s="2">
        <v>1497810178</v>
      </c>
      <c r="D346" s="2">
        <v>1497812278</v>
      </c>
      <c r="E346" s="1">
        <v>10</v>
      </c>
      <c r="F346" s="2">
        <v>2068</v>
      </c>
    </row>
    <row r="347" spans="1:6" ht="13" x14ac:dyDescent="0.15">
      <c r="A347" s="2">
        <v>10209</v>
      </c>
      <c r="B347" s="2">
        <v>515</v>
      </c>
      <c r="C347" s="2">
        <v>1497838060</v>
      </c>
      <c r="D347" s="2">
        <v>1497838520</v>
      </c>
      <c r="E347" s="1">
        <v>10</v>
      </c>
      <c r="F347" s="2">
        <v>456</v>
      </c>
    </row>
    <row r="348" spans="1:6" ht="13" x14ac:dyDescent="0.15">
      <c r="A348" s="2">
        <v>10223</v>
      </c>
      <c r="B348" s="2">
        <v>515</v>
      </c>
      <c r="C348" s="2">
        <v>1499019724</v>
      </c>
      <c r="D348" s="2">
        <v>1499020017</v>
      </c>
      <c r="E348" s="1">
        <v>10</v>
      </c>
      <c r="F348" s="2">
        <v>291</v>
      </c>
    </row>
    <row r="349" spans="1:6" ht="13" x14ac:dyDescent="0.15">
      <c r="A349" s="2">
        <v>10219</v>
      </c>
      <c r="B349" s="2">
        <v>515</v>
      </c>
      <c r="C349" s="2">
        <v>1499187134</v>
      </c>
      <c r="D349" s="2">
        <v>1499189043</v>
      </c>
      <c r="E349" s="1">
        <v>10</v>
      </c>
      <c r="F349" s="2">
        <v>1349</v>
      </c>
    </row>
    <row r="350" spans="1:6" ht="13" x14ac:dyDescent="0.15">
      <c r="A350" s="2">
        <v>10202</v>
      </c>
      <c r="B350" s="2">
        <v>515</v>
      </c>
      <c r="C350" s="2">
        <v>1499280179</v>
      </c>
      <c r="D350" s="2">
        <v>1499356592</v>
      </c>
      <c r="E350" s="1">
        <v>10</v>
      </c>
      <c r="F350" s="2">
        <v>1845</v>
      </c>
    </row>
    <row r="351" spans="1:6" ht="13" x14ac:dyDescent="0.15">
      <c r="A351" s="2">
        <v>10193</v>
      </c>
      <c r="B351" s="2">
        <v>515</v>
      </c>
      <c r="C351" s="2">
        <v>1492617180</v>
      </c>
      <c r="D351" s="2">
        <v>1499381229</v>
      </c>
      <c r="E351" s="1">
        <v>10</v>
      </c>
      <c r="F351" s="2">
        <v>2338</v>
      </c>
    </row>
    <row r="352" spans="1:6" ht="13" x14ac:dyDescent="0.15">
      <c r="A352" s="2">
        <v>10228</v>
      </c>
      <c r="B352" s="2">
        <v>515</v>
      </c>
      <c r="C352" s="2">
        <v>1499393588</v>
      </c>
      <c r="D352" s="2">
        <v>1499394482</v>
      </c>
      <c r="E352" s="1">
        <v>10</v>
      </c>
      <c r="F352" s="2">
        <v>891</v>
      </c>
    </row>
    <row r="353" spans="1:6" ht="13" x14ac:dyDescent="0.15">
      <c r="A353" s="2">
        <v>10179</v>
      </c>
      <c r="B353" s="2">
        <v>515</v>
      </c>
      <c r="C353" s="2">
        <v>1499406360</v>
      </c>
      <c r="D353" s="2">
        <v>1499407308</v>
      </c>
      <c r="E353" s="1">
        <v>10</v>
      </c>
      <c r="F353" s="2">
        <v>946</v>
      </c>
    </row>
    <row r="354" spans="1:6" ht="13" x14ac:dyDescent="0.15">
      <c r="A354" s="2">
        <v>10212</v>
      </c>
      <c r="B354" s="2">
        <v>515</v>
      </c>
      <c r="C354" s="2">
        <v>1499458017</v>
      </c>
      <c r="E354" s="3"/>
      <c r="F354" s="2">
        <v>1092</v>
      </c>
    </row>
    <row r="355" spans="1:6" ht="13" x14ac:dyDescent="0.15">
      <c r="A355" s="2">
        <v>10220</v>
      </c>
      <c r="B355" s="2">
        <v>515</v>
      </c>
      <c r="C355" s="2">
        <v>1499480844</v>
      </c>
      <c r="D355" s="2">
        <v>1499483507</v>
      </c>
      <c r="E355" s="1">
        <v>10</v>
      </c>
      <c r="F355" s="2">
        <v>2660</v>
      </c>
    </row>
    <row r="356" spans="1:6" ht="13" x14ac:dyDescent="0.15">
      <c r="A356" s="2">
        <v>2</v>
      </c>
      <c r="B356" s="2">
        <v>528</v>
      </c>
      <c r="C356" s="2">
        <v>0</v>
      </c>
      <c r="E356" s="3"/>
      <c r="F356" s="2">
        <v>0</v>
      </c>
    </row>
    <row r="357" spans="1:6" ht="13" x14ac:dyDescent="0.15">
      <c r="A357" s="2">
        <v>10172</v>
      </c>
      <c r="B357" s="2">
        <v>528</v>
      </c>
      <c r="C357" s="2">
        <v>1494347608</v>
      </c>
      <c r="D357" s="2">
        <v>1494347890</v>
      </c>
      <c r="E357" s="1">
        <v>10</v>
      </c>
      <c r="F357" s="2">
        <v>277</v>
      </c>
    </row>
    <row r="358" spans="1:6" ht="13" x14ac:dyDescent="0.15">
      <c r="A358" s="2">
        <v>10203</v>
      </c>
      <c r="B358" s="2">
        <v>528</v>
      </c>
      <c r="C358" s="2">
        <v>1494352639</v>
      </c>
      <c r="D358" s="2">
        <v>1494616055</v>
      </c>
      <c r="E358" s="1">
        <v>10</v>
      </c>
      <c r="F358" s="2">
        <v>1078</v>
      </c>
    </row>
    <row r="359" spans="1:6" ht="13" x14ac:dyDescent="0.15">
      <c r="A359" s="2">
        <v>10217</v>
      </c>
      <c r="B359" s="2">
        <v>528</v>
      </c>
      <c r="C359" s="2">
        <v>1494354773</v>
      </c>
      <c r="D359" s="2">
        <v>1494355278</v>
      </c>
      <c r="E359" s="1">
        <v>10</v>
      </c>
      <c r="F359" s="2">
        <v>494</v>
      </c>
    </row>
    <row r="360" spans="1:6" ht="13" x14ac:dyDescent="0.15">
      <c r="A360" s="2">
        <v>10208</v>
      </c>
      <c r="B360" s="2">
        <v>528</v>
      </c>
      <c r="C360" s="2">
        <v>1494358372</v>
      </c>
      <c r="D360" s="2">
        <v>1494432179</v>
      </c>
      <c r="E360" s="1">
        <v>10</v>
      </c>
      <c r="F360" s="2">
        <v>751</v>
      </c>
    </row>
    <row r="361" spans="1:6" ht="13" x14ac:dyDescent="0.15">
      <c r="A361" s="2">
        <v>10240</v>
      </c>
      <c r="B361" s="2">
        <v>528</v>
      </c>
      <c r="C361" s="2">
        <v>1494368599</v>
      </c>
      <c r="D361" s="2">
        <v>1494369145</v>
      </c>
      <c r="E361" s="1">
        <v>10</v>
      </c>
      <c r="F361" s="2">
        <v>545</v>
      </c>
    </row>
    <row r="362" spans="1:6" ht="13" x14ac:dyDescent="0.15">
      <c r="A362" s="2">
        <v>10183</v>
      </c>
      <c r="B362" s="2">
        <v>528</v>
      </c>
      <c r="C362" s="2">
        <v>1494374899</v>
      </c>
      <c r="D362" s="2">
        <v>1498596268</v>
      </c>
      <c r="E362" s="1">
        <v>10</v>
      </c>
      <c r="F362" s="2">
        <v>3834</v>
      </c>
    </row>
    <row r="363" spans="1:6" ht="13" x14ac:dyDescent="0.15">
      <c r="A363" s="2">
        <v>10184</v>
      </c>
      <c r="B363" s="2">
        <v>528</v>
      </c>
      <c r="C363" s="2">
        <v>1494376546</v>
      </c>
      <c r="D363" s="2">
        <v>1494376702</v>
      </c>
      <c r="E363" s="1">
        <v>10</v>
      </c>
      <c r="F363" s="2">
        <v>154</v>
      </c>
    </row>
    <row r="364" spans="1:6" ht="13" x14ac:dyDescent="0.15">
      <c r="A364" s="2">
        <v>10215</v>
      </c>
      <c r="B364" s="2">
        <v>528</v>
      </c>
      <c r="C364" s="2">
        <v>1494383777</v>
      </c>
      <c r="D364" s="2">
        <v>1494384820</v>
      </c>
      <c r="E364" s="1">
        <v>10</v>
      </c>
      <c r="F364" s="2">
        <v>1039</v>
      </c>
    </row>
    <row r="365" spans="1:6" ht="13" x14ac:dyDescent="0.15">
      <c r="A365" s="2">
        <v>10175</v>
      </c>
      <c r="B365" s="2">
        <v>528</v>
      </c>
      <c r="C365" s="2">
        <v>1494442932</v>
      </c>
      <c r="D365" s="2">
        <v>1494443444</v>
      </c>
      <c r="E365" s="1">
        <v>10</v>
      </c>
      <c r="F365" s="2">
        <v>642</v>
      </c>
    </row>
    <row r="366" spans="1:6" ht="13" x14ac:dyDescent="0.15">
      <c r="A366" s="2">
        <v>10206</v>
      </c>
      <c r="B366" s="2">
        <v>528</v>
      </c>
      <c r="C366" s="2">
        <v>1494444735</v>
      </c>
      <c r="D366" s="2">
        <v>1494445355</v>
      </c>
      <c r="E366" s="1">
        <v>10</v>
      </c>
      <c r="F366" s="2">
        <v>618</v>
      </c>
    </row>
    <row r="367" spans="1:6" ht="13" x14ac:dyDescent="0.15">
      <c r="A367" s="2">
        <v>10224</v>
      </c>
      <c r="B367" s="2">
        <v>528</v>
      </c>
      <c r="C367" s="2">
        <v>1494472122</v>
      </c>
      <c r="D367" s="2">
        <v>1494472260</v>
      </c>
      <c r="E367" s="1">
        <v>10</v>
      </c>
      <c r="F367" s="2">
        <v>135</v>
      </c>
    </row>
    <row r="368" spans="1:6" ht="13" x14ac:dyDescent="0.15">
      <c r="A368" s="2">
        <v>10231</v>
      </c>
      <c r="B368" s="2">
        <v>528</v>
      </c>
      <c r="C368" s="2">
        <v>1494499987</v>
      </c>
      <c r="D368" s="2">
        <v>1494520865</v>
      </c>
      <c r="E368" s="1">
        <v>10</v>
      </c>
      <c r="F368" s="2">
        <v>1062</v>
      </c>
    </row>
    <row r="369" spans="1:6" ht="13" x14ac:dyDescent="0.15">
      <c r="A369" s="2">
        <v>10204</v>
      </c>
      <c r="B369" s="2">
        <v>528</v>
      </c>
      <c r="C369" s="2">
        <v>1494514768</v>
      </c>
      <c r="D369" s="2">
        <v>1494524133</v>
      </c>
      <c r="E369" s="1">
        <v>10</v>
      </c>
      <c r="F369" s="2">
        <v>3937</v>
      </c>
    </row>
    <row r="370" spans="1:6" ht="13" x14ac:dyDescent="0.15">
      <c r="A370" s="2">
        <v>10201</v>
      </c>
      <c r="B370" s="2">
        <v>528</v>
      </c>
      <c r="C370" s="2">
        <v>1494520579</v>
      </c>
      <c r="D370" s="2">
        <v>1494521058</v>
      </c>
      <c r="E370" s="1">
        <v>10</v>
      </c>
      <c r="F370" s="2">
        <v>476</v>
      </c>
    </row>
    <row r="371" spans="1:6" ht="13" x14ac:dyDescent="0.15">
      <c r="A371" s="2">
        <v>10214</v>
      </c>
      <c r="B371" s="2">
        <v>528</v>
      </c>
      <c r="C371" s="2">
        <v>1494522046</v>
      </c>
      <c r="D371" s="2">
        <v>1494559302</v>
      </c>
      <c r="E371" s="1">
        <v>10</v>
      </c>
      <c r="F371" s="2">
        <v>2123</v>
      </c>
    </row>
    <row r="372" spans="1:6" ht="13" x14ac:dyDescent="0.15">
      <c r="A372" s="2">
        <v>10210</v>
      </c>
      <c r="B372" s="2">
        <v>528</v>
      </c>
      <c r="C372" s="2">
        <v>1494550780</v>
      </c>
      <c r="D372" s="2">
        <v>1494551287</v>
      </c>
      <c r="E372" s="1">
        <v>10</v>
      </c>
      <c r="F372" s="2">
        <v>506</v>
      </c>
    </row>
    <row r="373" spans="1:6" ht="13" x14ac:dyDescent="0.15">
      <c r="A373" s="2">
        <v>10211</v>
      </c>
      <c r="B373" s="2">
        <v>528</v>
      </c>
      <c r="C373" s="2">
        <v>1494591625</v>
      </c>
      <c r="D373" s="2">
        <v>1494591737</v>
      </c>
      <c r="E373" s="1">
        <v>10</v>
      </c>
      <c r="F373" s="2">
        <v>110</v>
      </c>
    </row>
    <row r="374" spans="1:6" ht="13" x14ac:dyDescent="0.15">
      <c r="A374" s="2">
        <v>10188</v>
      </c>
      <c r="B374" s="2">
        <v>528</v>
      </c>
      <c r="C374" s="2">
        <v>1494602798</v>
      </c>
      <c r="D374" s="2">
        <v>1498921766</v>
      </c>
      <c r="E374" s="1">
        <v>10</v>
      </c>
      <c r="F374" s="2">
        <v>7304</v>
      </c>
    </row>
    <row r="375" spans="1:6" ht="13" x14ac:dyDescent="0.15">
      <c r="A375" s="2">
        <v>10171</v>
      </c>
      <c r="B375" s="2">
        <v>528</v>
      </c>
      <c r="C375" s="2">
        <v>1494633914</v>
      </c>
      <c r="D375" s="2">
        <v>1494634222</v>
      </c>
      <c r="E375" s="1">
        <v>10</v>
      </c>
      <c r="F375" s="2">
        <v>306</v>
      </c>
    </row>
    <row r="376" spans="1:6" ht="13" x14ac:dyDescent="0.15">
      <c r="A376" s="2">
        <v>10200</v>
      </c>
      <c r="B376" s="2">
        <v>528</v>
      </c>
      <c r="C376" s="2">
        <v>1494701103</v>
      </c>
      <c r="D376" s="2">
        <v>1494865686</v>
      </c>
      <c r="E376" s="1">
        <v>10</v>
      </c>
      <c r="F376" s="2">
        <v>4156</v>
      </c>
    </row>
    <row r="377" spans="1:6" ht="13" x14ac:dyDescent="0.15">
      <c r="A377" s="2">
        <v>10198</v>
      </c>
      <c r="B377" s="2">
        <v>528</v>
      </c>
      <c r="C377" s="2">
        <v>1494708227</v>
      </c>
      <c r="D377" s="2">
        <v>1494709338</v>
      </c>
      <c r="E377" s="1">
        <v>10</v>
      </c>
      <c r="F377" s="2">
        <v>1405</v>
      </c>
    </row>
    <row r="378" spans="1:6" ht="13" x14ac:dyDescent="0.15">
      <c r="A378" s="2">
        <v>10193</v>
      </c>
      <c r="B378" s="2">
        <v>528</v>
      </c>
      <c r="C378" s="2">
        <v>1494723576</v>
      </c>
      <c r="D378" s="2">
        <v>1494724259</v>
      </c>
      <c r="E378" s="1">
        <v>10</v>
      </c>
      <c r="F378" s="2">
        <v>680</v>
      </c>
    </row>
    <row r="379" spans="1:6" ht="13" x14ac:dyDescent="0.15">
      <c r="A379" s="2">
        <v>10176</v>
      </c>
      <c r="B379" s="2">
        <v>528</v>
      </c>
      <c r="C379" s="2">
        <v>1494802838</v>
      </c>
      <c r="D379" s="2">
        <v>1495905962</v>
      </c>
      <c r="E379" s="1">
        <v>10</v>
      </c>
      <c r="F379" s="2">
        <v>1628</v>
      </c>
    </row>
    <row r="380" spans="1:6" ht="13" x14ac:dyDescent="0.15">
      <c r="A380" s="2">
        <v>10202</v>
      </c>
      <c r="B380" s="2">
        <v>528</v>
      </c>
      <c r="C380" s="2">
        <v>1494817462</v>
      </c>
      <c r="D380" s="2">
        <v>1494821896</v>
      </c>
      <c r="E380" s="1">
        <v>10</v>
      </c>
      <c r="F380" s="2">
        <v>4431</v>
      </c>
    </row>
    <row r="381" spans="1:6" ht="13" x14ac:dyDescent="0.15">
      <c r="A381" s="2">
        <v>10197</v>
      </c>
      <c r="B381" s="2">
        <v>528</v>
      </c>
      <c r="C381" s="2">
        <v>1494865832</v>
      </c>
      <c r="D381" s="2">
        <v>1494877870</v>
      </c>
      <c r="E381" s="1">
        <v>10</v>
      </c>
      <c r="F381" s="2">
        <v>3406</v>
      </c>
    </row>
    <row r="382" spans="1:6" ht="13" x14ac:dyDescent="0.15">
      <c r="A382" s="2">
        <v>10216</v>
      </c>
      <c r="B382" s="2">
        <v>528</v>
      </c>
      <c r="C382" s="2">
        <v>1494866836</v>
      </c>
      <c r="D382" s="2">
        <v>1494867149</v>
      </c>
      <c r="E382" s="1">
        <v>10</v>
      </c>
      <c r="F382" s="2">
        <v>309</v>
      </c>
    </row>
    <row r="383" spans="1:6" ht="13" x14ac:dyDescent="0.15">
      <c r="A383" s="2">
        <v>10230</v>
      </c>
      <c r="B383" s="2">
        <v>528</v>
      </c>
      <c r="C383" s="2">
        <v>1494882547</v>
      </c>
      <c r="D383" s="2">
        <v>1494882899</v>
      </c>
      <c r="E383" s="1">
        <v>10</v>
      </c>
      <c r="F383" s="2">
        <v>351</v>
      </c>
    </row>
    <row r="384" spans="1:6" ht="13" x14ac:dyDescent="0.15">
      <c r="A384" s="2">
        <v>10196</v>
      </c>
      <c r="B384" s="2">
        <v>528</v>
      </c>
      <c r="C384" s="2">
        <v>1494887088</v>
      </c>
      <c r="D384" s="2">
        <v>1494887622</v>
      </c>
      <c r="E384" s="1">
        <v>10</v>
      </c>
      <c r="F384" s="2">
        <v>531</v>
      </c>
    </row>
    <row r="385" spans="1:6" ht="13" x14ac:dyDescent="0.15">
      <c r="A385" s="2">
        <v>10191</v>
      </c>
      <c r="B385" s="2">
        <v>528</v>
      </c>
      <c r="C385" s="2">
        <v>1494891187</v>
      </c>
      <c r="D385" s="2">
        <v>1494891800</v>
      </c>
      <c r="E385" s="1">
        <v>10</v>
      </c>
      <c r="F385" s="2">
        <v>556</v>
      </c>
    </row>
    <row r="386" spans="1:6" ht="13" x14ac:dyDescent="0.15">
      <c r="A386" s="2">
        <v>10232</v>
      </c>
      <c r="B386" s="2">
        <v>528</v>
      </c>
      <c r="C386" s="2">
        <v>1494894258</v>
      </c>
      <c r="D386" s="2">
        <v>1494895953</v>
      </c>
      <c r="E386" s="1">
        <v>10</v>
      </c>
      <c r="F386" s="2">
        <v>1691</v>
      </c>
    </row>
    <row r="387" spans="1:6" ht="13" x14ac:dyDescent="0.15">
      <c r="A387" s="2">
        <v>10227</v>
      </c>
      <c r="B387" s="2">
        <v>528</v>
      </c>
      <c r="C387" s="2">
        <v>1494937632</v>
      </c>
      <c r="D387" s="2">
        <v>1494939262</v>
      </c>
      <c r="E387" s="1">
        <v>10</v>
      </c>
      <c r="F387" s="2">
        <v>1629</v>
      </c>
    </row>
    <row r="388" spans="1:6" ht="13" x14ac:dyDescent="0.15">
      <c r="A388" s="2">
        <v>10174</v>
      </c>
      <c r="B388" s="2">
        <v>528</v>
      </c>
      <c r="C388" s="2">
        <v>1494938049</v>
      </c>
      <c r="D388" s="2">
        <v>1494950496</v>
      </c>
      <c r="E388" s="1">
        <v>10</v>
      </c>
      <c r="F388" s="2">
        <v>2309</v>
      </c>
    </row>
    <row r="389" spans="1:6" ht="13" x14ac:dyDescent="0.15">
      <c r="A389" s="2">
        <v>10209</v>
      </c>
      <c r="B389" s="2">
        <v>528</v>
      </c>
      <c r="C389" s="2">
        <v>1494979854</v>
      </c>
      <c r="D389" s="2">
        <v>1494981807</v>
      </c>
      <c r="E389" s="1">
        <v>10</v>
      </c>
      <c r="F389" s="2">
        <v>1946</v>
      </c>
    </row>
    <row r="390" spans="1:6" ht="13" x14ac:dyDescent="0.15">
      <c r="A390" s="2">
        <v>10189</v>
      </c>
      <c r="B390" s="2">
        <v>528</v>
      </c>
      <c r="C390" s="2">
        <v>1495403539</v>
      </c>
      <c r="D390" s="2">
        <v>1495404323</v>
      </c>
      <c r="E390" s="1">
        <v>10</v>
      </c>
      <c r="F390" s="2">
        <v>782</v>
      </c>
    </row>
    <row r="391" spans="1:6" ht="13" x14ac:dyDescent="0.15">
      <c r="A391" s="2">
        <v>10170</v>
      </c>
      <c r="B391" s="2">
        <v>528</v>
      </c>
      <c r="C391" s="2">
        <v>1495503450</v>
      </c>
      <c r="D391" s="2">
        <v>1495506769</v>
      </c>
      <c r="E391" s="1">
        <v>10</v>
      </c>
      <c r="F391" s="2">
        <v>172</v>
      </c>
    </row>
    <row r="392" spans="1:6" ht="13" x14ac:dyDescent="0.15">
      <c r="A392" s="2">
        <v>10192</v>
      </c>
      <c r="B392" s="2">
        <v>528</v>
      </c>
      <c r="C392" s="2">
        <v>1495660639</v>
      </c>
      <c r="D392" s="2">
        <v>1495661493</v>
      </c>
      <c r="E392" s="1">
        <v>10</v>
      </c>
      <c r="F392" s="2">
        <v>690</v>
      </c>
    </row>
    <row r="393" spans="1:6" ht="13" x14ac:dyDescent="0.15">
      <c r="A393" s="2">
        <v>10178</v>
      </c>
      <c r="B393" s="2">
        <v>528</v>
      </c>
      <c r="C393" s="2">
        <v>1495826643</v>
      </c>
      <c r="D393" s="2">
        <v>1495826981</v>
      </c>
      <c r="E393" s="1">
        <v>10</v>
      </c>
      <c r="F393" s="2">
        <v>336</v>
      </c>
    </row>
    <row r="394" spans="1:6" ht="13" x14ac:dyDescent="0.15">
      <c r="A394" s="2">
        <v>10187</v>
      </c>
      <c r="B394" s="2">
        <v>528</v>
      </c>
      <c r="C394" s="2">
        <v>1495895461</v>
      </c>
      <c r="D394" s="2">
        <v>1495895610</v>
      </c>
      <c r="E394" s="1">
        <v>10</v>
      </c>
      <c r="F394" s="2">
        <v>145</v>
      </c>
    </row>
    <row r="395" spans="1:6" ht="13" x14ac:dyDescent="0.15">
      <c r="A395" s="2">
        <v>10222</v>
      </c>
      <c r="B395" s="2">
        <v>528</v>
      </c>
      <c r="C395" s="2">
        <v>1496318981</v>
      </c>
      <c r="D395" s="2">
        <v>1496319545</v>
      </c>
      <c r="E395" s="1">
        <v>10</v>
      </c>
      <c r="F395" s="2">
        <v>465</v>
      </c>
    </row>
    <row r="396" spans="1:6" ht="13" x14ac:dyDescent="0.15">
      <c r="A396" s="2">
        <v>10234</v>
      </c>
      <c r="B396" s="2">
        <v>528</v>
      </c>
      <c r="C396" s="2">
        <v>1497149432</v>
      </c>
      <c r="D396" s="2">
        <v>1497149818</v>
      </c>
      <c r="E396" s="1">
        <v>10</v>
      </c>
      <c r="F396" s="2">
        <v>382</v>
      </c>
    </row>
    <row r="397" spans="1:6" ht="13" x14ac:dyDescent="0.15">
      <c r="A397" s="2">
        <v>10219</v>
      </c>
      <c r="B397" s="2">
        <v>528</v>
      </c>
      <c r="C397" s="2">
        <v>1497192943</v>
      </c>
      <c r="D397" s="2">
        <v>1497193527</v>
      </c>
      <c r="E397" s="1">
        <v>10</v>
      </c>
      <c r="F397" s="2">
        <v>580</v>
      </c>
    </row>
    <row r="398" spans="1:6" ht="13" x14ac:dyDescent="0.15">
      <c r="A398" s="2">
        <v>10186</v>
      </c>
      <c r="B398" s="2">
        <v>528</v>
      </c>
      <c r="C398" s="2">
        <v>1498952935</v>
      </c>
      <c r="D398" s="2">
        <v>1498954341</v>
      </c>
      <c r="E398" s="1">
        <v>10</v>
      </c>
      <c r="F398" s="2">
        <v>1360</v>
      </c>
    </row>
    <row r="399" spans="1:6" ht="13" x14ac:dyDescent="0.15">
      <c r="A399" s="2">
        <v>10223</v>
      </c>
      <c r="B399" s="2">
        <v>528</v>
      </c>
      <c r="C399" s="2">
        <v>1499020134</v>
      </c>
      <c r="D399" s="2">
        <v>1499020265</v>
      </c>
      <c r="E399" s="1">
        <v>10</v>
      </c>
      <c r="F399" s="2">
        <v>129</v>
      </c>
    </row>
    <row r="400" spans="1:6" ht="13" x14ac:dyDescent="0.15">
      <c r="A400" s="2">
        <v>10169</v>
      </c>
      <c r="B400" s="2">
        <v>528</v>
      </c>
      <c r="C400" s="2">
        <v>1499367527</v>
      </c>
      <c r="D400" s="2">
        <v>1499367675</v>
      </c>
      <c r="E400" s="1">
        <v>10</v>
      </c>
      <c r="F400" s="2">
        <v>144</v>
      </c>
    </row>
    <row r="401" spans="1:6" ht="13" x14ac:dyDescent="0.15">
      <c r="A401" s="2">
        <v>10221</v>
      </c>
      <c r="B401" s="2">
        <v>528</v>
      </c>
      <c r="C401" s="2">
        <v>1499368431</v>
      </c>
      <c r="D401" s="2">
        <v>1499370429</v>
      </c>
      <c r="E401" s="1">
        <v>10</v>
      </c>
      <c r="F401" s="2">
        <v>1995</v>
      </c>
    </row>
    <row r="402" spans="1:6" ht="13" x14ac:dyDescent="0.15">
      <c r="A402" s="2">
        <v>10190</v>
      </c>
      <c r="B402" s="2">
        <v>528</v>
      </c>
      <c r="C402" s="2">
        <v>1499373736</v>
      </c>
      <c r="E402" s="3"/>
      <c r="F402" s="2">
        <v>181</v>
      </c>
    </row>
    <row r="403" spans="1:6" ht="13" x14ac:dyDescent="0.15">
      <c r="A403" s="2">
        <v>10213</v>
      </c>
      <c r="B403" s="2">
        <v>528</v>
      </c>
      <c r="C403" s="2">
        <v>1499391541</v>
      </c>
      <c r="D403" s="2">
        <v>1499391977</v>
      </c>
      <c r="E403" s="1">
        <v>10</v>
      </c>
      <c r="F403" s="2">
        <v>369</v>
      </c>
    </row>
    <row r="404" spans="1:6" ht="13" x14ac:dyDescent="0.15">
      <c r="A404" s="2">
        <v>10228</v>
      </c>
      <c r="B404" s="2">
        <v>528</v>
      </c>
      <c r="C404" s="2">
        <v>1499398227</v>
      </c>
      <c r="D404" s="2">
        <v>1499398457</v>
      </c>
      <c r="E404" s="1">
        <v>10</v>
      </c>
      <c r="F404" s="2">
        <v>228</v>
      </c>
    </row>
    <row r="405" spans="1:6" ht="13" x14ac:dyDescent="0.15">
      <c r="A405" s="2">
        <v>10237</v>
      </c>
      <c r="B405" s="2">
        <v>528</v>
      </c>
      <c r="C405" s="2">
        <v>1499400238</v>
      </c>
      <c r="D405" s="2">
        <v>1499403834</v>
      </c>
      <c r="E405" s="1">
        <v>10</v>
      </c>
      <c r="F405" s="2">
        <v>536</v>
      </c>
    </row>
    <row r="406" spans="1:6" ht="13" x14ac:dyDescent="0.15">
      <c r="A406" s="2">
        <v>10179</v>
      </c>
      <c r="B406" s="2">
        <v>528</v>
      </c>
      <c r="C406" s="2">
        <v>1499400646</v>
      </c>
      <c r="D406" s="2">
        <v>1499401192</v>
      </c>
      <c r="E406" s="1">
        <v>10</v>
      </c>
      <c r="F406" s="2">
        <v>87</v>
      </c>
    </row>
    <row r="407" spans="1:6" ht="13" x14ac:dyDescent="0.15">
      <c r="A407" s="2">
        <v>10185</v>
      </c>
      <c r="B407" s="2">
        <v>528</v>
      </c>
      <c r="C407" s="2">
        <v>1499400854</v>
      </c>
      <c r="D407" s="2">
        <v>1499401135</v>
      </c>
      <c r="E407" s="1">
        <v>10</v>
      </c>
      <c r="F407" s="2">
        <v>274</v>
      </c>
    </row>
    <row r="408" spans="1:6" ht="13" x14ac:dyDescent="0.15">
      <c r="A408" s="2">
        <v>10181</v>
      </c>
      <c r="B408" s="2">
        <v>528</v>
      </c>
      <c r="C408" s="2">
        <v>1499429777</v>
      </c>
      <c r="D408" s="2">
        <v>1499429961</v>
      </c>
      <c r="E408" s="1">
        <v>10</v>
      </c>
      <c r="F408" s="2">
        <v>183</v>
      </c>
    </row>
    <row r="409" spans="1:6" ht="13" x14ac:dyDescent="0.15">
      <c r="A409" s="2">
        <v>10238</v>
      </c>
      <c r="B409" s="2">
        <v>528</v>
      </c>
      <c r="C409" s="2">
        <v>1499432713</v>
      </c>
      <c r="E409" s="3"/>
      <c r="F409" s="2">
        <v>531</v>
      </c>
    </row>
    <row r="410" spans="1:6" ht="13" x14ac:dyDescent="0.15">
      <c r="A410" s="2">
        <v>10226</v>
      </c>
      <c r="B410" s="2">
        <v>528</v>
      </c>
      <c r="C410" s="2">
        <v>1499449421</v>
      </c>
      <c r="D410" s="2">
        <v>1499450151</v>
      </c>
      <c r="E410" s="1">
        <v>10</v>
      </c>
      <c r="F410" s="2">
        <v>727</v>
      </c>
    </row>
    <row r="411" spans="1:6" ht="13" x14ac:dyDescent="0.15">
      <c r="A411" s="2">
        <v>10212</v>
      </c>
      <c r="B411" s="2">
        <v>528</v>
      </c>
      <c r="C411" s="2">
        <v>1499460410</v>
      </c>
      <c r="D411" s="2">
        <v>1499460904</v>
      </c>
      <c r="E411" s="1">
        <v>10</v>
      </c>
      <c r="F411" s="2">
        <v>490</v>
      </c>
    </row>
    <row r="412" spans="1:6" ht="13" x14ac:dyDescent="0.15">
      <c r="A412" s="2">
        <v>10218</v>
      </c>
      <c r="B412" s="2">
        <v>528</v>
      </c>
      <c r="C412" s="2">
        <v>1499462874</v>
      </c>
      <c r="D412" s="2">
        <v>1499463008</v>
      </c>
      <c r="E412" s="1">
        <v>10</v>
      </c>
      <c r="F412" s="2">
        <v>130</v>
      </c>
    </row>
    <row r="413" spans="1:6" ht="13" x14ac:dyDescent="0.15">
      <c r="A413" s="2">
        <v>2</v>
      </c>
      <c r="B413" s="2">
        <v>544</v>
      </c>
      <c r="C413" s="2">
        <v>0</v>
      </c>
      <c r="D413" s="2">
        <v>1497509091</v>
      </c>
      <c r="E413" s="1">
        <v>10</v>
      </c>
      <c r="F413" s="2">
        <v>0</v>
      </c>
    </row>
    <row r="414" spans="1:6" ht="13" x14ac:dyDescent="0.15">
      <c r="A414" s="2">
        <v>10231</v>
      </c>
      <c r="B414" s="2">
        <v>544</v>
      </c>
      <c r="C414" s="2">
        <v>1497627488</v>
      </c>
      <c r="D414" s="2">
        <v>1497633382</v>
      </c>
      <c r="E414" s="1">
        <v>10</v>
      </c>
      <c r="F414" s="2">
        <v>5638</v>
      </c>
    </row>
    <row r="415" spans="1:6" ht="13" x14ac:dyDescent="0.15">
      <c r="A415" s="2">
        <v>10184</v>
      </c>
      <c r="B415" s="2">
        <v>544</v>
      </c>
      <c r="C415" s="2">
        <v>1497672202</v>
      </c>
      <c r="D415" s="2">
        <v>1497675606</v>
      </c>
      <c r="E415" s="1">
        <v>10</v>
      </c>
      <c r="F415" s="2">
        <v>3400</v>
      </c>
    </row>
    <row r="416" spans="1:6" ht="13" x14ac:dyDescent="0.15">
      <c r="A416" s="2">
        <v>10217</v>
      </c>
      <c r="B416" s="2">
        <v>544</v>
      </c>
      <c r="C416" s="2">
        <v>1497670010</v>
      </c>
      <c r="D416" s="2">
        <v>1497673013</v>
      </c>
      <c r="E416" s="1">
        <v>10</v>
      </c>
      <c r="F416" s="2">
        <v>999</v>
      </c>
    </row>
    <row r="417" spans="1:6" ht="13" x14ac:dyDescent="0.15">
      <c r="A417" s="2">
        <v>10188</v>
      </c>
      <c r="B417" s="2">
        <v>544</v>
      </c>
      <c r="C417" s="2">
        <v>1497914959</v>
      </c>
      <c r="D417" s="2">
        <v>1498164251</v>
      </c>
      <c r="E417" s="1">
        <v>10</v>
      </c>
      <c r="F417" s="2">
        <v>29950</v>
      </c>
    </row>
    <row r="418" spans="1:6" ht="13" x14ac:dyDescent="0.15">
      <c r="A418" s="2">
        <v>10208</v>
      </c>
      <c r="B418" s="2">
        <v>544</v>
      </c>
      <c r="C418" s="2">
        <v>1497986819</v>
      </c>
      <c r="D418" s="2">
        <v>1498063438</v>
      </c>
      <c r="E418" s="1">
        <v>10</v>
      </c>
      <c r="F418" s="2">
        <v>8676</v>
      </c>
    </row>
    <row r="419" spans="1:6" ht="13" x14ac:dyDescent="0.15">
      <c r="A419" s="2">
        <v>10198</v>
      </c>
      <c r="B419" s="2">
        <v>544</v>
      </c>
      <c r="C419" s="2">
        <v>1498074935</v>
      </c>
      <c r="D419" s="2">
        <v>1498079414</v>
      </c>
      <c r="E419" s="1">
        <v>10</v>
      </c>
      <c r="F419" s="2">
        <v>2795</v>
      </c>
    </row>
    <row r="420" spans="1:6" ht="13" x14ac:dyDescent="0.15">
      <c r="A420" s="2">
        <v>10175</v>
      </c>
      <c r="B420" s="2">
        <v>544</v>
      </c>
      <c r="C420" s="2">
        <v>1497731423</v>
      </c>
      <c r="D420" s="2">
        <v>1498079543</v>
      </c>
      <c r="E420" s="1">
        <v>10</v>
      </c>
      <c r="F420" s="2">
        <v>2980</v>
      </c>
    </row>
    <row r="421" spans="1:6" ht="13" x14ac:dyDescent="0.15">
      <c r="A421" s="2">
        <v>10171</v>
      </c>
      <c r="B421" s="2">
        <v>544</v>
      </c>
      <c r="C421" s="2">
        <v>1498088009</v>
      </c>
      <c r="D421" s="2">
        <v>1498093620</v>
      </c>
      <c r="E421" s="1">
        <v>10</v>
      </c>
      <c r="F421" s="2">
        <v>5514</v>
      </c>
    </row>
    <row r="422" spans="1:6" ht="13" x14ac:dyDescent="0.15">
      <c r="A422" s="2">
        <v>10206</v>
      </c>
      <c r="B422" s="2">
        <v>544</v>
      </c>
      <c r="C422" s="2">
        <v>1498092283</v>
      </c>
      <c r="D422" s="2">
        <v>1499446978</v>
      </c>
      <c r="E422" s="1">
        <v>10</v>
      </c>
      <c r="F422" s="2">
        <v>3314</v>
      </c>
    </row>
    <row r="423" spans="1:6" ht="13" x14ac:dyDescent="0.15">
      <c r="A423" s="2">
        <v>10201</v>
      </c>
      <c r="B423" s="2">
        <v>544</v>
      </c>
      <c r="C423" s="2">
        <v>1499271074</v>
      </c>
      <c r="D423" s="2">
        <v>1499385525</v>
      </c>
      <c r="E423" s="1">
        <v>10</v>
      </c>
      <c r="F423" s="2">
        <v>3182</v>
      </c>
    </row>
    <row r="424" spans="1:6" ht="13" x14ac:dyDescent="0.15">
      <c r="A424" s="2">
        <v>10209</v>
      </c>
      <c r="B424" s="2">
        <v>544</v>
      </c>
      <c r="C424" s="2">
        <v>1499394168</v>
      </c>
      <c r="D424" s="2">
        <v>1499403019</v>
      </c>
      <c r="E424" s="1">
        <v>10</v>
      </c>
      <c r="F424" s="2">
        <v>7333</v>
      </c>
    </row>
    <row r="425" spans="1:6" ht="13" x14ac:dyDescent="0.15">
      <c r="A425" s="2">
        <v>10169</v>
      </c>
      <c r="B425" s="2">
        <v>544</v>
      </c>
      <c r="C425" s="2">
        <v>1499401931</v>
      </c>
      <c r="D425" s="2">
        <v>1499459718</v>
      </c>
      <c r="E425" s="1">
        <v>10</v>
      </c>
      <c r="F425" s="2">
        <v>1492</v>
      </c>
    </row>
    <row r="426" spans="1:6" ht="13" x14ac:dyDescent="0.15">
      <c r="A426" s="2">
        <v>10193</v>
      </c>
      <c r="B426" s="2">
        <v>544</v>
      </c>
      <c r="C426" s="2">
        <v>1499404115</v>
      </c>
      <c r="D426" s="2">
        <v>1499405822</v>
      </c>
      <c r="E426" s="1">
        <v>10</v>
      </c>
      <c r="F426" s="2">
        <v>4282</v>
      </c>
    </row>
    <row r="427" spans="1:6" ht="13" x14ac:dyDescent="0.15">
      <c r="A427" s="2">
        <v>10174</v>
      </c>
      <c r="B427" s="2">
        <v>544</v>
      </c>
      <c r="C427" s="2">
        <v>1499439477</v>
      </c>
      <c r="E427" s="3"/>
      <c r="F427" s="2">
        <v>1358</v>
      </c>
    </row>
    <row r="428" spans="1:6" ht="13" x14ac:dyDescent="0.15">
      <c r="A428" s="2">
        <v>10210</v>
      </c>
      <c r="B428" s="2">
        <v>544</v>
      </c>
      <c r="C428" s="2">
        <v>1499440927</v>
      </c>
      <c r="D428" s="2">
        <v>1499441517</v>
      </c>
      <c r="E428" s="1">
        <v>10</v>
      </c>
      <c r="F428" s="2">
        <v>588</v>
      </c>
    </row>
    <row r="429" spans="1:6" ht="13" x14ac:dyDescent="0.15">
      <c r="A429" s="2">
        <v>10176</v>
      </c>
      <c r="B429" s="2">
        <v>544</v>
      </c>
      <c r="C429" s="2">
        <v>1499451831</v>
      </c>
      <c r="D429" s="2">
        <v>1499453121</v>
      </c>
      <c r="E429" s="1">
        <v>10</v>
      </c>
      <c r="F429" s="2">
        <v>1286</v>
      </c>
    </row>
    <row r="430" spans="1:6" ht="13" x14ac:dyDescent="0.15">
      <c r="A430" s="2">
        <v>10215</v>
      </c>
      <c r="B430" s="2">
        <v>544</v>
      </c>
      <c r="C430" s="2">
        <v>1499454603</v>
      </c>
      <c r="D430" s="2">
        <v>1499455103</v>
      </c>
      <c r="E430" s="1">
        <v>10</v>
      </c>
      <c r="F430" s="2">
        <v>497</v>
      </c>
    </row>
    <row r="431" spans="1:6" ht="13" x14ac:dyDescent="0.15">
      <c r="A431" s="2">
        <v>10170</v>
      </c>
      <c r="B431" s="2">
        <v>544</v>
      </c>
      <c r="C431" s="2">
        <v>1499456003</v>
      </c>
      <c r="D431" s="2">
        <v>1499457012</v>
      </c>
      <c r="E431" s="1">
        <v>10</v>
      </c>
      <c r="F431" s="2">
        <v>1006</v>
      </c>
    </row>
    <row r="432" spans="1:6" ht="13" x14ac:dyDescent="0.15">
      <c r="A432" s="2">
        <v>10232</v>
      </c>
      <c r="B432" s="2">
        <v>544</v>
      </c>
      <c r="C432" s="2">
        <v>1499457976</v>
      </c>
      <c r="D432" s="2">
        <v>1499459545</v>
      </c>
      <c r="E432" s="1">
        <v>10</v>
      </c>
      <c r="F432" s="2">
        <v>1566</v>
      </c>
    </row>
    <row r="433" spans="1:6" ht="13" x14ac:dyDescent="0.15">
      <c r="A433" s="2">
        <v>10186</v>
      </c>
      <c r="B433" s="2">
        <v>544</v>
      </c>
      <c r="C433" s="2">
        <v>1499458121</v>
      </c>
      <c r="D433" s="2">
        <v>1499458900</v>
      </c>
      <c r="E433" s="1">
        <v>10</v>
      </c>
      <c r="F433" s="2">
        <v>776</v>
      </c>
    </row>
    <row r="434" spans="1:6" ht="13" x14ac:dyDescent="0.15">
      <c r="A434" s="2">
        <v>10234</v>
      </c>
      <c r="B434" s="2">
        <v>544</v>
      </c>
      <c r="C434" s="2">
        <v>1499458895</v>
      </c>
      <c r="D434" s="2">
        <v>1499471576</v>
      </c>
      <c r="E434" s="1">
        <v>10</v>
      </c>
      <c r="F434" s="2">
        <v>2743</v>
      </c>
    </row>
    <row r="435" spans="1:6" ht="13" x14ac:dyDescent="0.15">
      <c r="A435" s="2">
        <v>10181</v>
      </c>
      <c r="B435" s="2">
        <v>544</v>
      </c>
      <c r="C435" s="2">
        <v>1499459504</v>
      </c>
      <c r="D435" s="2">
        <v>1499480611</v>
      </c>
      <c r="E435" s="1">
        <v>10</v>
      </c>
      <c r="F435" s="2">
        <v>4172</v>
      </c>
    </row>
    <row r="436" spans="1:6" ht="13" x14ac:dyDescent="0.15">
      <c r="A436" s="2">
        <v>10191</v>
      </c>
      <c r="B436" s="2">
        <v>544</v>
      </c>
      <c r="C436" s="2">
        <v>1499457999</v>
      </c>
      <c r="D436" s="2">
        <v>1499461108</v>
      </c>
      <c r="E436" s="1">
        <v>10</v>
      </c>
      <c r="F436" s="2">
        <v>853</v>
      </c>
    </row>
    <row r="437" spans="1:6" ht="13" x14ac:dyDescent="0.15">
      <c r="A437" s="2">
        <v>10213</v>
      </c>
      <c r="B437" s="2">
        <v>544</v>
      </c>
      <c r="C437" s="2">
        <v>1499438722</v>
      </c>
      <c r="D437" s="2">
        <v>1499461587</v>
      </c>
      <c r="E437" s="1">
        <v>10</v>
      </c>
      <c r="F437" s="2">
        <v>1202</v>
      </c>
    </row>
    <row r="438" spans="1:6" ht="13" x14ac:dyDescent="0.15">
      <c r="A438" s="2">
        <v>10227</v>
      </c>
      <c r="B438" s="2">
        <v>544</v>
      </c>
      <c r="C438" s="2">
        <v>1499296071</v>
      </c>
      <c r="E438" s="3"/>
      <c r="F438" s="2">
        <v>6271</v>
      </c>
    </row>
    <row r="439" spans="1:6" ht="13" x14ac:dyDescent="0.15">
      <c r="A439" s="2">
        <v>10221</v>
      </c>
      <c r="B439" s="2">
        <v>544</v>
      </c>
      <c r="C439" s="2">
        <v>1499464652</v>
      </c>
      <c r="D439" s="2">
        <v>1499465484</v>
      </c>
      <c r="E439" s="1">
        <v>10</v>
      </c>
      <c r="F439" s="2">
        <v>831</v>
      </c>
    </row>
    <row r="440" spans="1:6" ht="13" x14ac:dyDescent="0.15">
      <c r="A440" s="2">
        <v>10178</v>
      </c>
      <c r="B440" s="2">
        <v>544</v>
      </c>
      <c r="C440" s="2">
        <v>1499471692</v>
      </c>
      <c r="D440" s="2">
        <v>1499472934</v>
      </c>
      <c r="E440" s="1">
        <v>10</v>
      </c>
      <c r="F440" s="2">
        <v>1213</v>
      </c>
    </row>
    <row r="441" spans="1:6" ht="13" x14ac:dyDescent="0.15">
      <c r="A441" s="2">
        <v>10196</v>
      </c>
      <c r="B441" s="2">
        <v>544</v>
      </c>
      <c r="C441" s="2">
        <v>1499472635</v>
      </c>
      <c r="D441" s="2">
        <v>1499473775</v>
      </c>
      <c r="E441" s="1">
        <v>10</v>
      </c>
      <c r="F441" s="2">
        <v>1137</v>
      </c>
    </row>
    <row r="442" spans="1:6" ht="13" x14ac:dyDescent="0.15">
      <c r="A442" s="2">
        <v>10172</v>
      </c>
      <c r="B442" s="2">
        <v>544</v>
      </c>
      <c r="C442" s="2">
        <v>1499477045</v>
      </c>
      <c r="D442" s="2">
        <v>1499481738</v>
      </c>
      <c r="E442" s="1">
        <v>10</v>
      </c>
      <c r="F442" s="2">
        <v>1483</v>
      </c>
    </row>
    <row r="443" spans="1:6" ht="13" x14ac:dyDescent="0.15">
      <c r="A443" s="2">
        <v>10204</v>
      </c>
      <c r="B443" s="2">
        <v>544</v>
      </c>
      <c r="C443" s="2">
        <v>1499477961</v>
      </c>
      <c r="D443" s="2">
        <v>1499480481</v>
      </c>
      <c r="E443" s="1">
        <v>10</v>
      </c>
      <c r="F443" s="2">
        <v>2517</v>
      </c>
    </row>
    <row r="444" spans="1:6" ht="13" x14ac:dyDescent="0.15">
      <c r="A444" s="2">
        <v>10190</v>
      </c>
      <c r="B444" s="2">
        <v>544</v>
      </c>
      <c r="C444" s="2">
        <v>1499475384</v>
      </c>
      <c r="E444" s="3"/>
      <c r="F444" s="2">
        <v>5676</v>
      </c>
    </row>
    <row r="445" spans="1:6" ht="13" x14ac:dyDescent="0.15">
      <c r="A445" s="2">
        <v>10218</v>
      </c>
      <c r="B445" s="2">
        <v>544</v>
      </c>
      <c r="C445" s="2">
        <v>1499463530</v>
      </c>
      <c r="D445" s="2">
        <v>1499563372</v>
      </c>
      <c r="E445" s="1">
        <v>10</v>
      </c>
      <c r="F445" s="2">
        <v>7</v>
      </c>
    </row>
    <row r="446" spans="1:6" ht="13" x14ac:dyDescent="0.15">
      <c r="A446" s="2">
        <v>2</v>
      </c>
      <c r="B446" s="2">
        <v>524</v>
      </c>
      <c r="C446" s="2">
        <v>0</v>
      </c>
      <c r="D446" s="2">
        <v>1494274143</v>
      </c>
      <c r="E446" s="1">
        <v>10</v>
      </c>
      <c r="F446" s="2">
        <v>0</v>
      </c>
    </row>
    <row r="447" spans="1:6" ht="13" x14ac:dyDescent="0.15">
      <c r="A447" s="2">
        <v>10172</v>
      </c>
      <c r="B447" s="2">
        <v>524</v>
      </c>
      <c r="C447" s="2">
        <v>1494348100</v>
      </c>
      <c r="D447" s="2">
        <v>1494348375</v>
      </c>
      <c r="E447" s="1">
        <v>10</v>
      </c>
      <c r="F447" s="2">
        <v>272</v>
      </c>
    </row>
    <row r="448" spans="1:6" ht="13" x14ac:dyDescent="0.15">
      <c r="A448" s="2">
        <v>10217</v>
      </c>
      <c r="B448" s="2">
        <v>524</v>
      </c>
      <c r="C448" s="2">
        <v>1494355369</v>
      </c>
      <c r="D448" s="2">
        <v>1494357382</v>
      </c>
      <c r="E448" s="1">
        <v>10</v>
      </c>
      <c r="F448" s="2">
        <v>1810</v>
      </c>
    </row>
    <row r="449" spans="1:6" ht="13" x14ac:dyDescent="0.15">
      <c r="A449" s="2">
        <v>10208</v>
      </c>
      <c r="B449" s="2">
        <v>524</v>
      </c>
      <c r="C449" s="2">
        <v>1494359065</v>
      </c>
      <c r="D449" s="2">
        <v>1494432233</v>
      </c>
      <c r="E449" s="1">
        <v>10</v>
      </c>
      <c r="F449" s="2">
        <v>918</v>
      </c>
    </row>
    <row r="450" spans="1:6" ht="13" x14ac:dyDescent="0.15">
      <c r="A450" s="2">
        <v>10240</v>
      </c>
      <c r="B450" s="2">
        <v>524</v>
      </c>
      <c r="C450" s="2">
        <v>1494375257</v>
      </c>
      <c r="D450" s="2">
        <v>1494532554</v>
      </c>
      <c r="E450" s="1">
        <v>10</v>
      </c>
      <c r="F450" s="2">
        <v>529</v>
      </c>
    </row>
    <row r="451" spans="1:6" ht="13" x14ac:dyDescent="0.15">
      <c r="A451" s="2">
        <v>10184</v>
      </c>
      <c r="B451" s="2">
        <v>524</v>
      </c>
      <c r="C451" s="2">
        <v>1494376886</v>
      </c>
      <c r="D451" s="2">
        <v>1494378578</v>
      </c>
      <c r="E451" s="1">
        <v>10</v>
      </c>
      <c r="F451" s="2">
        <v>1681</v>
      </c>
    </row>
    <row r="452" spans="1:6" ht="13" x14ac:dyDescent="0.15">
      <c r="A452" s="2">
        <v>10175</v>
      </c>
      <c r="B452" s="2">
        <v>524</v>
      </c>
      <c r="C452" s="2">
        <v>1494443473</v>
      </c>
      <c r="D452" s="2">
        <v>1494444545</v>
      </c>
      <c r="E452" s="1">
        <v>10</v>
      </c>
      <c r="F452" s="2">
        <v>1070</v>
      </c>
    </row>
    <row r="453" spans="1:6" ht="13" x14ac:dyDescent="0.15">
      <c r="A453" s="2">
        <v>10226</v>
      </c>
      <c r="B453" s="2">
        <v>524</v>
      </c>
      <c r="C453" s="2">
        <v>1494445675</v>
      </c>
      <c r="D453" s="2">
        <v>1494459712</v>
      </c>
      <c r="E453" s="1">
        <v>10</v>
      </c>
      <c r="F453" s="2">
        <v>1981</v>
      </c>
    </row>
    <row r="454" spans="1:6" ht="13" x14ac:dyDescent="0.15">
      <c r="A454" s="2">
        <v>10231</v>
      </c>
      <c r="B454" s="2">
        <v>524</v>
      </c>
      <c r="C454" s="2">
        <v>1494521523</v>
      </c>
      <c r="D454" s="2">
        <v>1494532390</v>
      </c>
      <c r="E454" s="1">
        <v>10</v>
      </c>
      <c r="F454" s="2">
        <v>1576</v>
      </c>
    </row>
    <row r="455" spans="1:6" ht="13" x14ac:dyDescent="0.15">
      <c r="A455" s="2">
        <v>10210</v>
      </c>
      <c r="B455" s="2">
        <v>524</v>
      </c>
      <c r="C455" s="2">
        <v>1494551994</v>
      </c>
      <c r="D455" s="2">
        <v>1494882950</v>
      </c>
      <c r="E455" s="1">
        <v>10</v>
      </c>
      <c r="F455" s="2">
        <v>6177</v>
      </c>
    </row>
    <row r="456" spans="1:6" ht="13" x14ac:dyDescent="0.15">
      <c r="A456" s="2">
        <v>10211</v>
      </c>
      <c r="B456" s="2">
        <v>524</v>
      </c>
      <c r="C456" s="2">
        <v>1494592008</v>
      </c>
      <c r="D456" s="2">
        <v>1494593067</v>
      </c>
      <c r="E456" s="1">
        <v>10</v>
      </c>
      <c r="F456" s="2">
        <v>1057</v>
      </c>
    </row>
    <row r="457" spans="1:6" ht="13" x14ac:dyDescent="0.15">
      <c r="A457" s="2">
        <v>10171</v>
      </c>
      <c r="B457" s="2">
        <v>524</v>
      </c>
      <c r="C457" s="2">
        <v>1494634346</v>
      </c>
      <c r="D457" s="2">
        <v>1494635737</v>
      </c>
      <c r="E457" s="1">
        <v>10</v>
      </c>
      <c r="F457" s="2">
        <v>1390</v>
      </c>
    </row>
    <row r="458" spans="1:6" ht="13" x14ac:dyDescent="0.15">
      <c r="A458" s="2">
        <v>10215</v>
      </c>
      <c r="B458" s="2">
        <v>524</v>
      </c>
      <c r="C458" s="2">
        <v>1494698641</v>
      </c>
      <c r="D458" s="2">
        <v>1494699923</v>
      </c>
      <c r="E458" s="1">
        <v>10</v>
      </c>
      <c r="F458" s="2">
        <v>1278</v>
      </c>
    </row>
    <row r="459" spans="1:6" ht="13" x14ac:dyDescent="0.15">
      <c r="A459" s="2">
        <v>10198</v>
      </c>
      <c r="B459" s="2">
        <v>524</v>
      </c>
      <c r="C459" s="2">
        <v>1494709639</v>
      </c>
      <c r="D459" s="2">
        <v>1494715303</v>
      </c>
      <c r="E459" s="1">
        <v>10</v>
      </c>
      <c r="F459" s="2">
        <v>5387</v>
      </c>
    </row>
    <row r="460" spans="1:6" ht="13" x14ac:dyDescent="0.15">
      <c r="A460" s="2">
        <v>10193</v>
      </c>
      <c r="B460" s="2">
        <v>524</v>
      </c>
      <c r="C460" s="2">
        <v>1494724729</v>
      </c>
      <c r="D460" s="2">
        <v>1494725546</v>
      </c>
      <c r="E460" s="1">
        <v>10</v>
      </c>
      <c r="F460" s="2">
        <v>767</v>
      </c>
    </row>
    <row r="461" spans="1:6" ht="13" x14ac:dyDescent="0.15">
      <c r="A461" s="2">
        <v>10200</v>
      </c>
      <c r="B461" s="2">
        <v>524</v>
      </c>
      <c r="C461" s="2">
        <v>1494783372</v>
      </c>
      <c r="D461" s="2">
        <v>1494903519</v>
      </c>
      <c r="E461" s="1">
        <v>10</v>
      </c>
      <c r="F461" s="2">
        <v>3177</v>
      </c>
    </row>
    <row r="462" spans="1:6" ht="13" x14ac:dyDescent="0.15">
      <c r="A462" s="2">
        <v>10202</v>
      </c>
      <c r="B462" s="2">
        <v>524</v>
      </c>
      <c r="C462" s="2">
        <v>1494853765</v>
      </c>
      <c r="D462" s="2">
        <v>1499386005</v>
      </c>
      <c r="E462" s="1">
        <v>10</v>
      </c>
      <c r="F462" s="2">
        <v>11879</v>
      </c>
    </row>
    <row r="463" spans="1:6" ht="13" x14ac:dyDescent="0.15">
      <c r="A463" s="2">
        <v>10203</v>
      </c>
      <c r="B463" s="2">
        <v>524</v>
      </c>
      <c r="C463" s="2">
        <v>1494861988</v>
      </c>
      <c r="D463" s="2">
        <v>1494862967</v>
      </c>
      <c r="E463" s="1">
        <v>10</v>
      </c>
      <c r="F463" s="2">
        <v>977</v>
      </c>
    </row>
    <row r="464" spans="1:6" ht="13" x14ac:dyDescent="0.15">
      <c r="A464" s="2">
        <v>10201</v>
      </c>
      <c r="B464" s="2">
        <v>524</v>
      </c>
      <c r="C464" s="2">
        <v>1494861244</v>
      </c>
      <c r="D464" s="2">
        <v>1494862722</v>
      </c>
      <c r="E464" s="1">
        <v>10</v>
      </c>
      <c r="F464" s="2">
        <v>1476</v>
      </c>
    </row>
    <row r="465" spans="1:6" ht="13" x14ac:dyDescent="0.15">
      <c r="A465" s="2">
        <v>10214</v>
      </c>
      <c r="B465" s="2">
        <v>524</v>
      </c>
      <c r="C465" s="2">
        <v>1494862418</v>
      </c>
      <c r="D465" s="2">
        <v>1494863732</v>
      </c>
      <c r="E465" s="1">
        <v>10</v>
      </c>
      <c r="F465" s="2">
        <v>1311</v>
      </c>
    </row>
    <row r="466" spans="1:6" ht="13" x14ac:dyDescent="0.15">
      <c r="A466" s="2">
        <v>10197</v>
      </c>
      <c r="B466" s="2">
        <v>524</v>
      </c>
      <c r="C466" s="2">
        <v>1494877955</v>
      </c>
      <c r="D466" s="2">
        <v>1494887145</v>
      </c>
      <c r="E466" s="1">
        <v>10</v>
      </c>
      <c r="F466" s="2">
        <v>2748</v>
      </c>
    </row>
    <row r="467" spans="1:6" ht="13" x14ac:dyDescent="0.15">
      <c r="A467" s="2">
        <v>10230</v>
      </c>
      <c r="B467" s="2">
        <v>524</v>
      </c>
      <c r="C467" s="2">
        <v>1494883329</v>
      </c>
      <c r="D467" s="2">
        <v>1494884841</v>
      </c>
      <c r="E467" s="1">
        <v>10</v>
      </c>
      <c r="F467" s="2">
        <v>1506</v>
      </c>
    </row>
    <row r="468" spans="1:6" ht="13" x14ac:dyDescent="0.15">
      <c r="A468" s="2">
        <v>10196</v>
      </c>
      <c r="B468" s="2">
        <v>524</v>
      </c>
      <c r="C468" s="2">
        <v>1494888210</v>
      </c>
      <c r="D468" s="2">
        <v>1494891125</v>
      </c>
      <c r="E468" s="1">
        <v>10</v>
      </c>
      <c r="F468" s="2">
        <v>2781</v>
      </c>
    </row>
    <row r="469" spans="1:6" ht="13" x14ac:dyDescent="0.15">
      <c r="A469" s="2">
        <v>10218</v>
      </c>
      <c r="B469" s="2">
        <v>524</v>
      </c>
      <c r="C469" s="2">
        <v>1494891071</v>
      </c>
      <c r="D469" s="2">
        <v>1494891215</v>
      </c>
      <c r="E469" s="1">
        <v>10</v>
      </c>
      <c r="F469" s="2">
        <v>141</v>
      </c>
    </row>
    <row r="470" spans="1:6" ht="13" x14ac:dyDescent="0.15">
      <c r="A470" s="2">
        <v>10206</v>
      </c>
      <c r="B470" s="2">
        <v>524</v>
      </c>
      <c r="C470" s="2">
        <v>1494897883</v>
      </c>
      <c r="D470" s="2">
        <v>1494898160</v>
      </c>
      <c r="E470" s="1">
        <v>10</v>
      </c>
      <c r="F470" s="2">
        <v>274</v>
      </c>
    </row>
    <row r="471" spans="1:6" ht="13" x14ac:dyDescent="0.15">
      <c r="A471" s="2">
        <v>10183</v>
      </c>
      <c r="B471" s="2">
        <v>524</v>
      </c>
      <c r="C471" s="2">
        <v>1494960349</v>
      </c>
      <c r="D471" s="2">
        <v>1499385749</v>
      </c>
      <c r="E471" s="1">
        <v>10</v>
      </c>
      <c r="F471" s="2">
        <v>309</v>
      </c>
    </row>
    <row r="472" spans="1:6" ht="13" x14ac:dyDescent="0.15">
      <c r="A472" s="2">
        <v>10216</v>
      </c>
      <c r="B472" s="2">
        <v>524</v>
      </c>
      <c r="C472" s="2">
        <v>1494896970</v>
      </c>
      <c r="D472" s="2">
        <v>1495126691</v>
      </c>
      <c r="E472" s="1">
        <v>10</v>
      </c>
      <c r="F472" s="2">
        <v>371</v>
      </c>
    </row>
    <row r="473" spans="1:6" ht="13" x14ac:dyDescent="0.15">
      <c r="A473" s="2">
        <v>10204</v>
      </c>
      <c r="B473" s="2">
        <v>524</v>
      </c>
      <c r="C473" s="2">
        <v>1495137271</v>
      </c>
      <c r="D473" s="2">
        <v>1495137972</v>
      </c>
      <c r="E473" s="1">
        <v>10</v>
      </c>
      <c r="F473" s="2">
        <v>700</v>
      </c>
    </row>
    <row r="474" spans="1:6" ht="13" x14ac:dyDescent="0.15">
      <c r="A474" s="2">
        <v>10188</v>
      </c>
      <c r="B474" s="2">
        <v>524</v>
      </c>
      <c r="C474" s="2">
        <v>0</v>
      </c>
      <c r="D474" s="2">
        <v>1495153444</v>
      </c>
      <c r="E474" s="1">
        <v>10</v>
      </c>
      <c r="F474" s="2">
        <v>0</v>
      </c>
    </row>
    <row r="475" spans="1:6" ht="13" x14ac:dyDescent="0.15">
      <c r="A475" s="2">
        <v>10174</v>
      </c>
      <c r="B475" s="2">
        <v>524</v>
      </c>
      <c r="C475" s="2">
        <v>1495472651</v>
      </c>
      <c r="D475" s="2">
        <v>1495473013</v>
      </c>
      <c r="E475" s="1">
        <v>10</v>
      </c>
      <c r="F475" s="2">
        <v>358</v>
      </c>
    </row>
    <row r="476" spans="1:6" ht="13" x14ac:dyDescent="0.15">
      <c r="A476" s="2">
        <v>10227</v>
      </c>
      <c r="B476" s="2">
        <v>524</v>
      </c>
      <c r="C476" s="2">
        <v>1495503269</v>
      </c>
      <c r="D476" s="2">
        <v>1499395464</v>
      </c>
      <c r="E476" s="1">
        <v>10</v>
      </c>
      <c r="F476" s="2">
        <v>5633</v>
      </c>
    </row>
    <row r="477" spans="1:6" ht="13" x14ac:dyDescent="0.15">
      <c r="A477" s="2">
        <v>10189</v>
      </c>
      <c r="B477" s="2">
        <v>524</v>
      </c>
      <c r="C477" s="2">
        <v>1495660617</v>
      </c>
      <c r="E477" s="3"/>
      <c r="F477" s="2">
        <v>801</v>
      </c>
    </row>
    <row r="478" spans="1:6" ht="13" x14ac:dyDescent="0.15">
      <c r="A478" s="2">
        <v>10176</v>
      </c>
      <c r="B478" s="2">
        <v>524</v>
      </c>
      <c r="C478" s="2">
        <v>1495906061</v>
      </c>
      <c r="D478" s="2">
        <v>1495982474</v>
      </c>
      <c r="E478" s="1">
        <v>10</v>
      </c>
      <c r="F478" s="2">
        <v>3810</v>
      </c>
    </row>
    <row r="479" spans="1:6" ht="13" x14ac:dyDescent="0.15">
      <c r="A479" s="2">
        <v>10187</v>
      </c>
      <c r="B479" s="2">
        <v>524</v>
      </c>
      <c r="C479" s="2">
        <v>1495907206</v>
      </c>
      <c r="D479" s="2">
        <v>1495909997</v>
      </c>
      <c r="E479" s="1">
        <v>10</v>
      </c>
      <c r="F479" s="2">
        <v>2789</v>
      </c>
    </row>
    <row r="480" spans="1:6" ht="13" x14ac:dyDescent="0.15">
      <c r="A480" s="2">
        <v>10178</v>
      </c>
      <c r="B480" s="2">
        <v>524</v>
      </c>
      <c r="C480" s="2">
        <v>1496018292</v>
      </c>
      <c r="D480" s="2">
        <v>1496018638</v>
      </c>
      <c r="E480" s="1">
        <v>10</v>
      </c>
      <c r="F480" s="2">
        <v>343</v>
      </c>
    </row>
    <row r="481" spans="1:6" ht="13" x14ac:dyDescent="0.15">
      <c r="A481" s="2">
        <v>10222</v>
      </c>
      <c r="B481" s="2">
        <v>524</v>
      </c>
      <c r="C481" s="2">
        <v>1496319745</v>
      </c>
      <c r="D481" s="2">
        <v>1496320885</v>
      </c>
      <c r="E481" s="1">
        <v>10</v>
      </c>
      <c r="F481" s="2">
        <v>1136</v>
      </c>
    </row>
    <row r="482" spans="1:6" ht="13" x14ac:dyDescent="0.15">
      <c r="A482" s="2">
        <v>10191</v>
      </c>
      <c r="B482" s="2">
        <v>524</v>
      </c>
      <c r="C482" s="2">
        <v>1496326710</v>
      </c>
      <c r="D482" s="2">
        <v>1496327402</v>
      </c>
      <c r="E482" s="1">
        <v>10</v>
      </c>
      <c r="F482" s="2">
        <v>684</v>
      </c>
    </row>
    <row r="483" spans="1:6" ht="13" x14ac:dyDescent="0.15">
      <c r="A483" s="2">
        <v>10192</v>
      </c>
      <c r="B483" s="2">
        <v>524</v>
      </c>
      <c r="C483" s="2">
        <v>1497025297</v>
      </c>
      <c r="D483" s="2">
        <v>1499392894</v>
      </c>
      <c r="E483" s="1">
        <v>10</v>
      </c>
      <c r="F483" s="2">
        <v>10553</v>
      </c>
    </row>
    <row r="484" spans="1:6" ht="13" x14ac:dyDescent="0.15">
      <c r="A484" s="2">
        <v>10234</v>
      </c>
      <c r="B484" s="2">
        <v>524</v>
      </c>
      <c r="C484" s="2">
        <v>1497151510</v>
      </c>
      <c r="D484" s="2">
        <v>1497151897</v>
      </c>
      <c r="E484" s="1">
        <v>10</v>
      </c>
      <c r="F484" s="2">
        <v>374</v>
      </c>
    </row>
    <row r="485" spans="1:6" ht="13" x14ac:dyDescent="0.15">
      <c r="A485" s="2">
        <v>10219</v>
      </c>
      <c r="B485" s="2">
        <v>524</v>
      </c>
      <c r="C485" s="2">
        <v>1497193659</v>
      </c>
      <c r="D485" s="2">
        <v>1497193879</v>
      </c>
      <c r="E485" s="1">
        <v>10</v>
      </c>
      <c r="F485" s="2">
        <v>217</v>
      </c>
    </row>
    <row r="486" spans="1:6" ht="13" x14ac:dyDescent="0.15">
      <c r="A486" s="2">
        <v>10209</v>
      </c>
      <c r="B486" s="2">
        <v>524</v>
      </c>
      <c r="C486" s="2">
        <v>1495769200</v>
      </c>
      <c r="D486" s="2">
        <v>1498098845</v>
      </c>
      <c r="E486" s="1">
        <v>10</v>
      </c>
      <c r="F486" s="2">
        <v>4148</v>
      </c>
    </row>
    <row r="487" spans="1:6" ht="13" x14ac:dyDescent="0.15">
      <c r="A487" s="2">
        <v>10238</v>
      </c>
      <c r="B487" s="2">
        <v>524</v>
      </c>
      <c r="C487" s="2">
        <v>1494711845</v>
      </c>
      <c r="E487" s="3"/>
      <c r="F487" s="2">
        <v>1206</v>
      </c>
    </row>
    <row r="488" spans="1:6" ht="13" x14ac:dyDescent="0.15">
      <c r="A488" s="2">
        <v>10223</v>
      </c>
      <c r="B488" s="2">
        <v>524</v>
      </c>
      <c r="C488" s="2">
        <v>1499020461</v>
      </c>
      <c r="D488" s="2">
        <v>1499021110</v>
      </c>
      <c r="E488" s="1">
        <v>10</v>
      </c>
      <c r="F488" s="2">
        <v>647</v>
      </c>
    </row>
    <row r="489" spans="1:6" ht="13" x14ac:dyDescent="0.15">
      <c r="A489" s="2">
        <v>10190</v>
      </c>
      <c r="B489" s="2">
        <v>524</v>
      </c>
      <c r="C489" s="2">
        <v>1499373953</v>
      </c>
      <c r="E489" s="3"/>
      <c r="F489" s="2">
        <v>964</v>
      </c>
    </row>
    <row r="490" spans="1:6" ht="13" x14ac:dyDescent="0.15">
      <c r="A490" s="2">
        <v>10186</v>
      </c>
      <c r="B490" s="2">
        <v>524</v>
      </c>
      <c r="C490" s="2">
        <v>1499385625</v>
      </c>
      <c r="D490" s="2">
        <v>1499389961</v>
      </c>
      <c r="E490" s="1">
        <v>10</v>
      </c>
      <c r="F490" s="2">
        <v>4333</v>
      </c>
    </row>
    <row r="491" spans="1:6" ht="13" x14ac:dyDescent="0.15">
      <c r="A491" s="2">
        <v>10213</v>
      </c>
      <c r="B491" s="2">
        <v>524</v>
      </c>
      <c r="C491" s="2">
        <v>1499391057</v>
      </c>
      <c r="D491" s="2">
        <v>1499391431</v>
      </c>
      <c r="E491" s="1">
        <v>10</v>
      </c>
      <c r="F491" s="2">
        <v>371</v>
      </c>
    </row>
    <row r="492" spans="1:6" ht="13" x14ac:dyDescent="0.15">
      <c r="A492" s="2">
        <v>10169</v>
      </c>
      <c r="B492" s="2">
        <v>524</v>
      </c>
      <c r="C492" s="2">
        <v>1499396144</v>
      </c>
      <c r="D492" s="2">
        <v>1499399189</v>
      </c>
      <c r="E492" s="1">
        <v>10</v>
      </c>
      <c r="F492" s="2">
        <v>1755</v>
      </c>
    </row>
    <row r="493" spans="1:6" ht="13" x14ac:dyDescent="0.15">
      <c r="A493" s="2">
        <v>10228</v>
      </c>
      <c r="B493" s="2">
        <v>524</v>
      </c>
      <c r="C493" s="2">
        <v>1499398589</v>
      </c>
      <c r="D493" s="2">
        <v>1499398875</v>
      </c>
      <c r="E493" s="1">
        <v>10</v>
      </c>
      <c r="F493" s="2">
        <v>284</v>
      </c>
    </row>
    <row r="494" spans="1:6" ht="13" x14ac:dyDescent="0.15">
      <c r="A494" s="2">
        <v>10179</v>
      </c>
      <c r="B494" s="2">
        <v>524</v>
      </c>
      <c r="C494" s="2">
        <v>1499400613</v>
      </c>
      <c r="D494" s="2">
        <v>1499401602</v>
      </c>
      <c r="E494" s="1">
        <v>10</v>
      </c>
      <c r="F494" s="2">
        <v>320</v>
      </c>
    </row>
    <row r="495" spans="1:6" ht="13" x14ac:dyDescent="0.15">
      <c r="A495" s="2">
        <v>10185</v>
      </c>
      <c r="B495" s="2">
        <v>524</v>
      </c>
      <c r="C495" s="2">
        <v>1499401630</v>
      </c>
      <c r="D495" s="2">
        <v>1499401821</v>
      </c>
      <c r="E495" s="1">
        <v>10</v>
      </c>
      <c r="F495" s="2">
        <v>189</v>
      </c>
    </row>
    <row r="496" spans="1:6" ht="13" x14ac:dyDescent="0.15">
      <c r="A496" s="2">
        <v>10237</v>
      </c>
      <c r="B496" s="2">
        <v>524</v>
      </c>
      <c r="C496" s="2">
        <v>1499403598</v>
      </c>
      <c r="D496" s="2">
        <v>1499403971</v>
      </c>
      <c r="E496" s="1">
        <v>10</v>
      </c>
      <c r="F496" s="2">
        <v>364</v>
      </c>
    </row>
    <row r="497" spans="1:6" ht="13" x14ac:dyDescent="0.15">
      <c r="A497" s="2">
        <v>10181</v>
      </c>
      <c r="B497" s="2">
        <v>524</v>
      </c>
      <c r="C497" s="2">
        <v>1499430033</v>
      </c>
      <c r="D497" s="2">
        <v>1499430269</v>
      </c>
      <c r="E497" s="1">
        <v>10</v>
      </c>
      <c r="F497" s="2">
        <v>235</v>
      </c>
    </row>
    <row r="498" spans="1:6" ht="13" x14ac:dyDescent="0.15">
      <c r="A498" s="2">
        <v>10232</v>
      </c>
      <c r="B498" s="2">
        <v>524</v>
      </c>
      <c r="C498" s="2">
        <v>1494935657</v>
      </c>
      <c r="D498" s="2">
        <v>1499442738</v>
      </c>
      <c r="E498" s="1">
        <v>10</v>
      </c>
      <c r="F498" s="2">
        <v>3645</v>
      </c>
    </row>
    <row r="499" spans="1:6" ht="13" x14ac:dyDescent="0.15">
      <c r="A499" s="2">
        <v>10170</v>
      </c>
      <c r="B499" s="2">
        <v>524</v>
      </c>
      <c r="C499" s="2">
        <v>1496940841</v>
      </c>
      <c r="D499" s="2">
        <v>1499449788</v>
      </c>
      <c r="E499" s="1">
        <v>10</v>
      </c>
      <c r="F499" s="2">
        <v>311</v>
      </c>
    </row>
    <row r="500" spans="1:6" ht="13" x14ac:dyDescent="0.15">
      <c r="A500" s="2">
        <v>10221</v>
      </c>
      <c r="B500" s="2">
        <v>524</v>
      </c>
      <c r="C500" s="2">
        <v>1499373037</v>
      </c>
      <c r="D500" s="2">
        <v>1499451684</v>
      </c>
      <c r="E500" s="1">
        <v>10</v>
      </c>
      <c r="F500" s="2">
        <v>6494</v>
      </c>
    </row>
    <row r="501" spans="1:6" ht="13" x14ac:dyDescent="0.15">
      <c r="A501" s="2">
        <v>10212</v>
      </c>
      <c r="B501" s="2">
        <v>524</v>
      </c>
      <c r="C501" s="2">
        <v>1499461461</v>
      </c>
      <c r="D501" s="2">
        <v>1499461805</v>
      </c>
      <c r="E501" s="1">
        <v>10</v>
      </c>
      <c r="F501" s="2">
        <v>341</v>
      </c>
    </row>
    <row r="502" spans="1:6" ht="13" x14ac:dyDescent="0.15">
      <c r="A502" s="2">
        <v>2</v>
      </c>
      <c r="B502" s="2">
        <v>478</v>
      </c>
      <c r="C502" s="2">
        <v>0</v>
      </c>
      <c r="D502" s="2">
        <v>1497131422</v>
      </c>
      <c r="E502" s="1">
        <v>10</v>
      </c>
      <c r="F502" s="2">
        <v>0</v>
      </c>
    </row>
    <row r="503" spans="1:6" ht="13" x14ac:dyDescent="0.15">
      <c r="A503" s="2">
        <v>10208</v>
      </c>
      <c r="B503" s="2">
        <v>478</v>
      </c>
      <c r="C503" s="2">
        <v>1494359988</v>
      </c>
      <c r="D503" s="2">
        <v>1494361622</v>
      </c>
      <c r="E503" s="1">
        <v>10</v>
      </c>
      <c r="F503" s="2">
        <v>1631</v>
      </c>
    </row>
    <row r="504" spans="1:6" ht="13" x14ac:dyDescent="0.15">
      <c r="A504" s="2">
        <v>10217</v>
      </c>
      <c r="B504" s="2">
        <v>478</v>
      </c>
      <c r="C504" s="2">
        <v>1494357796</v>
      </c>
      <c r="D504" s="2">
        <v>1494519967</v>
      </c>
      <c r="E504" s="1">
        <v>10</v>
      </c>
      <c r="F504" s="2">
        <v>12388</v>
      </c>
    </row>
    <row r="505" spans="1:6" ht="13" x14ac:dyDescent="0.15">
      <c r="A505" s="2">
        <v>10184</v>
      </c>
      <c r="B505" s="2">
        <v>478</v>
      </c>
      <c r="C505" s="2">
        <v>1494380512</v>
      </c>
      <c r="D505" s="2">
        <v>1494384033</v>
      </c>
      <c r="E505" s="1">
        <v>10</v>
      </c>
      <c r="F505" s="2">
        <v>3518</v>
      </c>
    </row>
    <row r="506" spans="1:6" ht="13" x14ac:dyDescent="0.15">
      <c r="A506" s="2">
        <v>10172</v>
      </c>
      <c r="B506" s="2">
        <v>478</v>
      </c>
      <c r="C506" s="2">
        <v>1494442023</v>
      </c>
      <c r="D506" s="2">
        <v>1497115027</v>
      </c>
      <c r="E506" s="1">
        <v>10</v>
      </c>
      <c r="F506" s="2">
        <v>6779</v>
      </c>
    </row>
    <row r="507" spans="1:6" ht="13" x14ac:dyDescent="0.15">
      <c r="A507" s="2">
        <v>10175</v>
      </c>
      <c r="B507" s="2">
        <v>478</v>
      </c>
      <c r="C507" s="2">
        <v>1494445164</v>
      </c>
      <c r="D507" s="2">
        <v>1494557896</v>
      </c>
      <c r="E507" s="1">
        <v>10</v>
      </c>
      <c r="F507" s="2">
        <v>28934</v>
      </c>
    </row>
    <row r="508" spans="1:6" ht="13" x14ac:dyDescent="0.15">
      <c r="A508" s="2">
        <v>10231</v>
      </c>
      <c r="B508" s="2">
        <v>478</v>
      </c>
      <c r="C508" s="2">
        <v>1494540254</v>
      </c>
      <c r="D508" s="2">
        <v>1494681777</v>
      </c>
      <c r="E508" s="1">
        <v>10</v>
      </c>
      <c r="F508" s="2">
        <v>8087</v>
      </c>
    </row>
    <row r="509" spans="1:6" ht="13" x14ac:dyDescent="0.15">
      <c r="A509" s="2">
        <v>10211</v>
      </c>
      <c r="B509" s="2">
        <v>478</v>
      </c>
      <c r="C509" s="2">
        <v>1494602932</v>
      </c>
      <c r="D509" s="2">
        <v>1494634400</v>
      </c>
      <c r="E509" s="1">
        <v>10</v>
      </c>
      <c r="F509" s="2">
        <v>2577</v>
      </c>
    </row>
    <row r="510" spans="1:6" ht="13" x14ac:dyDescent="0.15">
      <c r="A510" s="2">
        <v>10203</v>
      </c>
      <c r="B510" s="2">
        <v>478</v>
      </c>
      <c r="C510" s="2">
        <v>1494625823</v>
      </c>
      <c r="D510" s="2">
        <v>1499463133</v>
      </c>
      <c r="E510" s="1">
        <v>10</v>
      </c>
      <c r="F510" s="2">
        <v>2819</v>
      </c>
    </row>
    <row r="511" spans="1:6" ht="13" x14ac:dyDescent="0.15">
      <c r="A511" s="2">
        <v>10171</v>
      </c>
      <c r="B511" s="2">
        <v>478</v>
      </c>
      <c r="C511" s="2">
        <v>1494635899</v>
      </c>
      <c r="D511" s="2">
        <v>1494638283</v>
      </c>
      <c r="E511" s="1">
        <v>10</v>
      </c>
      <c r="F511" s="2">
        <v>2382</v>
      </c>
    </row>
    <row r="512" spans="1:6" ht="13" x14ac:dyDescent="0.15">
      <c r="A512" s="2">
        <v>10215</v>
      </c>
      <c r="B512" s="2">
        <v>478</v>
      </c>
      <c r="C512" s="2">
        <v>1494700096</v>
      </c>
      <c r="D512" s="2">
        <v>1499386048</v>
      </c>
      <c r="E512" s="1">
        <v>10</v>
      </c>
      <c r="F512" s="2">
        <v>-8434</v>
      </c>
    </row>
    <row r="513" spans="1:6" ht="13" x14ac:dyDescent="0.15">
      <c r="A513" s="2">
        <v>10193</v>
      </c>
      <c r="B513" s="2">
        <v>478</v>
      </c>
      <c r="C513" s="2">
        <v>1494725881</v>
      </c>
      <c r="D513" s="2">
        <v>1499386294</v>
      </c>
      <c r="E513" s="1">
        <v>10</v>
      </c>
      <c r="F513" s="2">
        <v>3544</v>
      </c>
    </row>
    <row r="514" spans="1:6" ht="13" x14ac:dyDescent="0.15">
      <c r="A514" s="2">
        <v>10213</v>
      </c>
      <c r="B514" s="2">
        <v>478</v>
      </c>
      <c r="C514" s="2">
        <v>1494813601</v>
      </c>
      <c r="D514" s="2">
        <v>1494815779</v>
      </c>
      <c r="E514" s="1">
        <v>10</v>
      </c>
      <c r="F514" s="2">
        <v>1221</v>
      </c>
    </row>
    <row r="515" spans="1:6" ht="13" x14ac:dyDescent="0.15">
      <c r="A515" s="2">
        <v>10214</v>
      </c>
      <c r="B515" s="2">
        <v>478</v>
      </c>
      <c r="C515" s="2">
        <v>1494863890</v>
      </c>
      <c r="D515" s="2">
        <v>1494899956</v>
      </c>
      <c r="E515" s="1">
        <v>10</v>
      </c>
      <c r="F515" s="2">
        <v>16178</v>
      </c>
    </row>
    <row r="516" spans="1:6" ht="13" x14ac:dyDescent="0.15">
      <c r="A516" s="2">
        <v>10240</v>
      </c>
      <c r="B516" s="2">
        <v>478</v>
      </c>
      <c r="C516" s="2">
        <v>1494886099</v>
      </c>
      <c r="D516" s="2">
        <v>1494892918</v>
      </c>
      <c r="E516" s="1">
        <v>10</v>
      </c>
      <c r="F516" s="2">
        <v>5611</v>
      </c>
    </row>
    <row r="517" spans="1:6" ht="13" x14ac:dyDescent="0.15">
      <c r="A517" s="2">
        <v>10181</v>
      </c>
      <c r="B517" s="2">
        <v>478</v>
      </c>
      <c r="C517" s="2">
        <v>1494890834</v>
      </c>
      <c r="D517" s="2">
        <v>1499453006</v>
      </c>
      <c r="E517" s="1">
        <v>10</v>
      </c>
      <c r="F517" s="2">
        <v>3131</v>
      </c>
    </row>
    <row r="518" spans="1:6" ht="13" x14ac:dyDescent="0.15">
      <c r="A518" s="2">
        <v>10230</v>
      </c>
      <c r="B518" s="2">
        <v>478</v>
      </c>
      <c r="C518" s="2">
        <v>1494887688</v>
      </c>
      <c r="D518" s="2">
        <v>1499476716</v>
      </c>
      <c r="E518" s="1">
        <v>10</v>
      </c>
      <c r="F518" s="2">
        <v>20980</v>
      </c>
    </row>
    <row r="519" spans="1:6" ht="13" x14ac:dyDescent="0.15">
      <c r="A519" s="2">
        <v>10196</v>
      </c>
      <c r="B519" s="2">
        <v>478</v>
      </c>
      <c r="C519" s="2">
        <v>1497192299</v>
      </c>
      <c r="D519" s="2">
        <v>1494894043</v>
      </c>
      <c r="E519" s="1">
        <v>10</v>
      </c>
      <c r="F519" s="2">
        <v>0</v>
      </c>
    </row>
    <row r="520" spans="1:6" ht="13" x14ac:dyDescent="0.15">
      <c r="A520" s="2">
        <v>10210</v>
      </c>
      <c r="B520" s="2">
        <v>478</v>
      </c>
      <c r="C520" s="2">
        <v>1494883218</v>
      </c>
      <c r="D520" s="2">
        <v>1498086630</v>
      </c>
      <c r="E520" s="1">
        <v>10</v>
      </c>
      <c r="F520" s="2">
        <v>19445</v>
      </c>
    </row>
    <row r="521" spans="1:6" ht="13" x14ac:dyDescent="0.15">
      <c r="A521" s="2">
        <v>10191</v>
      </c>
      <c r="B521" s="2">
        <v>478</v>
      </c>
      <c r="C521" s="2">
        <v>1494894465</v>
      </c>
      <c r="D521" s="2">
        <v>1499386709</v>
      </c>
      <c r="E521" s="1">
        <v>10</v>
      </c>
      <c r="F521" s="2">
        <v>3193</v>
      </c>
    </row>
    <row r="522" spans="1:6" ht="13" x14ac:dyDescent="0.15">
      <c r="A522" s="2">
        <v>10218</v>
      </c>
      <c r="B522" s="2">
        <v>478</v>
      </c>
      <c r="C522" s="2">
        <v>1494895980</v>
      </c>
      <c r="D522" s="2">
        <v>1494896808</v>
      </c>
      <c r="E522" s="1">
        <v>10</v>
      </c>
      <c r="F522" s="2">
        <v>824</v>
      </c>
    </row>
    <row r="523" spans="1:6" ht="13" x14ac:dyDescent="0.15">
      <c r="A523" s="2">
        <v>10206</v>
      </c>
      <c r="B523" s="2">
        <v>478</v>
      </c>
      <c r="C523" s="2">
        <v>1494897880</v>
      </c>
      <c r="D523" s="2">
        <v>1498145246</v>
      </c>
      <c r="E523" s="1">
        <v>10</v>
      </c>
      <c r="F523" s="2">
        <v>36546</v>
      </c>
    </row>
    <row r="524" spans="1:6" ht="13" x14ac:dyDescent="0.15">
      <c r="A524" s="2">
        <v>10183</v>
      </c>
      <c r="B524" s="2">
        <v>478</v>
      </c>
      <c r="C524" s="2">
        <v>1494958592</v>
      </c>
      <c r="D524" s="2">
        <v>1494959988</v>
      </c>
      <c r="E524" s="1">
        <v>10</v>
      </c>
      <c r="F524" s="2">
        <v>202</v>
      </c>
    </row>
    <row r="525" spans="1:6" ht="13" x14ac:dyDescent="0.15">
      <c r="A525" s="2">
        <v>10204</v>
      </c>
      <c r="B525" s="2">
        <v>478</v>
      </c>
      <c r="C525" s="2">
        <v>1495109875</v>
      </c>
      <c r="D525" s="2">
        <v>1495134166</v>
      </c>
      <c r="E525" s="1">
        <v>10</v>
      </c>
      <c r="F525" s="2">
        <v>6921</v>
      </c>
    </row>
    <row r="526" spans="1:6" ht="13" x14ac:dyDescent="0.15">
      <c r="A526" s="2">
        <v>10216</v>
      </c>
      <c r="B526" s="2">
        <v>478</v>
      </c>
      <c r="C526" s="2">
        <v>1495126789</v>
      </c>
      <c r="D526" s="2">
        <v>1495127298</v>
      </c>
      <c r="E526" s="1">
        <v>10</v>
      </c>
      <c r="F526" s="2">
        <v>0</v>
      </c>
    </row>
    <row r="527" spans="1:6" ht="13" x14ac:dyDescent="0.15">
      <c r="A527" s="2">
        <v>10188</v>
      </c>
      <c r="B527" s="2">
        <v>478</v>
      </c>
      <c r="C527" s="2">
        <v>1495153615</v>
      </c>
      <c r="D527" s="2">
        <v>1495314103</v>
      </c>
      <c r="E527" s="1">
        <v>10</v>
      </c>
      <c r="F527" s="2">
        <v>1235</v>
      </c>
    </row>
    <row r="528" spans="1:6" ht="13" x14ac:dyDescent="0.15">
      <c r="A528" s="2">
        <v>10201</v>
      </c>
      <c r="B528" s="2">
        <v>478</v>
      </c>
      <c r="C528" s="2">
        <v>1494861290</v>
      </c>
      <c r="D528" s="2">
        <v>1499382100</v>
      </c>
      <c r="E528" s="1">
        <v>10</v>
      </c>
      <c r="F528" s="2">
        <v>7357</v>
      </c>
    </row>
    <row r="529" spans="1:6" ht="13" x14ac:dyDescent="0.15">
      <c r="A529" s="2">
        <v>10174</v>
      </c>
      <c r="B529" s="2">
        <v>478</v>
      </c>
      <c r="C529" s="2">
        <v>1495506702</v>
      </c>
      <c r="D529" s="2">
        <v>1495768725</v>
      </c>
      <c r="E529" s="1">
        <v>10</v>
      </c>
      <c r="F529" s="2">
        <v>11266</v>
      </c>
    </row>
    <row r="530" spans="1:6" ht="13" x14ac:dyDescent="0.15">
      <c r="A530" s="2">
        <v>10189</v>
      </c>
      <c r="B530" s="2">
        <v>478</v>
      </c>
      <c r="C530" s="2">
        <v>1495555128</v>
      </c>
      <c r="D530" s="2">
        <v>1495556003</v>
      </c>
      <c r="E530" s="1">
        <v>10</v>
      </c>
      <c r="F530" s="2">
        <v>872</v>
      </c>
    </row>
    <row r="531" spans="1:6" ht="13" x14ac:dyDescent="0.15">
      <c r="A531" s="2">
        <v>10176</v>
      </c>
      <c r="B531" s="2">
        <v>478</v>
      </c>
      <c r="C531" s="2">
        <v>1495982575</v>
      </c>
      <c r="D531" s="2">
        <v>1498133574</v>
      </c>
      <c r="E531" s="1">
        <v>10</v>
      </c>
      <c r="F531" s="2">
        <v>2851</v>
      </c>
    </row>
    <row r="532" spans="1:6" ht="13" x14ac:dyDescent="0.15">
      <c r="A532" s="2">
        <v>10198</v>
      </c>
      <c r="B532" s="2">
        <v>478</v>
      </c>
      <c r="C532" s="2">
        <v>1495994429</v>
      </c>
      <c r="D532" s="2">
        <v>1495995753</v>
      </c>
      <c r="E532" s="1">
        <v>10</v>
      </c>
      <c r="F532" s="2">
        <v>1321</v>
      </c>
    </row>
    <row r="533" spans="1:6" ht="13" x14ac:dyDescent="0.15">
      <c r="A533" s="2">
        <v>10187</v>
      </c>
      <c r="B533" s="2">
        <v>478</v>
      </c>
      <c r="C533" s="2">
        <v>1496103899</v>
      </c>
      <c r="D533" s="2">
        <v>1496108675</v>
      </c>
      <c r="E533" s="1">
        <v>10</v>
      </c>
      <c r="F533" s="2">
        <v>3641</v>
      </c>
    </row>
    <row r="534" spans="1:6" ht="13" x14ac:dyDescent="0.15">
      <c r="A534" s="2">
        <v>10178</v>
      </c>
      <c r="B534" s="2">
        <v>478</v>
      </c>
      <c r="C534" s="2">
        <v>1496280549</v>
      </c>
      <c r="D534" s="2">
        <v>1496320844</v>
      </c>
      <c r="E534" s="1">
        <v>10</v>
      </c>
      <c r="F534" s="2">
        <v>961</v>
      </c>
    </row>
    <row r="535" spans="1:6" ht="13" x14ac:dyDescent="0.15">
      <c r="A535" s="2">
        <v>10200</v>
      </c>
      <c r="B535" s="2">
        <v>478</v>
      </c>
      <c r="C535" s="2">
        <v>1496433056</v>
      </c>
      <c r="D535" s="2">
        <v>1496791054</v>
      </c>
      <c r="E535" s="1">
        <v>10</v>
      </c>
      <c r="F535" s="2">
        <v>9643</v>
      </c>
    </row>
    <row r="536" spans="1:6" ht="13" x14ac:dyDescent="0.15">
      <c r="A536" s="2">
        <v>10222</v>
      </c>
      <c r="B536" s="2">
        <v>478</v>
      </c>
      <c r="C536" s="2">
        <v>1496711248</v>
      </c>
      <c r="D536" s="2">
        <v>1496719309</v>
      </c>
      <c r="E536" s="1">
        <v>10</v>
      </c>
      <c r="F536" s="2">
        <v>1505</v>
      </c>
    </row>
    <row r="537" spans="1:6" ht="13" x14ac:dyDescent="0.15">
      <c r="A537" s="2">
        <v>10192</v>
      </c>
      <c r="B537" s="2">
        <v>478</v>
      </c>
      <c r="C537" s="2">
        <v>1497149763</v>
      </c>
      <c r="D537" s="2">
        <v>1499393760</v>
      </c>
      <c r="E537" s="1">
        <v>10</v>
      </c>
      <c r="F537" s="2">
        <v>5191</v>
      </c>
    </row>
    <row r="538" spans="1:6" ht="13" x14ac:dyDescent="0.15">
      <c r="A538" s="2">
        <v>10219</v>
      </c>
      <c r="B538" s="2">
        <v>478</v>
      </c>
      <c r="C538" s="2">
        <v>1497194008</v>
      </c>
      <c r="D538" s="2">
        <v>1497194467</v>
      </c>
      <c r="E538" s="1">
        <v>10</v>
      </c>
      <c r="F538" s="2">
        <v>458</v>
      </c>
    </row>
    <row r="539" spans="1:6" ht="13" x14ac:dyDescent="0.15">
      <c r="A539" s="2">
        <v>10227</v>
      </c>
      <c r="B539" s="2">
        <v>478</v>
      </c>
      <c r="C539" s="2">
        <v>1497040208</v>
      </c>
      <c r="E539" s="3"/>
      <c r="F539" s="2">
        <v>7483</v>
      </c>
    </row>
    <row r="540" spans="1:6" ht="13" x14ac:dyDescent="0.15">
      <c r="A540" s="2">
        <v>10234</v>
      </c>
      <c r="B540" s="2">
        <v>478</v>
      </c>
      <c r="C540" s="2">
        <v>1499306442</v>
      </c>
      <c r="D540" s="2">
        <v>1499306914</v>
      </c>
      <c r="E540" s="1">
        <v>10</v>
      </c>
      <c r="F540" s="2">
        <v>470</v>
      </c>
    </row>
    <row r="541" spans="1:6" ht="13" x14ac:dyDescent="0.15">
      <c r="A541" s="2">
        <v>10190</v>
      </c>
      <c r="B541" s="2">
        <v>478</v>
      </c>
      <c r="C541" s="2">
        <v>1499374381</v>
      </c>
      <c r="D541" s="2">
        <v>1499452207</v>
      </c>
      <c r="E541" s="1">
        <v>10</v>
      </c>
      <c r="F541" s="2">
        <v>844</v>
      </c>
    </row>
    <row r="542" spans="1:6" ht="13" x14ac:dyDescent="0.15">
      <c r="A542" s="2">
        <v>10209</v>
      </c>
      <c r="B542" s="2">
        <v>478</v>
      </c>
      <c r="C542" s="2">
        <v>1499383270</v>
      </c>
      <c r="D542" s="2">
        <v>1499386194</v>
      </c>
      <c r="E542" s="1">
        <v>10</v>
      </c>
      <c r="F542" s="2">
        <v>412</v>
      </c>
    </row>
    <row r="543" spans="1:6" ht="13" x14ac:dyDescent="0.15">
      <c r="A543" s="2">
        <v>10186</v>
      </c>
      <c r="B543" s="2">
        <v>478</v>
      </c>
      <c r="C543" s="2">
        <v>1499385644</v>
      </c>
      <c r="D543" s="2">
        <v>1499386352</v>
      </c>
      <c r="E543" s="1">
        <v>10</v>
      </c>
      <c r="F543" s="2">
        <v>706</v>
      </c>
    </row>
    <row r="544" spans="1:6" ht="13" x14ac:dyDescent="0.15">
      <c r="A544" s="2">
        <v>10228</v>
      </c>
      <c r="B544" s="2">
        <v>478</v>
      </c>
      <c r="C544" s="2">
        <v>1499386874</v>
      </c>
      <c r="D544" s="2">
        <v>1499390361</v>
      </c>
      <c r="E544" s="1">
        <v>10</v>
      </c>
      <c r="F544" s="2">
        <v>3025</v>
      </c>
    </row>
    <row r="545" spans="1:6" ht="13" x14ac:dyDescent="0.15">
      <c r="A545" s="2">
        <v>10202</v>
      </c>
      <c r="B545" s="2">
        <v>478</v>
      </c>
      <c r="C545" s="2">
        <v>1499388778</v>
      </c>
      <c r="D545" s="2">
        <v>1499446987</v>
      </c>
      <c r="E545" s="1">
        <v>10</v>
      </c>
      <c r="F545" s="2">
        <v>10877</v>
      </c>
    </row>
    <row r="546" spans="1:6" ht="13" x14ac:dyDescent="0.15">
      <c r="A546" s="2">
        <v>10232</v>
      </c>
      <c r="B546" s="2">
        <v>478</v>
      </c>
      <c r="C546" s="2">
        <v>1499389357</v>
      </c>
      <c r="D546" s="2">
        <v>1499389953</v>
      </c>
      <c r="E546" s="1">
        <v>10</v>
      </c>
      <c r="F546" s="2">
        <v>593</v>
      </c>
    </row>
    <row r="547" spans="1:6" ht="13" x14ac:dyDescent="0.15">
      <c r="A547" s="2">
        <v>10169</v>
      </c>
      <c r="B547" s="2">
        <v>478</v>
      </c>
      <c r="C547" s="2">
        <v>1499397064</v>
      </c>
      <c r="D547" s="2">
        <v>1499458971</v>
      </c>
      <c r="E547" s="1">
        <v>10</v>
      </c>
      <c r="F547" s="2">
        <v>2641</v>
      </c>
    </row>
    <row r="548" spans="1:6" ht="13" x14ac:dyDescent="0.15">
      <c r="A548" s="2">
        <v>10185</v>
      </c>
      <c r="B548" s="2">
        <v>478</v>
      </c>
      <c r="C548" s="2">
        <v>1499410154</v>
      </c>
      <c r="D548" s="2">
        <v>1499411065</v>
      </c>
      <c r="E548" s="1">
        <v>10</v>
      </c>
      <c r="F548" s="2">
        <v>909</v>
      </c>
    </row>
    <row r="549" spans="1:6" ht="13" x14ac:dyDescent="0.15">
      <c r="A549" s="2">
        <v>10179</v>
      </c>
      <c r="B549" s="2">
        <v>478</v>
      </c>
      <c r="C549" s="2">
        <v>1499410156</v>
      </c>
      <c r="D549" s="2">
        <v>1499412203</v>
      </c>
      <c r="E549" s="1">
        <v>10</v>
      </c>
      <c r="F549" s="2">
        <v>2037</v>
      </c>
    </row>
    <row r="550" spans="1:6" ht="13" x14ac:dyDescent="0.15">
      <c r="A550" s="2">
        <v>10237</v>
      </c>
      <c r="B550" s="2">
        <v>478</v>
      </c>
      <c r="C550" s="2">
        <v>1499412717</v>
      </c>
      <c r="D550" s="2">
        <v>1499413241</v>
      </c>
      <c r="E550" s="1">
        <v>10</v>
      </c>
      <c r="F550" s="2">
        <v>520</v>
      </c>
    </row>
    <row r="551" spans="1:6" ht="13" x14ac:dyDescent="0.15">
      <c r="A551" s="2">
        <v>10221</v>
      </c>
      <c r="B551" s="2">
        <v>478</v>
      </c>
      <c r="C551" s="2">
        <v>1499447431</v>
      </c>
      <c r="D551" s="2">
        <v>1499447730</v>
      </c>
      <c r="E551" s="1">
        <v>10</v>
      </c>
      <c r="F551" s="2">
        <v>296</v>
      </c>
    </row>
    <row r="552" spans="1:6" ht="13" x14ac:dyDescent="0.15">
      <c r="A552" s="2">
        <v>10170</v>
      </c>
      <c r="B552" s="2">
        <v>478</v>
      </c>
      <c r="C552" s="2">
        <v>1499449147</v>
      </c>
      <c r="D552" s="2">
        <v>1499449523</v>
      </c>
      <c r="E552" s="1">
        <v>10</v>
      </c>
      <c r="F552" s="2">
        <v>374</v>
      </c>
    </row>
    <row r="553" spans="1:6" ht="13" x14ac:dyDescent="0.15">
      <c r="A553" s="2">
        <v>10226</v>
      </c>
      <c r="B553" s="2">
        <v>478</v>
      </c>
      <c r="C553" s="2">
        <v>1499450227</v>
      </c>
      <c r="D553" s="2">
        <v>1499451109</v>
      </c>
      <c r="E553" s="1">
        <v>10</v>
      </c>
      <c r="F553" s="2">
        <v>880</v>
      </c>
    </row>
    <row r="554" spans="1:6" ht="13" x14ac:dyDescent="0.15">
      <c r="A554" s="2">
        <v>10197</v>
      </c>
      <c r="B554" s="2">
        <v>478</v>
      </c>
      <c r="C554" s="2">
        <v>1495564317</v>
      </c>
      <c r="D554" s="2">
        <v>1499482329</v>
      </c>
      <c r="E554" s="1">
        <v>10</v>
      </c>
      <c r="F554" s="2">
        <v>1369</v>
      </c>
    </row>
    <row r="555" spans="1:6" ht="13" x14ac:dyDescent="0.15">
      <c r="A555" s="2">
        <v>10231</v>
      </c>
      <c r="B555" s="2">
        <v>542</v>
      </c>
      <c r="C555" s="2">
        <v>1497579276</v>
      </c>
      <c r="D555" s="2">
        <v>1497626941</v>
      </c>
      <c r="E555" s="1">
        <v>10</v>
      </c>
      <c r="F555" s="2">
        <v>3000</v>
      </c>
    </row>
    <row r="556" spans="1:6" ht="13" x14ac:dyDescent="0.15">
      <c r="A556" s="2">
        <v>10184</v>
      </c>
      <c r="B556" s="2">
        <v>542</v>
      </c>
      <c r="C556" s="2">
        <v>1497655770</v>
      </c>
      <c r="D556" s="2">
        <v>1497657376</v>
      </c>
      <c r="E556" s="1">
        <v>10</v>
      </c>
      <c r="F556" s="2">
        <v>1602</v>
      </c>
    </row>
    <row r="557" spans="1:6" ht="13" x14ac:dyDescent="0.15">
      <c r="A557" s="2">
        <v>10217</v>
      </c>
      <c r="B557" s="2">
        <v>542</v>
      </c>
      <c r="C557" s="2">
        <v>1497668059</v>
      </c>
      <c r="D557" s="2">
        <v>1497669480</v>
      </c>
      <c r="E557" s="1">
        <v>10</v>
      </c>
      <c r="F557" s="2">
        <v>1418</v>
      </c>
    </row>
    <row r="558" spans="1:6" ht="13" x14ac:dyDescent="0.15">
      <c r="A558" s="2">
        <v>10175</v>
      </c>
      <c r="B558" s="2">
        <v>542</v>
      </c>
      <c r="C558" s="2">
        <v>1497729459</v>
      </c>
      <c r="D558" s="2">
        <v>1497731334</v>
      </c>
      <c r="E558" s="1">
        <v>10</v>
      </c>
      <c r="F558" s="2">
        <v>1872</v>
      </c>
    </row>
    <row r="559" spans="1:6" ht="13" x14ac:dyDescent="0.15">
      <c r="A559" s="2">
        <v>10208</v>
      </c>
      <c r="B559" s="2">
        <v>542</v>
      </c>
      <c r="C559" s="2">
        <v>1497728706</v>
      </c>
      <c r="D559" s="2">
        <v>1497984790</v>
      </c>
      <c r="E559" s="1">
        <v>10</v>
      </c>
      <c r="F559" s="2">
        <v>10732</v>
      </c>
    </row>
    <row r="560" spans="1:6" ht="13" x14ac:dyDescent="0.15">
      <c r="A560" s="2">
        <v>10214</v>
      </c>
      <c r="B560" s="2">
        <v>542</v>
      </c>
      <c r="C560" s="2">
        <v>1497901745</v>
      </c>
      <c r="D560" s="2">
        <v>1497904870</v>
      </c>
      <c r="E560" s="1">
        <v>10</v>
      </c>
      <c r="F560" s="2">
        <v>3122</v>
      </c>
    </row>
    <row r="561" spans="1:6" ht="13" x14ac:dyDescent="0.15">
      <c r="A561" s="2">
        <v>10188</v>
      </c>
      <c r="B561" s="2">
        <v>542</v>
      </c>
      <c r="C561" s="2">
        <v>1497908595</v>
      </c>
      <c r="D561" s="2">
        <v>1497911293</v>
      </c>
      <c r="E561" s="1">
        <v>10</v>
      </c>
      <c r="F561" s="2">
        <v>2416</v>
      </c>
    </row>
    <row r="562" spans="1:6" ht="13" x14ac:dyDescent="0.15">
      <c r="A562" s="2">
        <v>10197</v>
      </c>
      <c r="B562" s="2">
        <v>542</v>
      </c>
      <c r="C562" s="2">
        <v>1497990540</v>
      </c>
      <c r="D562" s="2">
        <v>1497993952</v>
      </c>
      <c r="E562" s="1">
        <v>10</v>
      </c>
      <c r="F562" s="2">
        <v>3020</v>
      </c>
    </row>
    <row r="563" spans="1:6" ht="13" x14ac:dyDescent="0.15">
      <c r="A563" s="2">
        <v>10171</v>
      </c>
      <c r="B563" s="2">
        <v>542</v>
      </c>
      <c r="C563" s="2">
        <v>1498085984</v>
      </c>
      <c r="D563" s="2">
        <v>1498087442</v>
      </c>
      <c r="E563" s="1">
        <v>10</v>
      </c>
      <c r="F563" s="2">
        <v>1456</v>
      </c>
    </row>
    <row r="564" spans="1:6" ht="13" x14ac:dyDescent="0.15">
      <c r="A564" s="2">
        <v>10206</v>
      </c>
      <c r="B564" s="2">
        <v>542</v>
      </c>
      <c r="C564" s="2">
        <v>1498128966</v>
      </c>
      <c r="D564" s="2">
        <v>1498135719</v>
      </c>
      <c r="E564" s="1">
        <v>10</v>
      </c>
      <c r="F564" s="2">
        <v>1969</v>
      </c>
    </row>
    <row r="565" spans="1:6" ht="13" x14ac:dyDescent="0.15">
      <c r="A565" s="2">
        <v>10215</v>
      </c>
      <c r="B565" s="2">
        <v>542</v>
      </c>
      <c r="C565" s="2">
        <v>1498193227</v>
      </c>
      <c r="D565" s="2">
        <v>1498193519</v>
      </c>
      <c r="E565" s="1">
        <v>10</v>
      </c>
      <c r="F565" s="2">
        <v>288</v>
      </c>
    </row>
    <row r="566" spans="1:6" ht="13" x14ac:dyDescent="0.15">
      <c r="A566" s="2">
        <v>10198</v>
      </c>
      <c r="B566" s="2">
        <v>542</v>
      </c>
      <c r="C566" s="2">
        <v>1498358079</v>
      </c>
      <c r="D566" s="2">
        <v>1498362198</v>
      </c>
      <c r="E566" s="1">
        <v>10</v>
      </c>
      <c r="F566" s="2">
        <v>2420</v>
      </c>
    </row>
    <row r="567" spans="1:6" ht="13" x14ac:dyDescent="0.15">
      <c r="A567" s="2">
        <v>10230</v>
      </c>
      <c r="B567" s="2">
        <v>542</v>
      </c>
      <c r="C567" s="2">
        <v>1498447348</v>
      </c>
      <c r="E567" s="3"/>
      <c r="F567" s="2">
        <v>9368</v>
      </c>
    </row>
    <row r="568" spans="1:6" ht="13" x14ac:dyDescent="0.15">
      <c r="A568" s="2">
        <v>10174</v>
      </c>
      <c r="B568" s="2">
        <v>542</v>
      </c>
      <c r="C568" s="2">
        <v>1498600534</v>
      </c>
      <c r="D568" s="2">
        <v>1498609867</v>
      </c>
      <c r="E568" s="1">
        <v>10</v>
      </c>
      <c r="F568" s="2">
        <v>17513</v>
      </c>
    </row>
    <row r="569" spans="1:6" ht="13" x14ac:dyDescent="0.15">
      <c r="A569" s="2">
        <v>10196</v>
      </c>
      <c r="B569" s="2">
        <v>542</v>
      </c>
      <c r="C569" s="2">
        <v>0</v>
      </c>
      <c r="D569" s="2">
        <v>1498931447</v>
      </c>
      <c r="E569" s="1">
        <v>10</v>
      </c>
      <c r="F569" s="2">
        <v>0</v>
      </c>
    </row>
    <row r="570" spans="1:6" ht="13" x14ac:dyDescent="0.15">
      <c r="A570" s="2">
        <v>10191</v>
      </c>
      <c r="B570" s="2">
        <v>542</v>
      </c>
      <c r="C570" s="2">
        <v>1498953870</v>
      </c>
      <c r="D570" s="2">
        <v>1499387733</v>
      </c>
      <c r="E570" s="1">
        <v>10</v>
      </c>
      <c r="F570" s="2">
        <v>3026</v>
      </c>
    </row>
    <row r="571" spans="1:6" ht="13" x14ac:dyDescent="0.15">
      <c r="A571" s="2">
        <v>10189</v>
      </c>
      <c r="B571" s="2">
        <v>542</v>
      </c>
      <c r="C571" s="2">
        <v>1499027343</v>
      </c>
      <c r="D571" s="2">
        <v>1499028294</v>
      </c>
      <c r="E571" s="1">
        <v>10</v>
      </c>
      <c r="F571" s="2">
        <v>948</v>
      </c>
    </row>
    <row r="572" spans="1:6" ht="13" x14ac:dyDescent="0.15">
      <c r="A572" s="2">
        <v>10219</v>
      </c>
      <c r="B572" s="2">
        <v>542</v>
      </c>
      <c r="C572" s="2">
        <v>1499182995</v>
      </c>
      <c r="D572" s="2">
        <v>1499394214</v>
      </c>
      <c r="E572" s="1">
        <v>10</v>
      </c>
      <c r="F572" s="2">
        <v>1049</v>
      </c>
    </row>
    <row r="573" spans="1:6" ht="13" x14ac:dyDescent="0.15">
      <c r="A573" s="2">
        <v>10192</v>
      </c>
      <c r="B573" s="2">
        <v>542</v>
      </c>
      <c r="C573" s="2">
        <v>1499187742</v>
      </c>
      <c r="D573" s="2">
        <v>1499385756</v>
      </c>
      <c r="E573" s="1">
        <v>10</v>
      </c>
      <c r="F573" s="2">
        <v>7302</v>
      </c>
    </row>
    <row r="574" spans="1:6" ht="13" x14ac:dyDescent="0.15">
      <c r="A574" s="2">
        <v>10201</v>
      </c>
      <c r="B574" s="2">
        <v>542</v>
      </c>
      <c r="C574" s="2">
        <v>1499266696</v>
      </c>
      <c r="D574" s="2">
        <v>1499383185</v>
      </c>
      <c r="E574" s="1">
        <v>10</v>
      </c>
      <c r="F574" s="2">
        <v>2117</v>
      </c>
    </row>
    <row r="575" spans="1:6" ht="13" x14ac:dyDescent="0.15">
      <c r="A575" s="2">
        <v>10234</v>
      </c>
      <c r="B575" s="2">
        <v>542</v>
      </c>
      <c r="C575" s="2">
        <v>1499305258</v>
      </c>
      <c r="D575" s="2">
        <v>1499386565</v>
      </c>
      <c r="E575" s="1">
        <v>10</v>
      </c>
      <c r="F575" s="2">
        <v>1433</v>
      </c>
    </row>
    <row r="576" spans="1:6" ht="13" x14ac:dyDescent="0.15">
      <c r="A576" s="2">
        <v>10178</v>
      </c>
      <c r="B576" s="2">
        <v>542</v>
      </c>
      <c r="C576" s="2">
        <v>1499306185</v>
      </c>
      <c r="E576" s="3"/>
      <c r="F576" s="2">
        <v>1424</v>
      </c>
    </row>
    <row r="577" spans="1:6" ht="13" x14ac:dyDescent="0.15">
      <c r="A577" s="2">
        <v>10176</v>
      </c>
      <c r="B577" s="2">
        <v>542</v>
      </c>
      <c r="C577" s="2">
        <v>1499314559</v>
      </c>
      <c r="D577" s="2">
        <v>1499453505</v>
      </c>
      <c r="E577" s="1">
        <v>10</v>
      </c>
      <c r="F577" s="2">
        <v>667</v>
      </c>
    </row>
    <row r="578" spans="1:6" ht="13" x14ac:dyDescent="0.15">
      <c r="A578" s="2">
        <v>10190</v>
      </c>
      <c r="B578" s="2">
        <v>542</v>
      </c>
      <c r="C578" s="2">
        <v>1499373305</v>
      </c>
      <c r="D578" s="2">
        <v>1499482429</v>
      </c>
      <c r="E578" s="1">
        <v>10</v>
      </c>
      <c r="F578" s="2">
        <v>1454</v>
      </c>
    </row>
    <row r="579" spans="1:6" ht="13" x14ac:dyDescent="0.15">
      <c r="A579" s="2">
        <v>10210</v>
      </c>
      <c r="B579" s="2">
        <v>542</v>
      </c>
      <c r="C579" s="2">
        <v>1499376991</v>
      </c>
      <c r="D579" s="2">
        <v>1499378011</v>
      </c>
      <c r="E579" s="1">
        <v>10</v>
      </c>
      <c r="F579" s="2">
        <v>1018</v>
      </c>
    </row>
    <row r="580" spans="1:6" ht="13" x14ac:dyDescent="0.15">
      <c r="A580" s="2">
        <v>10199</v>
      </c>
      <c r="B580" s="2">
        <v>542</v>
      </c>
      <c r="C580" s="2">
        <v>1499386320</v>
      </c>
      <c r="D580" s="2">
        <v>1499386762</v>
      </c>
      <c r="E580" s="1">
        <v>10</v>
      </c>
      <c r="F580" s="2">
        <v>440</v>
      </c>
    </row>
    <row r="581" spans="1:6" ht="13" x14ac:dyDescent="0.15">
      <c r="A581" s="2">
        <v>10209</v>
      </c>
      <c r="B581" s="2">
        <v>542</v>
      </c>
      <c r="C581" s="2">
        <v>1499389334</v>
      </c>
      <c r="D581" s="2">
        <v>1499393733</v>
      </c>
      <c r="E581" s="1">
        <v>10</v>
      </c>
      <c r="F581" s="2">
        <v>2865</v>
      </c>
    </row>
    <row r="582" spans="1:6" ht="13" x14ac:dyDescent="0.15">
      <c r="A582" s="2">
        <v>10186</v>
      </c>
      <c r="B582" s="2">
        <v>542</v>
      </c>
      <c r="C582" s="2">
        <v>1499390861</v>
      </c>
      <c r="D582" s="2">
        <v>1499391202</v>
      </c>
      <c r="E582" s="1">
        <v>10</v>
      </c>
      <c r="F582" s="2">
        <v>339</v>
      </c>
    </row>
    <row r="583" spans="1:6" ht="13" x14ac:dyDescent="0.15">
      <c r="A583" s="2">
        <v>10193</v>
      </c>
      <c r="B583" s="2">
        <v>542</v>
      </c>
      <c r="C583" s="2">
        <v>1499397098</v>
      </c>
      <c r="D583" s="2">
        <v>1499398288</v>
      </c>
      <c r="E583" s="1">
        <v>10</v>
      </c>
      <c r="F583" s="2">
        <v>1182</v>
      </c>
    </row>
    <row r="584" spans="1:6" ht="13" x14ac:dyDescent="0.15">
      <c r="A584" s="2">
        <v>10169</v>
      </c>
      <c r="B584" s="2">
        <v>542</v>
      </c>
      <c r="C584" s="2">
        <v>1499401160</v>
      </c>
      <c r="D584" s="2">
        <v>1499401878</v>
      </c>
      <c r="E584" s="1">
        <v>10</v>
      </c>
      <c r="F584" s="2">
        <v>714</v>
      </c>
    </row>
    <row r="585" spans="1:6" ht="13" x14ac:dyDescent="0.15">
      <c r="A585" s="2">
        <v>10179</v>
      </c>
      <c r="B585" s="2">
        <v>542</v>
      </c>
      <c r="C585" s="2">
        <v>1499402582</v>
      </c>
      <c r="D585" s="2">
        <v>1499415780</v>
      </c>
      <c r="E585" s="1">
        <v>10</v>
      </c>
      <c r="F585" s="2">
        <v>1572</v>
      </c>
    </row>
    <row r="586" spans="1:6" ht="13" x14ac:dyDescent="0.15">
      <c r="A586" s="2">
        <v>10228</v>
      </c>
      <c r="B586" s="2">
        <v>542</v>
      </c>
      <c r="C586" s="2">
        <v>1499402767</v>
      </c>
      <c r="D586" s="2">
        <v>1499403767</v>
      </c>
      <c r="E586" s="1">
        <v>10</v>
      </c>
      <c r="F586" s="2">
        <v>996</v>
      </c>
    </row>
    <row r="587" spans="1:6" ht="13" x14ac:dyDescent="0.15">
      <c r="A587" s="2">
        <v>10237</v>
      </c>
      <c r="B587" s="2">
        <v>542</v>
      </c>
      <c r="C587" s="2">
        <v>1499413324</v>
      </c>
      <c r="D587" s="2">
        <v>1499414197</v>
      </c>
      <c r="E587" s="1">
        <v>10</v>
      </c>
      <c r="F587" s="2">
        <v>871</v>
      </c>
    </row>
    <row r="588" spans="1:6" ht="13" x14ac:dyDescent="0.15">
      <c r="A588" s="2">
        <v>10185</v>
      </c>
      <c r="B588" s="2">
        <v>542</v>
      </c>
      <c r="C588" s="2">
        <v>1499415220</v>
      </c>
      <c r="D588" s="2">
        <v>1499415431</v>
      </c>
      <c r="E588" s="1">
        <v>10</v>
      </c>
      <c r="F588" s="2">
        <v>207</v>
      </c>
    </row>
    <row r="589" spans="1:6" ht="13" x14ac:dyDescent="0.15">
      <c r="A589" s="2">
        <v>10213</v>
      </c>
      <c r="B589" s="2">
        <v>542</v>
      </c>
      <c r="C589" s="2">
        <v>1499438872</v>
      </c>
      <c r="D589" s="2">
        <v>1499452094</v>
      </c>
      <c r="E589" s="1">
        <v>10</v>
      </c>
      <c r="F589" s="2">
        <v>538</v>
      </c>
    </row>
    <row r="590" spans="1:6" ht="13" x14ac:dyDescent="0.15">
      <c r="A590" s="2">
        <v>10240</v>
      </c>
      <c r="B590" s="2">
        <v>542</v>
      </c>
      <c r="C590" s="2">
        <v>1499443878</v>
      </c>
      <c r="D590" s="2">
        <v>1499444170</v>
      </c>
      <c r="E590" s="1">
        <v>10</v>
      </c>
      <c r="F590" s="2">
        <v>291</v>
      </c>
    </row>
    <row r="591" spans="1:6" ht="13" x14ac:dyDescent="0.15">
      <c r="A591" s="2">
        <v>10170</v>
      </c>
      <c r="B591" s="2">
        <v>542</v>
      </c>
      <c r="C591" s="2">
        <v>1499448179</v>
      </c>
      <c r="D591" s="2">
        <v>1499457966</v>
      </c>
      <c r="E591" s="1">
        <v>10</v>
      </c>
      <c r="F591" s="2">
        <v>1247</v>
      </c>
    </row>
    <row r="592" spans="1:6" ht="13" x14ac:dyDescent="0.15">
      <c r="A592" s="2">
        <v>10181</v>
      </c>
      <c r="B592" s="2">
        <v>542</v>
      </c>
      <c r="C592" s="2">
        <v>1499453118</v>
      </c>
      <c r="D592" s="2">
        <v>1499453647</v>
      </c>
      <c r="E592" s="1">
        <v>10</v>
      </c>
      <c r="F592" s="2">
        <v>526</v>
      </c>
    </row>
    <row r="593" spans="1:6" ht="13" x14ac:dyDescent="0.15">
      <c r="A593" s="2">
        <v>10232</v>
      </c>
      <c r="B593" s="2">
        <v>542</v>
      </c>
      <c r="C593" s="2">
        <v>1499457375</v>
      </c>
      <c r="D593" s="2">
        <v>1499457886</v>
      </c>
      <c r="E593" s="1">
        <v>10</v>
      </c>
      <c r="F593" s="2">
        <v>508</v>
      </c>
    </row>
    <row r="594" spans="1:6" ht="13" x14ac:dyDescent="0.15">
      <c r="A594" s="2">
        <v>10221</v>
      </c>
      <c r="B594" s="2">
        <v>542</v>
      </c>
      <c r="C594" s="2">
        <v>1499463897</v>
      </c>
      <c r="D594" s="2">
        <v>1499464614</v>
      </c>
      <c r="E594" s="1">
        <v>10</v>
      </c>
      <c r="F594" s="2">
        <v>716</v>
      </c>
    </row>
    <row r="595" spans="1:6" ht="13" x14ac:dyDescent="0.15">
      <c r="A595" s="2">
        <v>10204</v>
      </c>
      <c r="B595" s="2">
        <v>542</v>
      </c>
      <c r="C595" s="2">
        <v>1499476660</v>
      </c>
      <c r="D595" s="2">
        <v>1499477881</v>
      </c>
      <c r="E595" s="1">
        <v>10</v>
      </c>
      <c r="F595" s="2">
        <v>1209</v>
      </c>
    </row>
    <row r="596" spans="1:6" ht="13" x14ac:dyDescent="0.15">
      <c r="A596" s="2">
        <v>10226</v>
      </c>
      <c r="B596" s="2">
        <v>542</v>
      </c>
      <c r="C596" s="2">
        <v>1499482167</v>
      </c>
      <c r="D596" s="2">
        <v>1499482718</v>
      </c>
      <c r="E596" s="1">
        <v>10</v>
      </c>
      <c r="F596" s="2">
        <v>549</v>
      </c>
    </row>
    <row r="597" spans="1:6" ht="13" x14ac:dyDescent="0.15">
      <c r="A597" s="2">
        <v>10172</v>
      </c>
      <c r="B597" s="2">
        <v>542</v>
      </c>
      <c r="C597" s="2">
        <v>1499476055</v>
      </c>
      <c r="D597" s="2">
        <v>1499483383</v>
      </c>
      <c r="E597" s="1">
        <v>10</v>
      </c>
      <c r="F597" s="2">
        <v>1586</v>
      </c>
    </row>
    <row r="598" spans="1:6" ht="13" x14ac:dyDescent="0.15">
      <c r="A598" s="2">
        <v>10218</v>
      </c>
      <c r="B598" s="2">
        <v>542</v>
      </c>
      <c r="C598" s="2">
        <v>0</v>
      </c>
      <c r="D598" s="2">
        <v>1499563913</v>
      </c>
      <c r="E598" s="1">
        <v>10</v>
      </c>
      <c r="F598" s="2">
        <v>0</v>
      </c>
    </row>
    <row r="599" spans="1:6" ht="13" x14ac:dyDescent="0.15">
      <c r="A599" s="2">
        <v>2</v>
      </c>
      <c r="B599" s="2">
        <v>545</v>
      </c>
      <c r="C599" s="2">
        <v>0</v>
      </c>
      <c r="D599" s="2">
        <v>1497552092</v>
      </c>
      <c r="E599" s="1">
        <v>10</v>
      </c>
      <c r="F599" s="2">
        <v>0</v>
      </c>
    </row>
    <row r="600" spans="1:6" ht="13" x14ac:dyDescent="0.15">
      <c r="A600" s="2">
        <v>10231</v>
      </c>
      <c r="B600" s="2">
        <v>545</v>
      </c>
      <c r="C600" s="2">
        <v>1497635431</v>
      </c>
      <c r="E600" s="3"/>
      <c r="F600" s="2">
        <v>29022</v>
      </c>
    </row>
    <row r="601" spans="1:6" ht="13" x14ac:dyDescent="0.15">
      <c r="A601" s="2">
        <v>10217</v>
      </c>
      <c r="B601" s="2">
        <v>545</v>
      </c>
      <c r="C601" s="2">
        <v>1497673296</v>
      </c>
      <c r="D601" s="2">
        <v>1497677912</v>
      </c>
      <c r="E601" s="1">
        <v>10</v>
      </c>
      <c r="F601" s="2">
        <v>4327</v>
      </c>
    </row>
    <row r="602" spans="1:6" ht="13" x14ac:dyDescent="0.15">
      <c r="A602" s="2">
        <v>10184</v>
      </c>
      <c r="B602" s="2">
        <v>545</v>
      </c>
      <c r="C602" s="2">
        <v>1497676420</v>
      </c>
      <c r="D602" s="2">
        <v>1497735310</v>
      </c>
      <c r="E602" s="1">
        <v>10</v>
      </c>
      <c r="F602" s="2">
        <v>10830</v>
      </c>
    </row>
    <row r="603" spans="1:6" ht="13" x14ac:dyDescent="0.15">
      <c r="A603" s="2">
        <v>10215</v>
      </c>
      <c r="B603" s="2">
        <v>545</v>
      </c>
      <c r="C603" s="2">
        <v>1497997065</v>
      </c>
      <c r="D603" s="2">
        <v>1497997452</v>
      </c>
      <c r="E603" s="1">
        <v>10</v>
      </c>
      <c r="F603" s="2">
        <v>383</v>
      </c>
    </row>
    <row r="604" spans="1:6" ht="13" x14ac:dyDescent="0.15">
      <c r="A604" s="2">
        <v>10208</v>
      </c>
      <c r="B604" s="2">
        <v>545</v>
      </c>
      <c r="C604" s="2">
        <v>1498081788</v>
      </c>
      <c r="D604" s="2">
        <v>1498087907</v>
      </c>
      <c r="E604" s="1">
        <v>10</v>
      </c>
      <c r="F604" s="2">
        <v>6115</v>
      </c>
    </row>
    <row r="605" spans="1:6" ht="13" x14ac:dyDescent="0.15">
      <c r="A605" s="2">
        <v>10171</v>
      </c>
      <c r="B605" s="2">
        <v>545</v>
      </c>
      <c r="C605" s="2">
        <v>1498094174</v>
      </c>
      <c r="D605" s="2">
        <v>1498105776</v>
      </c>
      <c r="E605" s="1">
        <v>10</v>
      </c>
      <c r="F605" s="2">
        <v>9967</v>
      </c>
    </row>
    <row r="606" spans="1:6" ht="13" x14ac:dyDescent="0.15">
      <c r="A606" s="2">
        <v>10203</v>
      </c>
      <c r="B606" s="2">
        <v>545</v>
      </c>
      <c r="C606" s="2">
        <v>1499100092</v>
      </c>
      <c r="E606" s="3"/>
      <c r="F606" s="2">
        <v>3551</v>
      </c>
    </row>
    <row r="607" spans="1:6" ht="13" x14ac:dyDescent="0.15">
      <c r="A607" s="2">
        <v>10227</v>
      </c>
      <c r="B607" s="2">
        <v>545</v>
      </c>
      <c r="C607" s="2">
        <v>1499288842</v>
      </c>
      <c r="D607" s="2">
        <v>1499464835</v>
      </c>
      <c r="E607" s="1">
        <v>10</v>
      </c>
      <c r="F607" s="2">
        <v>15965</v>
      </c>
    </row>
    <row r="608" spans="1:6" ht="13" x14ac:dyDescent="0.15">
      <c r="A608" s="2">
        <v>10201</v>
      </c>
      <c r="B608" s="2">
        <v>545</v>
      </c>
      <c r="C608" s="2">
        <v>1499362793</v>
      </c>
      <c r="E608" s="3"/>
      <c r="F608" s="2">
        <v>5374</v>
      </c>
    </row>
    <row r="609" spans="1:6" ht="13" x14ac:dyDescent="0.15">
      <c r="A609" s="2">
        <v>10188</v>
      </c>
      <c r="B609" s="2">
        <v>545</v>
      </c>
      <c r="C609" s="2">
        <v>1499373227</v>
      </c>
      <c r="D609" s="2">
        <v>1499397019</v>
      </c>
      <c r="E609" s="1">
        <v>10</v>
      </c>
      <c r="F609" s="2">
        <v>23790</v>
      </c>
    </row>
    <row r="610" spans="1:6" ht="13" x14ac:dyDescent="0.15">
      <c r="A610" s="2">
        <v>10175</v>
      </c>
      <c r="B610" s="2">
        <v>545</v>
      </c>
      <c r="C610" s="2">
        <v>1498015440</v>
      </c>
      <c r="D610" s="2">
        <v>1499390736</v>
      </c>
      <c r="E610" s="1">
        <v>10</v>
      </c>
      <c r="F610" s="2">
        <v>2226</v>
      </c>
    </row>
    <row r="611" spans="1:6" ht="13" x14ac:dyDescent="0.15">
      <c r="A611" s="2">
        <v>10193</v>
      </c>
      <c r="B611" s="2">
        <v>545</v>
      </c>
      <c r="C611" s="2">
        <v>1499392111</v>
      </c>
      <c r="E611" s="3"/>
      <c r="F611" s="2">
        <v>10110</v>
      </c>
    </row>
    <row r="612" spans="1:6" ht="13" x14ac:dyDescent="0.15">
      <c r="A612" s="2">
        <v>10209</v>
      </c>
      <c r="B612" s="2">
        <v>545</v>
      </c>
      <c r="C612" s="2">
        <v>1499403255</v>
      </c>
      <c r="E612" s="3"/>
      <c r="F612" s="2">
        <v>2453</v>
      </c>
    </row>
    <row r="613" spans="1:6" ht="13" x14ac:dyDescent="0.15">
      <c r="A613" s="2">
        <v>10169</v>
      </c>
      <c r="B613" s="2">
        <v>545</v>
      </c>
      <c r="C613" s="2">
        <v>1499403242</v>
      </c>
      <c r="D613" s="2">
        <v>1499403709</v>
      </c>
      <c r="E613" s="1">
        <v>10</v>
      </c>
      <c r="F613" s="2">
        <v>465</v>
      </c>
    </row>
    <row r="614" spans="1:6" ht="13" x14ac:dyDescent="0.15">
      <c r="A614" s="2">
        <v>10213</v>
      </c>
      <c r="B614" s="2">
        <v>545</v>
      </c>
      <c r="C614" s="2">
        <v>1499392169</v>
      </c>
      <c r="D614" s="2">
        <v>1499438639</v>
      </c>
      <c r="E614" s="1">
        <v>10</v>
      </c>
      <c r="F614" s="2">
        <v>844</v>
      </c>
    </row>
    <row r="615" spans="1:6" ht="13" x14ac:dyDescent="0.15">
      <c r="A615" s="2">
        <v>10206</v>
      </c>
      <c r="B615" s="2">
        <v>545</v>
      </c>
      <c r="C615" s="2">
        <v>1499300529</v>
      </c>
      <c r="D615" s="2">
        <v>1499456329</v>
      </c>
      <c r="E615" s="1">
        <v>10</v>
      </c>
      <c r="F615" s="2">
        <v>2064</v>
      </c>
    </row>
    <row r="616" spans="1:6" ht="13" x14ac:dyDescent="0.15">
      <c r="A616" s="2">
        <v>10176</v>
      </c>
      <c r="B616" s="2">
        <v>545</v>
      </c>
      <c r="C616" s="2">
        <v>1499451338</v>
      </c>
      <c r="D616" s="2">
        <v>1499451754</v>
      </c>
      <c r="E616" s="1">
        <v>10</v>
      </c>
      <c r="F616" s="2">
        <v>414</v>
      </c>
    </row>
    <row r="617" spans="1:6" ht="13" x14ac:dyDescent="0.15">
      <c r="A617" s="2">
        <v>10191</v>
      </c>
      <c r="B617" s="2">
        <v>545</v>
      </c>
      <c r="C617" s="2">
        <v>1499458076</v>
      </c>
      <c r="D617" s="2">
        <v>1499458632</v>
      </c>
      <c r="E617" s="1">
        <v>10</v>
      </c>
      <c r="F617" s="2">
        <v>553</v>
      </c>
    </row>
    <row r="618" spans="1:6" ht="13" x14ac:dyDescent="0.15">
      <c r="A618" s="2">
        <v>10186</v>
      </c>
      <c r="B618" s="2">
        <v>545</v>
      </c>
      <c r="C618" s="2">
        <v>1499459069</v>
      </c>
      <c r="D618" s="2">
        <v>1499459509</v>
      </c>
      <c r="E618" s="1">
        <v>10</v>
      </c>
      <c r="F618" s="2">
        <v>438</v>
      </c>
    </row>
    <row r="619" spans="1:6" ht="13" x14ac:dyDescent="0.15">
      <c r="A619" s="2">
        <v>10170</v>
      </c>
      <c r="B619" s="2">
        <v>545</v>
      </c>
      <c r="C619" s="2">
        <v>1499450338</v>
      </c>
      <c r="D619" s="2">
        <v>1499459791</v>
      </c>
      <c r="E619" s="1">
        <v>10</v>
      </c>
      <c r="F619" s="2">
        <v>-5189</v>
      </c>
    </row>
    <row r="620" spans="1:6" ht="13" x14ac:dyDescent="0.15">
      <c r="A620" s="2">
        <v>10232</v>
      </c>
      <c r="B620" s="2">
        <v>545</v>
      </c>
      <c r="C620" s="2">
        <v>1499459600</v>
      </c>
      <c r="D620" s="2">
        <v>1499460487</v>
      </c>
      <c r="E620" s="1">
        <v>10</v>
      </c>
      <c r="F620" s="2">
        <v>885</v>
      </c>
    </row>
    <row r="621" spans="1:6" ht="13" x14ac:dyDescent="0.15">
      <c r="A621" s="2">
        <v>10234</v>
      </c>
      <c r="B621" s="2">
        <v>545</v>
      </c>
      <c r="C621" s="2">
        <v>1499460110</v>
      </c>
      <c r="D621" s="2">
        <v>1499460643</v>
      </c>
      <c r="E621" s="1">
        <v>10</v>
      </c>
      <c r="F621" s="2">
        <v>531</v>
      </c>
    </row>
    <row r="622" spans="1:6" ht="13" x14ac:dyDescent="0.15">
      <c r="A622" s="2">
        <v>10221</v>
      </c>
      <c r="B622" s="2">
        <v>545</v>
      </c>
      <c r="C622" s="2">
        <v>1499458633</v>
      </c>
      <c r="E622" s="3"/>
      <c r="F622" s="2">
        <v>3112</v>
      </c>
    </row>
    <row r="623" spans="1:6" ht="13" x14ac:dyDescent="0.15">
      <c r="A623" s="2">
        <v>10178</v>
      </c>
      <c r="B623" s="2">
        <v>545</v>
      </c>
      <c r="C623" s="2">
        <v>1499464857</v>
      </c>
      <c r="D623" s="2">
        <v>1499473098</v>
      </c>
      <c r="E623" s="1">
        <v>10</v>
      </c>
      <c r="F623" s="2">
        <v>6677</v>
      </c>
    </row>
    <row r="624" spans="1:6" ht="13" x14ac:dyDescent="0.15">
      <c r="A624" s="2">
        <v>10196</v>
      </c>
      <c r="B624" s="2">
        <v>545</v>
      </c>
      <c r="C624" s="2">
        <v>1499474089</v>
      </c>
      <c r="D624" s="2">
        <v>1499474969</v>
      </c>
      <c r="E624" s="1">
        <v>10</v>
      </c>
      <c r="F624" s="2">
        <v>878</v>
      </c>
    </row>
    <row r="625" spans="1:6" ht="13" x14ac:dyDescent="0.15">
      <c r="A625" s="2">
        <v>10199</v>
      </c>
      <c r="B625" s="2">
        <v>545</v>
      </c>
      <c r="C625" s="2">
        <v>1499477704</v>
      </c>
      <c r="D625" s="2">
        <v>1499479036</v>
      </c>
      <c r="E625" s="1">
        <v>10</v>
      </c>
      <c r="F625" s="2">
        <v>1330</v>
      </c>
    </row>
    <row r="626" spans="1:6" ht="13" x14ac:dyDescent="0.15">
      <c r="A626" s="2">
        <v>10181</v>
      </c>
      <c r="B626" s="2">
        <v>545</v>
      </c>
      <c r="C626" s="2">
        <v>1499479403</v>
      </c>
      <c r="D626" s="2">
        <v>1499480090</v>
      </c>
      <c r="E626" s="1">
        <v>10</v>
      </c>
      <c r="F626" s="2">
        <v>683</v>
      </c>
    </row>
    <row r="627" spans="1:6" ht="13" x14ac:dyDescent="0.15">
      <c r="A627" s="2">
        <v>10204</v>
      </c>
      <c r="B627" s="2">
        <v>545</v>
      </c>
      <c r="C627" s="2">
        <v>1499384809</v>
      </c>
      <c r="D627" s="2">
        <v>1499481451</v>
      </c>
      <c r="E627" s="1">
        <v>10</v>
      </c>
      <c r="F627" s="2">
        <v>1649</v>
      </c>
    </row>
    <row r="628" spans="1:6" ht="13" x14ac:dyDescent="0.15">
      <c r="A628" s="2">
        <v>10172</v>
      </c>
      <c r="B628" s="2">
        <v>545</v>
      </c>
      <c r="C628" s="2">
        <v>1499481825</v>
      </c>
      <c r="D628" s="2">
        <v>1499482501</v>
      </c>
      <c r="E628" s="1">
        <v>10</v>
      </c>
      <c r="F628" s="2">
        <v>675</v>
      </c>
    </row>
    <row r="629" spans="1:6" ht="13" x14ac:dyDescent="0.15">
      <c r="A629" s="2">
        <v>10210</v>
      </c>
      <c r="B629" s="2">
        <v>545</v>
      </c>
      <c r="C629" s="2">
        <v>1499482482</v>
      </c>
      <c r="E629" s="3"/>
      <c r="F629" s="2">
        <v>741</v>
      </c>
    </row>
    <row r="630" spans="1:6" ht="13" x14ac:dyDescent="0.15">
      <c r="A630" s="2">
        <v>10226</v>
      </c>
      <c r="B630" s="2">
        <v>545</v>
      </c>
      <c r="C630" s="2">
        <v>1499482834</v>
      </c>
      <c r="D630" s="2">
        <v>1499485697</v>
      </c>
      <c r="E630" s="1">
        <v>10</v>
      </c>
      <c r="F630" s="2">
        <v>2386</v>
      </c>
    </row>
    <row r="631" spans="1:6" ht="13" x14ac:dyDescent="0.15">
      <c r="A631" s="2">
        <v>10190</v>
      </c>
      <c r="B631" s="2">
        <v>545</v>
      </c>
      <c r="C631" s="2">
        <v>1499483387</v>
      </c>
      <c r="D631" s="2">
        <v>1499483823</v>
      </c>
      <c r="E631" s="1">
        <v>10</v>
      </c>
      <c r="F631" s="2">
        <v>431</v>
      </c>
    </row>
    <row r="632" spans="1:6" ht="13" x14ac:dyDescent="0.15">
      <c r="A632" s="2">
        <v>10198</v>
      </c>
      <c r="B632" s="2">
        <v>545</v>
      </c>
      <c r="C632" s="2">
        <v>1499481813</v>
      </c>
      <c r="D632" s="2">
        <v>1499484244</v>
      </c>
      <c r="E632" s="1">
        <v>10</v>
      </c>
      <c r="F632" s="2">
        <v>2427</v>
      </c>
    </row>
    <row r="633" spans="1:6" ht="13" x14ac:dyDescent="0.15">
      <c r="E633" s="3"/>
    </row>
    <row r="634" spans="1:6" ht="13" x14ac:dyDescent="0.15">
      <c r="E634" s="3"/>
    </row>
    <row r="635" spans="1:6" ht="13" x14ac:dyDescent="0.15">
      <c r="E635" s="3"/>
    </row>
    <row r="636" spans="1:6" ht="13" x14ac:dyDescent="0.15">
      <c r="E636" s="3"/>
    </row>
    <row r="637" spans="1:6" ht="13" x14ac:dyDescent="0.15">
      <c r="E637" s="3"/>
    </row>
    <row r="638" spans="1:6" ht="13" x14ac:dyDescent="0.15">
      <c r="E638" s="3"/>
    </row>
    <row r="639" spans="1:6" ht="13" x14ac:dyDescent="0.15">
      <c r="E639" s="3"/>
    </row>
    <row r="640" spans="1:6" ht="13" x14ac:dyDescent="0.15">
      <c r="E640" s="3"/>
    </row>
    <row r="641" spans="5:5" ht="13" x14ac:dyDescent="0.15">
      <c r="E641" s="3"/>
    </row>
    <row r="642" spans="5:5" ht="13" x14ac:dyDescent="0.15">
      <c r="E642" s="3"/>
    </row>
    <row r="643" spans="5:5" ht="13" x14ac:dyDescent="0.15">
      <c r="E643" s="3"/>
    </row>
    <row r="644" spans="5:5" ht="13" x14ac:dyDescent="0.15">
      <c r="E644" s="3"/>
    </row>
    <row r="645" spans="5:5" ht="13" x14ac:dyDescent="0.15">
      <c r="E645" s="3"/>
    </row>
    <row r="646" spans="5:5" ht="13" x14ac:dyDescent="0.15">
      <c r="E646" s="3"/>
    </row>
    <row r="647" spans="5:5" ht="13" x14ac:dyDescent="0.15">
      <c r="E647" s="3"/>
    </row>
    <row r="648" spans="5:5" ht="13" x14ac:dyDescent="0.15">
      <c r="E648" s="3"/>
    </row>
    <row r="649" spans="5:5" ht="13" x14ac:dyDescent="0.15">
      <c r="E649" s="3"/>
    </row>
    <row r="650" spans="5:5" ht="13" x14ac:dyDescent="0.15">
      <c r="E650" s="3"/>
    </row>
    <row r="651" spans="5:5" ht="13" x14ac:dyDescent="0.15">
      <c r="E651" s="3"/>
    </row>
    <row r="652" spans="5:5" ht="13" x14ac:dyDescent="0.15">
      <c r="E652" s="3"/>
    </row>
    <row r="653" spans="5:5" ht="13" x14ac:dyDescent="0.15">
      <c r="E653" s="3"/>
    </row>
    <row r="654" spans="5:5" ht="13" x14ac:dyDescent="0.15">
      <c r="E654" s="3"/>
    </row>
    <row r="655" spans="5:5" ht="13" x14ac:dyDescent="0.15">
      <c r="E655" s="3"/>
    </row>
    <row r="656" spans="5:5" ht="13" x14ac:dyDescent="0.15">
      <c r="E656" s="3"/>
    </row>
    <row r="657" spans="5:5" ht="13" x14ac:dyDescent="0.15">
      <c r="E657" s="3"/>
    </row>
    <row r="658" spans="5:5" ht="13" x14ac:dyDescent="0.15">
      <c r="E658" s="3"/>
    </row>
    <row r="659" spans="5:5" ht="13" x14ac:dyDescent="0.15">
      <c r="E659" s="3"/>
    </row>
    <row r="660" spans="5:5" ht="13" x14ac:dyDescent="0.15">
      <c r="E660" s="3"/>
    </row>
    <row r="661" spans="5:5" ht="13" x14ac:dyDescent="0.15">
      <c r="E661" s="3"/>
    </row>
    <row r="662" spans="5:5" ht="13" x14ac:dyDescent="0.15">
      <c r="E662" s="3"/>
    </row>
    <row r="663" spans="5:5" ht="13" x14ac:dyDescent="0.15">
      <c r="E663" s="3"/>
    </row>
    <row r="664" spans="5:5" ht="13" x14ac:dyDescent="0.15">
      <c r="E664" s="3"/>
    </row>
    <row r="665" spans="5:5" ht="13" x14ac:dyDescent="0.15">
      <c r="E665" s="3"/>
    </row>
    <row r="666" spans="5:5" ht="13" x14ac:dyDescent="0.15">
      <c r="E666" s="3"/>
    </row>
    <row r="667" spans="5:5" ht="13" x14ac:dyDescent="0.15">
      <c r="E667" s="3"/>
    </row>
    <row r="668" spans="5:5" ht="13" x14ac:dyDescent="0.15">
      <c r="E668" s="3"/>
    </row>
    <row r="669" spans="5:5" ht="13" x14ac:dyDescent="0.15">
      <c r="E669" s="3"/>
    </row>
    <row r="670" spans="5:5" ht="13" x14ac:dyDescent="0.15">
      <c r="E670" s="3"/>
    </row>
    <row r="671" spans="5:5" ht="13" x14ac:dyDescent="0.15">
      <c r="E671" s="3"/>
    </row>
    <row r="672" spans="5:5" ht="13" x14ac:dyDescent="0.15">
      <c r="E672" s="3"/>
    </row>
    <row r="673" spans="5:5" ht="13" x14ac:dyDescent="0.15">
      <c r="E673" s="3"/>
    </row>
    <row r="674" spans="5:5" ht="13" x14ac:dyDescent="0.15">
      <c r="E674" s="3"/>
    </row>
    <row r="675" spans="5:5" ht="13" x14ac:dyDescent="0.15">
      <c r="E675" s="3"/>
    </row>
    <row r="676" spans="5:5" ht="13" x14ac:dyDescent="0.15">
      <c r="E676" s="3"/>
    </row>
    <row r="677" spans="5:5" ht="13" x14ac:dyDescent="0.15">
      <c r="E677" s="3"/>
    </row>
    <row r="678" spans="5:5" ht="13" x14ac:dyDescent="0.15">
      <c r="E678" s="3"/>
    </row>
    <row r="679" spans="5:5" ht="13" x14ac:dyDescent="0.15">
      <c r="E679" s="3"/>
    </row>
    <row r="680" spans="5:5" ht="13" x14ac:dyDescent="0.15">
      <c r="E680" s="3"/>
    </row>
    <row r="681" spans="5:5" ht="13" x14ac:dyDescent="0.15">
      <c r="E681" s="3"/>
    </row>
    <row r="682" spans="5:5" ht="13" x14ac:dyDescent="0.15">
      <c r="E682" s="3"/>
    </row>
    <row r="683" spans="5:5" ht="13" x14ac:dyDescent="0.15">
      <c r="E683" s="3"/>
    </row>
    <row r="684" spans="5:5" ht="13" x14ac:dyDescent="0.15">
      <c r="E684" s="3"/>
    </row>
    <row r="685" spans="5:5" ht="13" x14ac:dyDescent="0.15">
      <c r="E685" s="3"/>
    </row>
    <row r="686" spans="5:5" ht="13" x14ac:dyDescent="0.15">
      <c r="E686" s="3"/>
    </row>
    <row r="687" spans="5:5" ht="13" x14ac:dyDescent="0.15">
      <c r="E687" s="3"/>
    </row>
    <row r="688" spans="5:5" ht="13" x14ac:dyDescent="0.15">
      <c r="E688" s="3"/>
    </row>
    <row r="689" spans="5:5" ht="13" x14ac:dyDescent="0.15">
      <c r="E689" s="3"/>
    </row>
    <row r="690" spans="5:5" ht="13" x14ac:dyDescent="0.15">
      <c r="E690" s="3"/>
    </row>
    <row r="691" spans="5:5" ht="13" x14ac:dyDescent="0.15">
      <c r="E691" s="3"/>
    </row>
    <row r="692" spans="5:5" ht="13" x14ac:dyDescent="0.15">
      <c r="E692" s="3"/>
    </row>
    <row r="693" spans="5:5" ht="13" x14ac:dyDescent="0.15">
      <c r="E693" s="3"/>
    </row>
    <row r="694" spans="5:5" ht="13" x14ac:dyDescent="0.15">
      <c r="E694" s="3"/>
    </row>
    <row r="695" spans="5:5" ht="13" x14ac:dyDescent="0.15">
      <c r="E695" s="3"/>
    </row>
    <row r="696" spans="5:5" ht="13" x14ac:dyDescent="0.15">
      <c r="E696" s="3"/>
    </row>
    <row r="697" spans="5:5" ht="13" x14ac:dyDescent="0.15">
      <c r="E697" s="3"/>
    </row>
    <row r="698" spans="5:5" ht="13" x14ac:dyDescent="0.15">
      <c r="E698" s="3"/>
    </row>
    <row r="699" spans="5:5" ht="13" x14ac:dyDescent="0.15">
      <c r="E699" s="3"/>
    </row>
    <row r="700" spans="5:5" ht="13" x14ac:dyDescent="0.15">
      <c r="E700" s="3"/>
    </row>
    <row r="701" spans="5:5" ht="13" x14ac:dyDescent="0.15">
      <c r="E701" s="3"/>
    </row>
    <row r="702" spans="5:5" ht="13" x14ac:dyDescent="0.15">
      <c r="E702" s="3"/>
    </row>
    <row r="703" spans="5:5" ht="13" x14ac:dyDescent="0.15">
      <c r="E703" s="3"/>
    </row>
    <row r="704" spans="5:5" ht="13" x14ac:dyDescent="0.15">
      <c r="E704" s="3"/>
    </row>
    <row r="705" spans="5:5" ht="13" x14ac:dyDescent="0.15">
      <c r="E705" s="3"/>
    </row>
    <row r="706" spans="5:5" ht="13" x14ac:dyDescent="0.15">
      <c r="E706" s="3"/>
    </row>
    <row r="707" spans="5:5" ht="13" x14ac:dyDescent="0.15">
      <c r="E707" s="3"/>
    </row>
    <row r="708" spans="5:5" ht="13" x14ac:dyDescent="0.15">
      <c r="E708" s="3"/>
    </row>
    <row r="709" spans="5:5" ht="13" x14ac:dyDescent="0.15">
      <c r="E709" s="3"/>
    </row>
    <row r="710" spans="5:5" ht="13" x14ac:dyDescent="0.15">
      <c r="E710" s="3"/>
    </row>
    <row r="711" spans="5:5" ht="13" x14ac:dyDescent="0.15">
      <c r="E711" s="3"/>
    </row>
    <row r="712" spans="5:5" ht="13" x14ac:dyDescent="0.15">
      <c r="E712" s="3"/>
    </row>
    <row r="713" spans="5:5" ht="13" x14ac:dyDescent="0.15">
      <c r="E713" s="3"/>
    </row>
    <row r="714" spans="5:5" ht="13" x14ac:dyDescent="0.15">
      <c r="E714" s="3"/>
    </row>
    <row r="715" spans="5:5" ht="13" x14ac:dyDescent="0.15">
      <c r="E715" s="3"/>
    </row>
    <row r="716" spans="5:5" ht="13" x14ac:dyDescent="0.15">
      <c r="E716" s="3"/>
    </row>
    <row r="717" spans="5:5" ht="13" x14ac:dyDescent="0.15">
      <c r="E717" s="3"/>
    </row>
    <row r="718" spans="5:5" ht="13" x14ac:dyDescent="0.15">
      <c r="E718" s="3"/>
    </row>
    <row r="719" spans="5:5" ht="13" x14ac:dyDescent="0.15">
      <c r="E719" s="3"/>
    </row>
    <row r="720" spans="5:5" ht="13" x14ac:dyDescent="0.15">
      <c r="E720" s="3"/>
    </row>
    <row r="721" spans="5:5" ht="13" x14ac:dyDescent="0.15">
      <c r="E721" s="3"/>
    </row>
    <row r="722" spans="5:5" ht="13" x14ac:dyDescent="0.15">
      <c r="E722" s="3"/>
    </row>
    <row r="723" spans="5:5" ht="13" x14ac:dyDescent="0.15">
      <c r="E723" s="3"/>
    </row>
    <row r="724" spans="5:5" ht="13" x14ac:dyDescent="0.15">
      <c r="E724" s="3"/>
    </row>
    <row r="725" spans="5:5" ht="13" x14ac:dyDescent="0.15">
      <c r="E725" s="3"/>
    </row>
    <row r="726" spans="5:5" ht="13" x14ac:dyDescent="0.15">
      <c r="E726" s="3"/>
    </row>
    <row r="727" spans="5:5" ht="13" x14ac:dyDescent="0.15">
      <c r="E727" s="3"/>
    </row>
    <row r="728" spans="5:5" ht="13" x14ac:dyDescent="0.15">
      <c r="E728" s="3"/>
    </row>
    <row r="729" spans="5:5" ht="13" x14ac:dyDescent="0.15">
      <c r="E729" s="3"/>
    </row>
    <row r="730" spans="5:5" ht="13" x14ac:dyDescent="0.15">
      <c r="E730" s="3"/>
    </row>
    <row r="731" spans="5:5" ht="13" x14ac:dyDescent="0.15">
      <c r="E731" s="3"/>
    </row>
    <row r="732" spans="5:5" ht="13" x14ac:dyDescent="0.15">
      <c r="E732" s="3"/>
    </row>
    <row r="733" spans="5:5" ht="13" x14ac:dyDescent="0.15">
      <c r="E733" s="3"/>
    </row>
    <row r="734" spans="5:5" ht="13" x14ac:dyDescent="0.15">
      <c r="E734" s="3"/>
    </row>
    <row r="735" spans="5:5" ht="13" x14ac:dyDescent="0.15">
      <c r="E735" s="3"/>
    </row>
    <row r="736" spans="5:5" ht="13" x14ac:dyDescent="0.15">
      <c r="E736" s="3"/>
    </row>
    <row r="737" spans="5:5" ht="13" x14ac:dyDescent="0.15">
      <c r="E737" s="3"/>
    </row>
    <row r="738" spans="5:5" ht="13" x14ac:dyDescent="0.15">
      <c r="E738" s="3"/>
    </row>
    <row r="739" spans="5:5" ht="13" x14ac:dyDescent="0.15">
      <c r="E739" s="3"/>
    </row>
    <row r="740" spans="5:5" ht="13" x14ac:dyDescent="0.15">
      <c r="E740" s="3"/>
    </row>
    <row r="741" spans="5:5" ht="13" x14ac:dyDescent="0.15">
      <c r="E741" s="3"/>
    </row>
    <row r="742" spans="5:5" ht="13" x14ac:dyDescent="0.15">
      <c r="E742" s="3"/>
    </row>
    <row r="743" spans="5:5" ht="13" x14ac:dyDescent="0.15">
      <c r="E743" s="3"/>
    </row>
    <row r="744" spans="5:5" ht="13" x14ac:dyDescent="0.15">
      <c r="E744" s="3"/>
    </row>
    <row r="745" spans="5:5" ht="13" x14ac:dyDescent="0.15">
      <c r="E745" s="3"/>
    </row>
    <row r="746" spans="5:5" ht="13" x14ac:dyDescent="0.15">
      <c r="E746" s="3"/>
    </row>
    <row r="747" spans="5:5" ht="13" x14ac:dyDescent="0.15">
      <c r="E747" s="3"/>
    </row>
    <row r="748" spans="5:5" ht="13" x14ac:dyDescent="0.15">
      <c r="E748" s="3"/>
    </row>
    <row r="749" spans="5:5" ht="13" x14ac:dyDescent="0.15">
      <c r="E749" s="3"/>
    </row>
    <row r="750" spans="5:5" ht="13" x14ac:dyDescent="0.15">
      <c r="E750" s="3"/>
    </row>
    <row r="751" spans="5:5" ht="13" x14ac:dyDescent="0.15">
      <c r="E751" s="3"/>
    </row>
    <row r="752" spans="5:5" ht="13" x14ac:dyDescent="0.15">
      <c r="E752" s="3"/>
    </row>
    <row r="753" spans="5:5" ht="13" x14ac:dyDescent="0.15">
      <c r="E753" s="3"/>
    </row>
    <row r="754" spans="5:5" ht="13" x14ac:dyDescent="0.15">
      <c r="E754" s="3"/>
    </row>
    <row r="755" spans="5:5" ht="13" x14ac:dyDescent="0.15">
      <c r="E755" s="3"/>
    </row>
    <row r="756" spans="5:5" ht="13" x14ac:dyDescent="0.15">
      <c r="E756" s="3"/>
    </row>
    <row r="757" spans="5:5" ht="13" x14ac:dyDescent="0.15">
      <c r="E757" s="3"/>
    </row>
    <row r="758" spans="5:5" ht="13" x14ac:dyDescent="0.15">
      <c r="E758" s="3"/>
    </row>
    <row r="759" spans="5:5" ht="13" x14ac:dyDescent="0.15">
      <c r="E759" s="3"/>
    </row>
    <row r="760" spans="5:5" ht="13" x14ac:dyDescent="0.15">
      <c r="E760" s="3"/>
    </row>
    <row r="761" spans="5:5" ht="13" x14ac:dyDescent="0.15">
      <c r="E761" s="3"/>
    </row>
    <row r="762" spans="5:5" ht="13" x14ac:dyDescent="0.15">
      <c r="E762" s="3"/>
    </row>
    <row r="763" spans="5:5" ht="13" x14ac:dyDescent="0.15">
      <c r="E763" s="3"/>
    </row>
    <row r="764" spans="5:5" ht="13" x14ac:dyDescent="0.15">
      <c r="E764" s="3"/>
    </row>
    <row r="765" spans="5:5" ht="13" x14ac:dyDescent="0.15">
      <c r="E765" s="3"/>
    </row>
    <row r="766" spans="5:5" ht="13" x14ac:dyDescent="0.15">
      <c r="E766" s="3"/>
    </row>
    <row r="767" spans="5:5" ht="13" x14ac:dyDescent="0.15">
      <c r="E767" s="3"/>
    </row>
    <row r="768" spans="5:5" ht="13" x14ac:dyDescent="0.15">
      <c r="E768" s="3"/>
    </row>
    <row r="769" spans="5:5" ht="13" x14ac:dyDescent="0.15">
      <c r="E769" s="3"/>
    </row>
    <row r="770" spans="5:5" ht="13" x14ac:dyDescent="0.15">
      <c r="E770" s="3"/>
    </row>
    <row r="771" spans="5:5" ht="13" x14ac:dyDescent="0.15">
      <c r="E771" s="3"/>
    </row>
    <row r="772" spans="5:5" ht="13" x14ac:dyDescent="0.15">
      <c r="E772" s="3"/>
    </row>
    <row r="773" spans="5:5" ht="13" x14ac:dyDescent="0.15">
      <c r="E773" s="3"/>
    </row>
    <row r="774" spans="5:5" ht="13" x14ac:dyDescent="0.15">
      <c r="E774" s="3"/>
    </row>
    <row r="775" spans="5:5" ht="13" x14ac:dyDescent="0.15">
      <c r="E775" s="3"/>
    </row>
    <row r="776" spans="5:5" ht="13" x14ac:dyDescent="0.15">
      <c r="E776" s="3"/>
    </row>
    <row r="777" spans="5:5" ht="13" x14ac:dyDescent="0.15">
      <c r="E777" s="3"/>
    </row>
    <row r="778" spans="5:5" ht="13" x14ac:dyDescent="0.15">
      <c r="E778" s="3"/>
    </row>
    <row r="779" spans="5:5" ht="13" x14ac:dyDescent="0.15">
      <c r="E779" s="3"/>
    </row>
    <row r="780" spans="5:5" ht="13" x14ac:dyDescent="0.15">
      <c r="E780" s="3"/>
    </row>
    <row r="781" spans="5:5" ht="13" x14ac:dyDescent="0.15">
      <c r="E781" s="3"/>
    </row>
    <row r="782" spans="5:5" ht="13" x14ac:dyDescent="0.15">
      <c r="E782" s="3"/>
    </row>
    <row r="783" spans="5:5" ht="13" x14ac:dyDescent="0.15">
      <c r="E783" s="3"/>
    </row>
    <row r="784" spans="5:5" ht="13" x14ac:dyDescent="0.15">
      <c r="E784" s="3"/>
    </row>
    <row r="785" spans="5:5" ht="13" x14ac:dyDescent="0.15">
      <c r="E785" s="3"/>
    </row>
    <row r="786" spans="5:5" ht="13" x14ac:dyDescent="0.15">
      <c r="E786" s="3"/>
    </row>
    <row r="787" spans="5:5" ht="13" x14ac:dyDescent="0.15">
      <c r="E787" s="3"/>
    </row>
    <row r="788" spans="5:5" ht="13" x14ac:dyDescent="0.15">
      <c r="E788" s="3"/>
    </row>
    <row r="789" spans="5:5" ht="13" x14ac:dyDescent="0.15">
      <c r="E789" s="3"/>
    </row>
    <row r="790" spans="5:5" ht="13" x14ac:dyDescent="0.15">
      <c r="E790" s="3"/>
    </row>
    <row r="791" spans="5:5" ht="13" x14ac:dyDescent="0.15">
      <c r="E791" s="3"/>
    </row>
    <row r="792" spans="5:5" ht="13" x14ac:dyDescent="0.15">
      <c r="E792" s="3"/>
    </row>
    <row r="793" spans="5:5" ht="13" x14ac:dyDescent="0.15">
      <c r="E793" s="3"/>
    </row>
    <row r="794" spans="5:5" ht="13" x14ac:dyDescent="0.15">
      <c r="E794" s="3"/>
    </row>
    <row r="795" spans="5:5" ht="13" x14ac:dyDescent="0.15">
      <c r="E795" s="3"/>
    </row>
    <row r="796" spans="5:5" ht="13" x14ac:dyDescent="0.15">
      <c r="E796" s="3"/>
    </row>
    <row r="797" spans="5:5" ht="13" x14ac:dyDescent="0.15">
      <c r="E797" s="3"/>
    </row>
    <row r="798" spans="5:5" ht="13" x14ac:dyDescent="0.15">
      <c r="E798" s="3"/>
    </row>
    <row r="799" spans="5:5" ht="13" x14ac:dyDescent="0.15">
      <c r="E799" s="3"/>
    </row>
    <row r="800" spans="5:5" ht="13" x14ac:dyDescent="0.15">
      <c r="E800" s="3"/>
    </row>
    <row r="801" spans="5:5" ht="13" x14ac:dyDescent="0.15">
      <c r="E801" s="3"/>
    </row>
    <row r="802" spans="5:5" ht="13" x14ac:dyDescent="0.15">
      <c r="E802" s="3"/>
    </row>
    <row r="803" spans="5:5" ht="13" x14ac:dyDescent="0.15">
      <c r="E803" s="3"/>
    </row>
    <row r="804" spans="5:5" ht="13" x14ac:dyDescent="0.15">
      <c r="E804" s="3"/>
    </row>
    <row r="805" spans="5:5" ht="13" x14ac:dyDescent="0.15">
      <c r="E805" s="3"/>
    </row>
    <row r="806" spans="5:5" ht="13" x14ac:dyDescent="0.15">
      <c r="E806" s="3"/>
    </row>
    <row r="807" spans="5:5" ht="13" x14ac:dyDescent="0.15">
      <c r="E807" s="3"/>
    </row>
    <row r="808" spans="5:5" ht="13" x14ac:dyDescent="0.15">
      <c r="E808" s="3"/>
    </row>
    <row r="809" spans="5:5" ht="13" x14ac:dyDescent="0.15">
      <c r="E809" s="3"/>
    </row>
    <row r="810" spans="5:5" ht="13" x14ac:dyDescent="0.15">
      <c r="E810" s="3"/>
    </row>
    <row r="811" spans="5:5" ht="13" x14ac:dyDescent="0.15">
      <c r="E811" s="3"/>
    </row>
    <row r="812" spans="5:5" ht="13" x14ac:dyDescent="0.15">
      <c r="E812" s="3"/>
    </row>
    <row r="813" spans="5:5" ht="13" x14ac:dyDescent="0.15">
      <c r="E813" s="3"/>
    </row>
    <row r="814" spans="5:5" ht="13" x14ac:dyDescent="0.15">
      <c r="E814" s="3"/>
    </row>
    <row r="815" spans="5:5" ht="13" x14ac:dyDescent="0.15">
      <c r="E815" s="3"/>
    </row>
    <row r="816" spans="5:5" ht="13" x14ac:dyDescent="0.15">
      <c r="E816" s="3"/>
    </row>
    <row r="817" spans="5:5" ht="13" x14ac:dyDescent="0.15">
      <c r="E817" s="3"/>
    </row>
    <row r="818" spans="5:5" ht="13" x14ac:dyDescent="0.15">
      <c r="E818" s="3"/>
    </row>
    <row r="819" spans="5:5" ht="13" x14ac:dyDescent="0.15">
      <c r="E819" s="3"/>
    </row>
    <row r="820" spans="5:5" ht="13" x14ac:dyDescent="0.15">
      <c r="E820" s="3"/>
    </row>
    <row r="821" spans="5:5" ht="13" x14ac:dyDescent="0.15">
      <c r="E821" s="3"/>
    </row>
    <row r="822" spans="5:5" ht="13" x14ac:dyDescent="0.15">
      <c r="E822" s="3"/>
    </row>
    <row r="823" spans="5:5" ht="13" x14ac:dyDescent="0.15">
      <c r="E823" s="3"/>
    </row>
    <row r="824" spans="5:5" ht="13" x14ac:dyDescent="0.15">
      <c r="E824" s="3"/>
    </row>
    <row r="825" spans="5:5" ht="13" x14ac:dyDescent="0.15">
      <c r="E825" s="3"/>
    </row>
    <row r="826" spans="5:5" ht="13" x14ac:dyDescent="0.15">
      <c r="E826" s="3"/>
    </row>
    <row r="827" spans="5:5" ht="13" x14ac:dyDescent="0.15">
      <c r="E827" s="3"/>
    </row>
    <row r="828" spans="5:5" ht="13" x14ac:dyDescent="0.15">
      <c r="E828" s="3"/>
    </row>
    <row r="829" spans="5:5" ht="13" x14ac:dyDescent="0.15">
      <c r="E829" s="3"/>
    </row>
    <row r="830" spans="5:5" ht="13" x14ac:dyDescent="0.15">
      <c r="E830" s="3"/>
    </row>
    <row r="831" spans="5:5" ht="13" x14ac:dyDescent="0.15">
      <c r="E831" s="3"/>
    </row>
    <row r="832" spans="5:5" ht="13" x14ac:dyDescent="0.15">
      <c r="E832" s="3"/>
    </row>
    <row r="833" spans="5:5" ht="13" x14ac:dyDescent="0.15">
      <c r="E833" s="3"/>
    </row>
    <row r="834" spans="5:5" ht="13" x14ac:dyDescent="0.15">
      <c r="E834" s="3"/>
    </row>
    <row r="835" spans="5:5" ht="13" x14ac:dyDescent="0.15">
      <c r="E835" s="3"/>
    </row>
    <row r="836" spans="5:5" ht="13" x14ac:dyDescent="0.15">
      <c r="E836" s="3"/>
    </row>
    <row r="837" spans="5:5" ht="13" x14ac:dyDescent="0.15">
      <c r="E837" s="3"/>
    </row>
    <row r="838" spans="5:5" ht="13" x14ac:dyDescent="0.15">
      <c r="E838" s="3"/>
    </row>
    <row r="839" spans="5:5" ht="13" x14ac:dyDescent="0.15">
      <c r="E839" s="3"/>
    </row>
    <row r="840" spans="5:5" ht="13" x14ac:dyDescent="0.15">
      <c r="E840" s="3"/>
    </row>
    <row r="841" spans="5:5" ht="13" x14ac:dyDescent="0.15">
      <c r="E841" s="3"/>
    </row>
    <row r="842" spans="5:5" ht="13" x14ac:dyDescent="0.15">
      <c r="E842" s="3"/>
    </row>
    <row r="843" spans="5:5" ht="13" x14ac:dyDescent="0.15">
      <c r="E843" s="3"/>
    </row>
    <row r="844" spans="5:5" ht="13" x14ac:dyDescent="0.15">
      <c r="E844" s="3"/>
    </row>
    <row r="845" spans="5:5" ht="13" x14ac:dyDescent="0.15">
      <c r="E845" s="3"/>
    </row>
    <row r="846" spans="5:5" ht="13" x14ac:dyDescent="0.15">
      <c r="E846" s="3"/>
    </row>
    <row r="847" spans="5:5" ht="13" x14ac:dyDescent="0.15">
      <c r="E847" s="3"/>
    </row>
    <row r="848" spans="5:5" ht="13" x14ac:dyDescent="0.15">
      <c r="E848" s="3"/>
    </row>
    <row r="849" spans="5:5" ht="13" x14ac:dyDescent="0.15">
      <c r="E849" s="3"/>
    </row>
    <row r="850" spans="5:5" ht="13" x14ac:dyDescent="0.15">
      <c r="E850" s="3"/>
    </row>
    <row r="851" spans="5:5" ht="13" x14ac:dyDescent="0.15">
      <c r="E851" s="3"/>
    </row>
    <row r="852" spans="5:5" ht="13" x14ac:dyDescent="0.15">
      <c r="E852" s="3"/>
    </row>
    <row r="853" spans="5:5" ht="13" x14ac:dyDescent="0.15">
      <c r="E853" s="3"/>
    </row>
    <row r="854" spans="5:5" ht="13" x14ac:dyDescent="0.15">
      <c r="E854" s="3"/>
    </row>
    <row r="855" spans="5:5" ht="13" x14ac:dyDescent="0.15">
      <c r="E855" s="3"/>
    </row>
    <row r="856" spans="5:5" ht="13" x14ac:dyDescent="0.15">
      <c r="E856" s="3"/>
    </row>
    <row r="857" spans="5:5" ht="13" x14ac:dyDescent="0.15">
      <c r="E857" s="3"/>
    </row>
    <row r="858" spans="5:5" ht="13" x14ac:dyDescent="0.15">
      <c r="E858" s="3"/>
    </row>
    <row r="859" spans="5:5" ht="13" x14ac:dyDescent="0.15">
      <c r="E859" s="3"/>
    </row>
    <row r="860" spans="5:5" ht="13" x14ac:dyDescent="0.15">
      <c r="E860" s="3"/>
    </row>
    <row r="861" spans="5:5" ht="13" x14ac:dyDescent="0.15">
      <c r="E861" s="3"/>
    </row>
    <row r="862" spans="5:5" ht="13" x14ac:dyDescent="0.15">
      <c r="E862" s="3"/>
    </row>
    <row r="863" spans="5:5" ht="13" x14ac:dyDescent="0.15">
      <c r="E863" s="3"/>
    </row>
    <row r="864" spans="5:5" ht="13" x14ac:dyDescent="0.15">
      <c r="E864" s="3"/>
    </row>
    <row r="865" spans="5:5" ht="13" x14ac:dyDescent="0.15">
      <c r="E865" s="3"/>
    </row>
    <row r="866" spans="5:5" ht="13" x14ac:dyDescent="0.15">
      <c r="E866" s="3"/>
    </row>
    <row r="867" spans="5:5" ht="13" x14ac:dyDescent="0.15">
      <c r="E867" s="3"/>
    </row>
    <row r="868" spans="5:5" ht="13" x14ac:dyDescent="0.15">
      <c r="E868" s="3"/>
    </row>
    <row r="869" spans="5:5" ht="13" x14ac:dyDescent="0.15">
      <c r="E869" s="3"/>
    </row>
    <row r="870" spans="5:5" ht="13" x14ac:dyDescent="0.15">
      <c r="E870" s="3"/>
    </row>
    <row r="871" spans="5:5" ht="13" x14ac:dyDescent="0.15">
      <c r="E871" s="3"/>
    </row>
    <row r="872" spans="5:5" ht="13" x14ac:dyDescent="0.15">
      <c r="E872" s="3"/>
    </row>
    <row r="873" spans="5:5" ht="13" x14ac:dyDescent="0.15">
      <c r="E873" s="3"/>
    </row>
    <row r="874" spans="5:5" ht="13" x14ac:dyDescent="0.15">
      <c r="E874" s="3"/>
    </row>
    <row r="875" spans="5:5" ht="13" x14ac:dyDescent="0.15">
      <c r="E875" s="3"/>
    </row>
    <row r="876" spans="5:5" ht="13" x14ac:dyDescent="0.15">
      <c r="E876" s="3"/>
    </row>
    <row r="877" spans="5:5" ht="13" x14ac:dyDescent="0.15">
      <c r="E877" s="3"/>
    </row>
    <row r="878" spans="5:5" ht="13" x14ac:dyDescent="0.15">
      <c r="E878" s="3"/>
    </row>
    <row r="879" spans="5:5" ht="13" x14ac:dyDescent="0.15">
      <c r="E879" s="3"/>
    </row>
    <row r="880" spans="5:5" ht="13" x14ac:dyDescent="0.15">
      <c r="E880" s="3"/>
    </row>
    <row r="881" spans="5:5" ht="13" x14ac:dyDescent="0.15">
      <c r="E881" s="3"/>
    </row>
    <row r="882" spans="5:5" ht="13" x14ac:dyDescent="0.15">
      <c r="E882" s="3"/>
    </row>
    <row r="883" spans="5:5" ht="13" x14ac:dyDescent="0.15">
      <c r="E883" s="3"/>
    </row>
    <row r="884" spans="5:5" ht="13" x14ac:dyDescent="0.15">
      <c r="E884" s="3"/>
    </row>
    <row r="885" spans="5:5" ht="13" x14ac:dyDescent="0.15">
      <c r="E885" s="3"/>
    </row>
    <row r="886" spans="5:5" ht="13" x14ac:dyDescent="0.15">
      <c r="E886" s="3"/>
    </row>
    <row r="887" spans="5:5" ht="13" x14ac:dyDescent="0.15">
      <c r="E887" s="3"/>
    </row>
    <row r="888" spans="5:5" ht="13" x14ac:dyDescent="0.15">
      <c r="E888" s="3"/>
    </row>
    <row r="889" spans="5:5" ht="13" x14ac:dyDescent="0.15">
      <c r="E889" s="3"/>
    </row>
    <row r="890" spans="5:5" ht="13" x14ac:dyDescent="0.15">
      <c r="E890" s="3"/>
    </row>
    <row r="891" spans="5:5" ht="13" x14ac:dyDescent="0.15">
      <c r="E891" s="3"/>
    </row>
    <row r="892" spans="5:5" ht="13" x14ac:dyDescent="0.15">
      <c r="E892" s="3"/>
    </row>
    <row r="893" spans="5:5" ht="13" x14ac:dyDescent="0.15">
      <c r="E893" s="3"/>
    </row>
    <row r="894" spans="5:5" ht="13" x14ac:dyDescent="0.15">
      <c r="E894" s="3"/>
    </row>
    <row r="895" spans="5:5" ht="13" x14ac:dyDescent="0.15">
      <c r="E895" s="3"/>
    </row>
    <row r="896" spans="5:5" ht="13" x14ac:dyDescent="0.15">
      <c r="E896" s="3"/>
    </row>
    <row r="897" spans="5:5" ht="13" x14ac:dyDescent="0.15">
      <c r="E897" s="3"/>
    </row>
    <row r="898" spans="5:5" ht="13" x14ac:dyDescent="0.15">
      <c r="E898" s="3"/>
    </row>
    <row r="899" spans="5:5" ht="13" x14ac:dyDescent="0.15">
      <c r="E899" s="3"/>
    </row>
    <row r="900" spans="5:5" ht="13" x14ac:dyDescent="0.15">
      <c r="E900" s="3"/>
    </row>
    <row r="901" spans="5:5" ht="13" x14ac:dyDescent="0.15">
      <c r="E901" s="3"/>
    </row>
    <row r="902" spans="5:5" ht="13" x14ac:dyDescent="0.15">
      <c r="E902" s="3"/>
    </row>
    <row r="903" spans="5:5" ht="13" x14ac:dyDescent="0.15">
      <c r="E903" s="3"/>
    </row>
    <row r="904" spans="5:5" ht="13" x14ac:dyDescent="0.15">
      <c r="E904" s="3"/>
    </row>
    <row r="905" spans="5:5" ht="13" x14ac:dyDescent="0.15">
      <c r="E905" s="3"/>
    </row>
    <row r="906" spans="5:5" ht="13" x14ac:dyDescent="0.15">
      <c r="E906" s="3"/>
    </row>
    <row r="907" spans="5:5" ht="13" x14ac:dyDescent="0.15">
      <c r="E907" s="3"/>
    </row>
    <row r="908" spans="5:5" ht="13" x14ac:dyDescent="0.15">
      <c r="E908" s="3"/>
    </row>
    <row r="909" spans="5:5" ht="13" x14ac:dyDescent="0.15">
      <c r="E909" s="3"/>
    </row>
    <row r="910" spans="5:5" ht="13" x14ac:dyDescent="0.15">
      <c r="E910" s="3"/>
    </row>
    <row r="911" spans="5:5" ht="13" x14ac:dyDescent="0.15">
      <c r="E911" s="3"/>
    </row>
    <row r="912" spans="5:5" ht="13" x14ac:dyDescent="0.15">
      <c r="E912" s="3"/>
    </row>
    <row r="913" spans="5:5" ht="13" x14ac:dyDescent="0.15">
      <c r="E913" s="3"/>
    </row>
    <row r="914" spans="5:5" ht="13" x14ac:dyDescent="0.15">
      <c r="E914" s="3"/>
    </row>
    <row r="915" spans="5:5" ht="13" x14ac:dyDescent="0.15">
      <c r="E915" s="3"/>
    </row>
    <row r="916" spans="5:5" ht="13" x14ac:dyDescent="0.15">
      <c r="E916" s="3"/>
    </row>
    <row r="917" spans="5:5" ht="13" x14ac:dyDescent="0.15">
      <c r="E917" s="3"/>
    </row>
    <row r="918" spans="5:5" ht="13" x14ac:dyDescent="0.15">
      <c r="E918" s="3"/>
    </row>
    <row r="919" spans="5:5" ht="13" x14ac:dyDescent="0.15">
      <c r="E919" s="3"/>
    </row>
    <row r="920" spans="5:5" ht="13" x14ac:dyDescent="0.15">
      <c r="E920" s="3"/>
    </row>
    <row r="921" spans="5:5" ht="13" x14ac:dyDescent="0.15">
      <c r="E921" s="3"/>
    </row>
    <row r="922" spans="5:5" ht="13" x14ac:dyDescent="0.15">
      <c r="E922" s="3"/>
    </row>
    <row r="923" spans="5:5" ht="13" x14ac:dyDescent="0.15">
      <c r="E923" s="3"/>
    </row>
    <row r="924" spans="5:5" ht="13" x14ac:dyDescent="0.15">
      <c r="E924" s="3"/>
    </row>
    <row r="925" spans="5:5" ht="13" x14ac:dyDescent="0.15">
      <c r="E925" s="3"/>
    </row>
    <row r="926" spans="5:5" ht="13" x14ac:dyDescent="0.15">
      <c r="E926" s="3"/>
    </row>
    <row r="927" spans="5:5" ht="13" x14ac:dyDescent="0.15">
      <c r="E927" s="3"/>
    </row>
    <row r="928" spans="5:5" ht="13" x14ac:dyDescent="0.15">
      <c r="E928" s="3"/>
    </row>
    <row r="929" spans="5:5" ht="13" x14ac:dyDescent="0.15">
      <c r="E929" s="3"/>
    </row>
    <row r="930" spans="5:5" ht="13" x14ac:dyDescent="0.15">
      <c r="E930" s="3"/>
    </row>
    <row r="931" spans="5:5" ht="13" x14ac:dyDescent="0.15">
      <c r="E931" s="3"/>
    </row>
    <row r="932" spans="5:5" ht="13" x14ac:dyDescent="0.15">
      <c r="E932" s="3"/>
    </row>
    <row r="933" spans="5:5" ht="13" x14ac:dyDescent="0.15">
      <c r="E933" s="3"/>
    </row>
    <row r="934" spans="5:5" ht="13" x14ac:dyDescent="0.15">
      <c r="E934" s="3"/>
    </row>
    <row r="935" spans="5:5" ht="13" x14ac:dyDescent="0.15">
      <c r="E935" s="3"/>
    </row>
    <row r="936" spans="5:5" ht="13" x14ac:dyDescent="0.15">
      <c r="E936" s="3"/>
    </row>
    <row r="937" spans="5:5" ht="13" x14ac:dyDescent="0.15">
      <c r="E937" s="3"/>
    </row>
    <row r="938" spans="5:5" ht="13" x14ac:dyDescent="0.15">
      <c r="E938" s="3"/>
    </row>
    <row r="939" spans="5:5" ht="13" x14ac:dyDescent="0.15">
      <c r="E939" s="3"/>
    </row>
    <row r="940" spans="5:5" ht="13" x14ac:dyDescent="0.15">
      <c r="E940" s="3"/>
    </row>
    <row r="941" spans="5:5" ht="13" x14ac:dyDescent="0.15">
      <c r="E941" s="3"/>
    </row>
    <row r="942" spans="5:5" ht="13" x14ac:dyDescent="0.15">
      <c r="E942" s="3"/>
    </row>
    <row r="943" spans="5:5" ht="13" x14ac:dyDescent="0.15">
      <c r="E943" s="3"/>
    </row>
    <row r="944" spans="5:5" ht="13" x14ac:dyDescent="0.15">
      <c r="E944" s="3"/>
    </row>
    <row r="945" spans="5:5" ht="13" x14ac:dyDescent="0.15">
      <c r="E945" s="3"/>
    </row>
    <row r="946" spans="5:5" ht="13" x14ac:dyDescent="0.15">
      <c r="E946" s="3"/>
    </row>
    <row r="947" spans="5:5" ht="13" x14ac:dyDescent="0.15">
      <c r="E947" s="3"/>
    </row>
    <row r="948" spans="5:5" ht="13" x14ac:dyDescent="0.15">
      <c r="E948" s="3"/>
    </row>
    <row r="949" spans="5:5" ht="13" x14ac:dyDescent="0.15">
      <c r="E949" s="3"/>
    </row>
    <row r="950" spans="5:5" ht="13" x14ac:dyDescent="0.15">
      <c r="E950" s="3"/>
    </row>
    <row r="951" spans="5:5" ht="13" x14ac:dyDescent="0.15">
      <c r="E951" s="3"/>
    </row>
    <row r="952" spans="5:5" ht="13" x14ac:dyDescent="0.15">
      <c r="E952" s="3"/>
    </row>
    <row r="953" spans="5:5" ht="13" x14ac:dyDescent="0.15">
      <c r="E953" s="3"/>
    </row>
    <row r="954" spans="5:5" ht="13" x14ac:dyDescent="0.15">
      <c r="E954" s="3"/>
    </row>
    <row r="955" spans="5:5" ht="13" x14ac:dyDescent="0.15">
      <c r="E955" s="3"/>
    </row>
    <row r="956" spans="5:5" ht="13" x14ac:dyDescent="0.15">
      <c r="E956" s="3"/>
    </row>
    <row r="957" spans="5:5" ht="13" x14ac:dyDescent="0.15">
      <c r="E957" s="3"/>
    </row>
    <row r="958" spans="5:5" ht="13" x14ac:dyDescent="0.15">
      <c r="E958" s="3"/>
    </row>
    <row r="959" spans="5:5" ht="13" x14ac:dyDescent="0.15">
      <c r="E959" s="3"/>
    </row>
    <row r="960" spans="5:5" ht="13" x14ac:dyDescent="0.15">
      <c r="E960" s="3"/>
    </row>
    <row r="961" spans="5:5" ht="13" x14ac:dyDescent="0.15">
      <c r="E961" s="3"/>
    </row>
    <row r="962" spans="5:5" ht="13" x14ac:dyDescent="0.15">
      <c r="E962" s="3"/>
    </row>
    <row r="963" spans="5:5" ht="13" x14ac:dyDescent="0.15">
      <c r="E963" s="3"/>
    </row>
    <row r="964" spans="5:5" ht="13" x14ac:dyDescent="0.15">
      <c r="E964" s="3"/>
    </row>
    <row r="965" spans="5:5" ht="13" x14ac:dyDescent="0.15">
      <c r="E965" s="3"/>
    </row>
    <row r="966" spans="5:5" ht="13" x14ac:dyDescent="0.15">
      <c r="E966" s="3"/>
    </row>
    <row r="967" spans="5:5" ht="13" x14ac:dyDescent="0.15">
      <c r="E967" s="3"/>
    </row>
    <row r="968" spans="5:5" ht="13" x14ac:dyDescent="0.15">
      <c r="E968" s="3"/>
    </row>
    <row r="969" spans="5:5" ht="13" x14ac:dyDescent="0.15">
      <c r="E969" s="3"/>
    </row>
    <row r="970" spans="5:5" ht="13" x14ac:dyDescent="0.15">
      <c r="E970" s="3"/>
    </row>
    <row r="971" spans="5:5" ht="13" x14ac:dyDescent="0.15">
      <c r="E971" s="3"/>
    </row>
    <row r="972" spans="5:5" ht="13" x14ac:dyDescent="0.15">
      <c r="E972" s="3"/>
    </row>
    <row r="973" spans="5:5" ht="13" x14ac:dyDescent="0.15">
      <c r="E973" s="3"/>
    </row>
    <row r="974" spans="5:5" ht="13" x14ac:dyDescent="0.15">
      <c r="E974" s="3"/>
    </row>
    <row r="975" spans="5:5" ht="13" x14ac:dyDescent="0.15">
      <c r="E975" s="3"/>
    </row>
    <row r="976" spans="5:5" ht="13" x14ac:dyDescent="0.15">
      <c r="E976" s="3"/>
    </row>
    <row r="977" spans="5:5" ht="13" x14ac:dyDescent="0.15">
      <c r="E977" s="3"/>
    </row>
    <row r="978" spans="5:5" ht="13" x14ac:dyDescent="0.15">
      <c r="E978" s="3"/>
    </row>
    <row r="979" spans="5:5" ht="13" x14ac:dyDescent="0.15">
      <c r="E979" s="3"/>
    </row>
    <row r="980" spans="5:5" ht="13" x14ac:dyDescent="0.15">
      <c r="E980" s="3"/>
    </row>
    <row r="981" spans="5:5" ht="13" x14ac:dyDescent="0.15">
      <c r="E981" s="3"/>
    </row>
    <row r="982" spans="5:5" ht="13" x14ac:dyDescent="0.15">
      <c r="E982" s="3"/>
    </row>
    <row r="983" spans="5:5" ht="13" x14ac:dyDescent="0.15">
      <c r="E983" s="3"/>
    </row>
    <row r="984" spans="5:5" ht="13" x14ac:dyDescent="0.15">
      <c r="E984" s="3"/>
    </row>
    <row r="985" spans="5:5" ht="13" x14ac:dyDescent="0.15">
      <c r="E985" s="3"/>
    </row>
    <row r="986" spans="5:5" ht="13" x14ac:dyDescent="0.15">
      <c r="E986" s="3"/>
    </row>
    <row r="987" spans="5:5" ht="13" x14ac:dyDescent="0.15">
      <c r="E987" s="3"/>
    </row>
    <row r="988" spans="5:5" ht="13" x14ac:dyDescent="0.15">
      <c r="E988" s="3"/>
    </row>
    <row r="989" spans="5:5" ht="13" x14ac:dyDescent="0.15">
      <c r="E98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8"/>
  <sheetViews>
    <sheetView workbookViewId="0">
      <selection activeCell="L15" sqref="L15"/>
    </sheetView>
  </sheetViews>
  <sheetFormatPr baseColWidth="10" defaultColWidth="14.5" defaultRowHeight="15.75" customHeight="1" x14ac:dyDescent="0.15"/>
  <cols>
    <col min="1" max="1" width="6.33203125" customWidth="1"/>
    <col min="2" max="2" width="15.1640625" customWidth="1"/>
    <col min="3" max="5" width="10.83203125" customWidth="1"/>
    <col min="6" max="14" width="4.83203125" customWidth="1"/>
    <col min="15" max="15" width="10.83203125" customWidth="1"/>
    <col min="16" max="19" width="8.6640625" customWidth="1"/>
  </cols>
  <sheetData>
    <row r="1" spans="1:19" ht="12.75" customHeight="1" x14ac:dyDescent="0.15">
      <c r="A1" s="9" t="s">
        <v>94</v>
      </c>
      <c r="B1" s="10" t="s">
        <v>95</v>
      </c>
      <c r="C1" s="9" t="s">
        <v>96</v>
      </c>
      <c r="D1" s="9" t="s">
        <v>97</v>
      </c>
      <c r="E1" s="9" t="s">
        <v>98</v>
      </c>
      <c r="F1" s="11" t="s">
        <v>99</v>
      </c>
      <c r="G1" s="11" t="s">
        <v>100</v>
      </c>
      <c r="H1" s="11" t="s">
        <v>101</v>
      </c>
      <c r="I1" s="11" t="s">
        <v>102</v>
      </c>
      <c r="J1" s="11" t="s">
        <v>103</v>
      </c>
      <c r="K1" s="11" t="s">
        <v>104</v>
      </c>
      <c r="L1" s="11" t="s">
        <v>105</v>
      </c>
      <c r="M1" s="11" t="s">
        <v>106</v>
      </c>
      <c r="N1" s="11" t="s">
        <v>107</v>
      </c>
      <c r="O1" s="12" t="s">
        <v>108</v>
      </c>
      <c r="P1" s="13"/>
      <c r="Q1" s="13"/>
      <c r="R1" s="13"/>
      <c r="S1" s="13"/>
    </row>
    <row r="2" spans="1:19" ht="12.75" customHeight="1" x14ac:dyDescent="0.15">
      <c r="A2" s="13"/>
      <c r="B2" s="13"/>
      <c r="C2" s="14">
        <v>20</v>
      </c>
      <c r="D2" s="24" t="s">
        <v>98</v>
      </c>
      <c r="E2" s="25"/>
      <c r="F2" s="15">
        <v>1</v>
      </c>
      <c r="G2" s="15">
        <v>8</v>
      </c>
      <c r="H2" s="15">
        <v>6</v>
      </c>
      <c r="I2" s="15">
        <v>10</v>
      </c>
      <c r="J2" s="15">
        <v>12</v>
      </c>
      <c r="K2" s="15">
        <v>40</v>
      </c>
      <c r="L2" s="15">
        <v>60</v>
      </c>
      <c r="M2" s="15">
        <v>6</v>
      </c>
      <c r="N2" s="15">
        <v>18</v>
      </c>
      <c r="O2" s="13"/>
      <c r="P2" s="13"/>
      <c r="Q2" s="13"/>
      <c r="R2" s="13"/>
      <c r="S2" s="13"/>
    </row>
    <row r="3" spans="1:19" ht="12.75" customHeight="1" x14ac:dyDescent="0.15">
      <c r="A3" s="13"/>
      <c r="B3" s="13"/>
      <c r="C3" s="14">
        <f>AVERAGE(C7:C69)</f>
        <v>16.00793650793651</v>
      </c>
      <c r="D3" s="24" t="s">
        <v>109</v>
      </c>
      <c r="E3" s="25"/>
      <c r="F3" s="16">
        <f t="shared" ref="F3:N3" si="0">AVERAGE(F7:F69)/F2</f>
        <v>0.61904761904761907</v>
      </c>
      <c r="G3" s="16">
        <f t="shared" si="0"/>
        <v>0.63293650793650791</v>
      </c>
      <c r="H3" s="16">
        <f t="shared" si="0"/>
        <v>0.90211640211640221</v>
      </c>
      <c r="I3" s="16">
        <f t="shared" si="0"/>
        <v>0.56031746031746033</v>
      </c>
      <c r="J3" s="16">
        <f t="shared" si="0"/>
        <v>0.81481481481481488</v>
      </c>
      <c r="K3" s="16">
        <f t="shared" si="0"/>
        <v>0.8214285714285714</v>
      </c>
      <c r="L3" s="16">
        <f t="shared" si="0"/>
        <v>0.88677248677248677</v>
      </c>
      <c r="M3" s="16">
        <f t="shared" si="0"/>
        <v>0.53968253968253965</v>
      </c>
      <c r="N3" s="16">
        <f t="shared" si="0"/>
        <v>0.8306878306878307</v>
      </c>
      <c r="O3" s="13"/>
      <c r="P3" s="13"/>
      <c r="Q3" s="13"/>
      <c r="R3" s="13"/>
      <c r="S3" s="13"/>
    </row>
    <row r="4" spans="1:19" ht="12.75" customHeight="1" x14ac:dyDescent="0.15">
      <c r="A4" s="17"/>
      <c r="B4" s="18" t="s">
        <v>110</v>
      </c>
      <c r="C4" s="19" t="s">
        <v>111</v>
      </c>
      <c r="D4" s="20">
        <f>SUM(A4)</f>
        <v>0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13"/>
      <c r="Q4" s="13"/>
      <c r="R4" s="13"/>
      <c r="S4" s="13"/>
    </row>
    <row r="5" spans="1:19" ht="12.75" customHeight="1" x14ac:dyDescent="0.15">
      <c r="A5" s="17"/>
      <c r="B5" s="18" t="s">
        <v>112</v>
      </c>
      <c r="C5" s="19" t="s">
        <v>111</v>
      </c>
      <c r="D5" s="20">
        <f>SUM(A5)</f>
        <v>0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1"/>
      <c r="P5" s="13"/>
      <c r="Q5" s="13"/>
      <c r="R5" s="13"/>
      <c r="S5" s="13"/>
    </row>
    <row r="6" spans="1:19" ht="12.75" customHeight="1" x14ac:dyDescent="0.15">
      <c r="A6" s="17"/>
      <c r="B6" s="18" t="s">
        <v>113</v>
      </c>
      <c r="C6" s="19" t="s">
        <v>111</v>
      </c>
      <c r="D6" s="20">
        <f>SUM(A6)</f>
        <v>0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1"/>
      <c r="P6" s="13"/>
      <c r="Q6" s="13"/>
      <c r="R6" s="13"/>
      <c r="S6" s="13"/>
    </row>
    <row r="7" spans="1:19" ht="12.75" customHeight="1" x14ac:dyDescent="0.15">
      <c r="A7" s="17" t="s">
        <v>114</v>
      </c>
      <c r="B7" s="18" t="s">
        <v>115</v>
      </c>
      <c r="C7" s="14">
        <f t="shared" ref="C7:C69" si="1">IF($C$2&gt;0,MIN($C$2,ROUNDDOWN(D7/E7*$C$2/0.5,0)*0.5),ROUNDDOWN(D7/0.5,0)*0.5)</f>
        <v>5.5</v>
      </c>
      <c r="D7" s="15">
        <f t="shared" ref="D7:D69" si="2">SUM(F7:N7)</f>
        <v>46</v>
      </c>
      <c r="E7" s="15">
        <v>161</v>
      </c>
      <c r="F7" s="22">
        <v>0</v>
      </c>
      <c r="G7" s="15">
        <v>8</v>
      </c>
      <c r="H7" s="22">
        <v>0</v>
      </c>
      <c r="I7" s="22">
        <v>0</v>
      </c>
      <c r="J7" s="22">
        <v>0</v>
      </c>
      <c r="K7" s="15">
        <v>32</v>
      </c>
      <c r="L7" s="15">
        <v>0</v>
      </c>
      <c r="M7" s="22">
        <v>0</v>
      </c>
      <c r="N7" s="15">
        <v>6</v>
      </c>
      <c r="O7" s="21" t="s">
        <v>116</v>
      </c>
      <c r="P7" s="13"/>
      <c r="Q7" s="13"/>
      <c r="R7" s="13"/>
      <c r="S7" s="13"/>
    </row>
    <row r="8" spans="1:19" ht="12.75" customHeight="1" x14ac:dyDescent="0.15">
      <c r="A8" s="17" t="s">
        <v>118</v>
      </c>
      <c r="B8" s="18" t="s">
        <v>119</v>
      </c>
      <c r="C8" s="14">
        <f t="shared" si="1"/>
        <v>8.5</v>
      </c>
      <c r="D8" s="15">
        <f t="shared" si="2"/>
        <v>71</v>
      </c>
      <c r="E8" s="15">
        <v>161</v>
      </c>
      <c r="F8" s="15">
        <v>0</v>
      </c>
      <c r="G8" s="15">
        <v>0</v>
      </c>
      <c r="H8" s="15">
        <v>2</v>
      </c>
      <c r="I8" s="15">
        <v>10</v>
      </c>
      <c r="J8" s="15">
        <v>0</v>
      </c>
      <c r="K8" s="15">
        <v>4</v>
      </c>
      <c r="L8" s="15">
        <v>43</v>
      </c>
      <c r="M8" s="15">
        <v>0</v>
      </c>
      <c r="N8" s="15">
        <v>12</v>
      </c>
      <c r="O8" s="21" t="s">
        <v>120</v>
      </c>
      <c r="P8" s="13"/>
      <c r="Q8" s="13"/>
      <c r="R8" s="13"/>
      <c r="S8" s="13"/>
    </row>
    <row r="9" spans="1:19" ht="12.75" customHeight="1" x14ac:dyDescent="0.15">
      <c r="A9" s="17" t="s">
        <v>122</v>
      </c>
      <c r="B9" s="18" t="s">
        <v>123</v>
      </c>
      <c r="C9" s="14">
        <f t="shared" si="1"/>
        <v>9</v>
      </c>
      <c r="D9" s="15">
        <f t="shared" si="2"/>
        <v>75</v>
      </c>
      <c r="E9" s="15">
        <v>161</v>
      </c>
      <c r="F9" s="15">
        <v>1</v>
      </c>
      <c r="G9" s="15">
        <v>3</v>
      </c>
      <c r="H9" s="15">
        <v>6</v>
      </c>
      <c r="I9" s="15">
        <v>5</v>
      </c>
      <c r="J9" s="15">
        <v>3</v>
      </c>
      <c r="K9" s="15">
        <v>31</v>
      </c>
      <c r="L9" s="15">
        <v>11</v>
      </c>
      <c r="M9" s="15">
        <v>3</v>
      </c>
      <c r="N9" s="15">
        <v>12</v>
      </c>
      <c r="O9" s="21" t="s">
        <v>124</v>
      </c>
      <c r="P9" s="13"/>
      <c r="Q9" s="13"/>
      <c r="R9" s="13"/>
      <c r="S9" s="13"/>
    </row>
    <row r="10" spans="1:19" ht="12.75" customHeight="1" x14ac:dyDescent="0.15">
      <c r="A10" s="17" t="s">
        <v>125</v>
      </c>
      <c r="B10" s="18" t="s">
        <v>117</v>
      </c>
      <c r="C10" s="14">
        <f t="shared" si="1"/>
        <v>10</v>
      </c>
      <c r="D10" s="15">
        <f t="shared" si="2"/>
        <v>84</v>
      </c>
      <c r="E10" s="15">
        <v>161</v>
      </c>
      <c r="F10" s="15">
        <v>1</v>
      </c>
      <c r="G10" s="15">
        <v>3</v>
      </c>
      <c r="H10" s="15">
        <v>6</v>
      </c>
      <c r="I10" s="15">
        <v>10</v>
      </c>
      <c r="J10" s="15">
        <v>8</v>
      </c>
      <c r="K10" s="15">
        <v>13</v>
      </c>
      <c r="L10" s="15">
        <v>23</v>
      </c>
      <c r="M10" s="15">
        <v>3</v>
      </c>
      <c r="N10" s="15">
        <v>17</v>
      </c>
      <c r="O10" s="21" t="s">
        <v>117</v>
      </c>
      <c r="P10" s="13"/>
      <c r="Q10" s="13"/>
      <c r="R10" s="13"/>
      <c r="S10" s="13"/>
    </row>
    <row r="11" spans="1:19" ht="12.75" customHeight="1" x14ac:dyDescent="0.15">
      <c r="A11" s="17" t="s">
        <v>127</v>
      </c>
      <c r="B11" s="18" t="s">
        <v>128</v>
      </c>
      <c r="C11" s="14">
        <f t="shared" si="1"/>
        <v>11.5</v>
      </c>
      <c r="D11" s="15">
        <f t="shared" si="2"/>
        <v>96</v>
      </c>
      <c r="E11" s="15">
        <v>161</v>
      </c>
      <c r="F11" s="15">
        <v>0</v>
      </c>
      <c r="G11" s="22">
        <v>0</v>
      </c>
      <c r="H11" s="15">
        <v>3</v>
      </c>
      <c r="I11" s="15">
        <v>0</v>
      </c>
      <c r="J11" s="15">
        <v>8</v>
      </c>
      <c r="K11" s="15">
        <v>22</v>
      </c>
      <c r="L11" s="15">
        <v>48</v>
      </c>
      <c r="M11" s="15">
        <v>3</v>
      </c>
      <c r="N11" s="15">
        <v>12</v>
      </c>
      <c r="O11" s="21" t="s">
        <v>130</v>
      </c>
      <c r="P11" s="13"/>
      <c r="Q11" s="13"/>
      <c r="R11" s="13"/>
      <c r="S11" s="13"/>
    </row>
    <row r="12" spans="1:19" ht="12.75" customHeight="1" x14ac:dyDescent="0.15">
      <c r="A12" s="17" t="s">
        <v>131</v>
      </c>
      <c r="B12" s="18" t="s">
        <v>132</v>
      </c>
      <c r="C12" s="14">
        <f t="shared" si="1"/>
        <v>13</v>
      </c>
      <c r="D12" s="15">
        <f t="shared" si="2"/>
        <v>105</v>
      </c>
      <c r="E12" s="15">
        <v>161</v>
      </c>
      <c r="F12" s="15">
        <v>0</v>
      </c>
      <c r="G12" s="15">
        <v>4</v>
      </c>
      <c r="H12" s="15">
        <v>6</v>
      </c>
      <c r="I12" s="15">
        <v>4</v>
      </c>
      <c r="J12" s="15">
        <v>12</v>
      </c>
      <c r="K12" s="15">
        <v>30</v>
      </c>
      <c r="L12" s="15">
        <v>31</v>
      </c>
      <c r="M12" s="15">
        <v>6</v>
      </c>
      <c r="N12" s="15">
        <v>12</v>
      </c>
      <c r="O12" s="21" t="s">
        <v>134</v>
      </c>
      <c r="P12" s="13"/>
      <c r="Q12" s="13"/>
      <c r="R12" s="13"/>
      <c r="S12" s="13"/>
    </row>
    <row r="13" spans="1:19" ht="12.75" customHeight="1" x14ac:dyDescent="0.15">
      <c r="A13" s="17" t="s">
        <v>135</v>
      </c>
      <c r="B13" s="18" t="s">
        <v>136</v>
      </c>
      <c r="C13" s="14">
        <f t="shared" si="1"/>
        <v>13.5</v>
      </c>
      <c r="D13" s="15">
        <f t="shared" si="2"/>
        <v>111</v>
      </c>
      <c r="E13" s="15">
        <v>161</v>
      </c>
      <c r="F13" s="15">
        <v>1</v>
      </c>
      <c r="G13" s="15">
        <v>3</v>
      </c>
      <c r="H13" s="15">
        <v>6</v>
      </c>
      <c r="I13" s="15">
        <v>10</v>
      </c>
      <c r="J13" s="15">
        <v>12</v>
      </c>
      <c r="K13" s="15">
        <v>12</v>
      </c>
      <c r="L13" s="15">
        <v>46</v>
      </c>
      <c r="M13" s="15">
        <v>4</v>
      </c>
      <c r="N13" s="15">
        <v>17</v>
      </c>
      <c r="O13" s="21" t="s">
        <v>136</v>
      </c>
      <c r="P13" s="13"/>
      <c r="Q13" s="13"/>
      <c r="R13" s="13"/>
      <c r="S13" s="13"/>
    </row>
    <row r="14" spans="1:19" ht="12.75" customHeight="1" x14ac:dyDescent="0.15">
      <c r="A14" s="17" t="s">
        <v>138</v>
      </c>
      <c r="B14" s="18" t="s">
        <v>121</v>
      </c>
      <c r="C14" s="14">
        <f t="shared" si="1"/>
        <v>13.5</v>
      </c>
      <c r="D14" s="15">
        <f t="shared" si="2"/>
        <v>110</v>
      </c>
      <c r="E14" s="15">
        <v>161</v>
      </c>
      <c r="F14" s="15">
        <v>0</v>
      </c>
      <c r="G14" s="15">
        <v>0</v>
      </c>
      <c r="H14" s="15">
        <v>0</v>
      </c>
      <c r="I14" s="15">
        <v>4</v>
      </c>
      <c r="J14" s="15">
        <v>3</v>
      </c>
      <c r="K14" s="15">
        <v>31</v>
      </c>
      <c r="L14" s="15">
        <v>60</v>
      </c>
      <c r="M14" s="15">
        <v>0</v>
      </c>
      <c r="N14" s="15">
        <v>12</v>
      </c>
      <c r="O14" s="21" t="s">
        <v>140</v>
      </c>
      <c r="P14" s="13"/>
      <c r="Q14" s="13"/>
      <c r="R14" s="13"/>
      <c r="S14" s="13"/>
    </row>
    <row r="15" spans="1:19" ht="12.75" customHeight="1" x14ac:dyDescent="0.15">
      <c r="A15" s="17" t="s">
        <v>141</v>
      </c>
      <c r="B15" s="18" t="s">
        <v>142</v>
      </c>
      <c r="C15" s="14">
        <f t="shared" si="1"/>
        <v>14</v>
      </c>
      <c r="D15" s="15">
        <f t="shared" si="2"/>
        <v>113</v>
      </c>
      <c r="E15" s="15">
        <v>161</v>
      </c>
      <c r="F15" s="22">
        <v>0</v>
      </c>
      <c r="G15" s="15">
        <v>3</v>
      </c>
      <c r="H15" s="15">
        <v>6</v>
      </c>
      <c r="I15" s="15">
        <v>5</v>
      </c>
      <c r="J15" s="15">
        <v>8</v>
      </c>
      <c r="K15" s="15">
        <v>21</v>
      </c>
      <c r="L15" s="15">
        <v>56</v>
      </c>
      <c r="M15" s="15">
        <v>3</v>
      </c>
      <c r="N15" s="15">
        <v>11</v>
      </c>
      <c r="O15" s="21" t="s">
        <v>142</v>
      </c>
      <c r="P15" s="13"/>
      <c r="Q15" s="13"/>
      <c r="R15" s="13"/>
      <c r="S15" s="13"/>
    </row>
    <row r="16" spans="1:19" ht="12.75" customHeight="1" x14ac:dyDescent="0.15">
      <c r="A16" s="17" t="s">
        <v>143</v>
      </c>
      <c r="B16" s="18" t="s">
        <v>144</v>
      </c>
      <c r="C16" s="14">
        <f t="shared" si="1"/>
        <v>14</v>
      </c>
      <c r="D16" s="15">
        <f t="shared" si="2"/>
        <v>115</v>
      </c>
      <c r="E16" s="15">
        <v>161</v>
      </c>
      <c r="F16" s="23">
        <v>0</v>
      </c>
      <c r="G16" s="15">
        <v>4</v>
      </c>
      <c r="H16" s="15">
        <v>6</v>
      </c>
      <c r="I16" s="15">
        <v>5</v>
      </c>
      <c r="J16" s="15">
        <v>8</v>
      </c>
      <c r="K16" s="15">
        <v>31</v>
      </c>
      <c r="L16" s="15">
        <v>47</v>
      </c>
      <c r="M16" s="15">
        <v>3</v>
      </c>
      <c r="N16" s="15">
        <v>11</v>
      </c>
      <c r="O16" s="21" t="s">
        <v>144</v>
      </c>
      <c r="P16" s="13"/>
      <c r="Q16" s="13"/>
      <c r="R16" s="13"/>
      <c r="S16" s="13"/>
    </row>
    <row r="17" spans="1:19" ht="12.75" customHeight="1" x14ac:dyDescent="0.15">
      <c r="A17" s="17" t="s">
        <v>145</v>
      </c>
      <c r="B17" s="18" t="s">
        <v>146</v>
      </c>
      <c r="C17" s="14">
        <f t="shared" si="1"/>
        <v>14.5</v>
      </c>
      <c r="D17" s="15">
        <f t="shared" si="2"/>
        <v>120</v>
      </c>
      <c r="E17" s="15">
        <v>161</v>
      </c>
      <c r="F17" s="15">
        <v>0</v>
      </c>
      <c r="G17" s="15">
        <v>4</v>
      </c>
      <c r="H17" s="15">
        <v>6</v>
      </c>
      <c r="I17" s="15">
        <v>10</v>
      </c>
      <c r="J17" s="15">
        <v>12</v>
      </c>
      <c r="K17" s="15">
        <v>32</v>
      </c>
      <c r="L17" s="15">
        <v>35</v>
      </c>
      <c r="M17" s="15">
        <v>3</v>
      </c>
      <c r="N17" s="15">
        <v>18</v>
      </c>
      <c r="O17" s="21" t="s">
        <v>146</v>
      </c>
      <c r="P17" s="13"/>
      <c r="Q17" s="13"/>
      <c r="R17" s="13"/>
      <c r="S17" s="13"/>
    </row>
    <row r="18" spans="1:19" ht="12.75" customHeight="1" x14ac:dyDescent="0.15">
      <c r="A18" s="17" t="s">
        <v>149</v>
      </c>
      <c r="B18" s="18" t="s">
        <v>150</v>
      </c>
      <c r="C18" s="14">
        <f t="shared" si="1"/>
        <v>14.5</v>
      </c>
      <c r="D18" s="15">
        <f t="shared" si="2"/>
        <v>117</v>
      </c>
      <c r="E18" s="15">
        <v>161</v>
      </c>
      <c r="F18" s="15">
        <v>1</v>
      </c>
      <c r="G18" s="15">
        <v>8</v>
      </c>
      <c r="H18" s="15">
        <v>6</v>
      </c>
      <c r="I18" s="15">
        <v>4</v>
      </c>
      <c r="J18" s="15">
        <v>12</v>
      </c>
      <c r="K18" s="15">
        <v>15</v>
      </c>
      <c r="L18" s="15">
        <v>48</v>
      </c>
      <c r="M18" s="15">
        <v>6</v>
      </c>
      <c r="N18" s="15">
        <v>17</v>
      </c>
      <c r="O18" s="21" t="s">
        <v>150</v>
      </c>
      <c r="P18" s="13"/>
      <c r="Q18" s="13"/>
      <c r="R18" s="13"/>
      <c r="S18" s="13"/>
    </row>
    <row r="19" spans="1:19" ht="12.75" customHeight="1" x14ac:dyDescent="0.15">
      <c r="A19" s="17" t="s">
        <v>152</v>
      </c>
      <c r="B19" s="18" t="s">
        <v>153</v>
      </c>
      <c r="C19" s="14">
        <f t="shared" si="1"/>
        <v>14.5</v>
      </c>
      <c r="D19" s="15">
        <f t="shared" si="2"/>
        <v>118</v>
      </c>
      <c r="E19" s="15">
        <v>161</v>
      </c>
      <c r="F19" s="15">
        <v>1</v>
      </c>
      <c r="G19" s="15">
        <v>8</v>
      </c>
      <c r="H19" s="15">
        <v>6</v>
      </c>
      <c r="I19" s="15">
        <v>0</v>
      </c>
      <c r="J19" s="15">
        <v>12</v>
      </c>
      <c r="K19" s="15">
        <v>16</v>
      </c>
      <c r="L19" s="15">
        <v>60</v>
      </c>
      <c r="M19" s="15">
        <v>3</v>
      </c>
      <c r="N19" s="15">
        <v>12</v>
      </c>
      <c r="O19" s="21" t="s">
        <v>155</v>
      </c>
      <c r="P19" s="13"/>
      <c r="Q19" s="13"/>
      <c r="R19" s="13"/>
      <c r="S19" s="13"/>
    </row>
    <row r="20" spans="1:19" ht="12.75" customHeight="1" x14ac:dyDescent="0.15">
      <c r="A20" s="17" t="s">
        <v>156</v>
      </c>
      <c r="B20" s="18" t="s">
        <v>157</v>
      </c>
      <c r="C20" s="14">
        <f t="shared" si="1"/>
        <v>14.5</v>
      </c>
      <c r="D20" s="15">
        <f t="shared" si="2"/>
        <v>118</v>
      </c>
      <c r="E20" s="15">
        <v>161</v>
      </c>
      <c r="F20" s="15">
        <v>1</v>
      </c>
      <c r="G20" s="15">
        <v>8</v>
      </c>
      <c r="H20" s="15">
        <v>6</v>
      </c>
      <c r="I20" s="15">
        <v>5</v>
      </c>
      <c r="J20" s="15">
        <v>0</v>
      </c>
      <c r="K20" s="15">
        <v>29</v>
      </c>
      <c r="L20" s="15">
        <v>54</v>
      </c>
      <c r="M20" s="15">
        <v>3</v>
      </c>
      <c r="N20" s="15">
        <v>12</v>
      </c>
      <c r="O20" s="21" t="s">
        <v>160</v>
      </c>
      <c r="P20" s="13"/>
      <c r="Q20" s="13"/>
      <c r="R20" s="13"/>
      <c r="S20" s="13"/>
    </row>
    <row r="21" spans="1:19" ht="12.75" customHeight="1" x14ac:dyDescent="0.15">
      <c r="A21" s="17" t="s">
        <v>161</v>
      </c>
      <c r="B21" s="18" t="s">
        <v>159</v>
      </c>
      <c r="C21" s="14">
        <f t="shared" si="1"/>
        <v>14.5</v>
      </c>
      <c r="D21" s="15">
        <f t="shared" si="2"/>
        <v>120</v>
      </c>
      <c r="E21" s="15">
        <v>161</v>
      </c>
      <c r="F21" s="15">
        <v>0</v>
      </c>
      <c r="G21" s="15">
        <v>3</v>
      </c>
      <c r="H21" s="15">
        <v>6</v>
      </c>
      <c r="I21" s="15">
        <v>4</v>
      </c>
      <c r="J21" s="15">
        <v>12</v>
      </c>
      <c r="K21" s="15">
        <v>24</v>
      </c>
      <c r="L21" s="15">
        <v>48</v>
      </c>
      <c r="M21" s="15">
        <v>6</v>
      </c>
      <c r="N21" s="15">
        <v>17</v>
      </c>
      <c r="O21" s="21" t="s">
        <v>159</v>
      </c>
      <c r="P21" s="13"/>
      <c r="Q21" s="13"/>
      <c r="R21" s="13"/>
      <c r="S21" s="13"/>
    </row>
    <row r="22" spans="1:19" ht="12.75" customHeight="1" x14ac:dyDescent="0.15">
      <c r="A22" s="17" t="s">
        <v>164</v>
      </c>
      <c r="B22" s="18" t="s">
        <v>165</v>
      </c>
      <c r="C22" s="14">
        <f t="shared" si="1"/>
        <v>15</v>
      </c>
      <c r="D22" s="15">
        <f t="shared" si="2"/>
        <v>121</v>
      </c>
      <c r="E22" s="15">
        <v>161</v>
      </c>
      <c r="F22" s="15">
        <v>1</v>
      </c>
      <c r="G22" s="15">
        <v>3</v>
      </c>
      <c r="H22" s="15">
        <v>2</v>
      </c>
      <c r="I22" s="15">
        <v>4</v>
      </c>
      <c r="J22" s="15">
        <v>0</v>
      </c>
      <c r="K22" s="15">
        <v>31</v>
      </c>
      <c r="L22" s="15">
        <v>59</v>
      </c>
      <c r="M22" s="15">
        <v>3</v>
      </c>
      <c r="N22" s="15">
        <v>18</v>
      </c>
      <c r="O22" s="21" t="s">
        <v>165</v>
      </c>
      <c r="P22" s="13"/>
      <c r="Q22" s="13"/>
      <c r="R22" s="13"/>
      <c r="S22" s="13"/>
    </row>
    <row r="23" spans="1:19" ht="12.75" customHeight="1" x14ac:dyDescent="0.15">
      <c r="A23" s="17" t="s">
        <v>166</v>
      </c>
      <c r="B23" s="18" t="s">
        <v>167</v>
      </c>
      <c r="C23" s="14">
        <f t="shared" si="1"/>
        <v>15</v>
      </c>
      <c r="D23" s="15">
        <f t="shared" si="2"/>
        <v>122</v>
      </c>
      <c r="E23" s="15">
        <v>161</v>
      </c>
      <c r="F23" s="15">
        <v>1</v>
      </c>
      <c r="G23" s="15">
        <v>4</v>
      </c>
      <c r="H23" s="15">
        <v>6</v>
      </c>
      <c r="I23" s="15">
        <v>0</v>
      </c>
      <c r="J23" s="15">
        <v>12</v>
      </c>
      <c r="K23" s="15">
        <v>22</v>
      </c>
      <c r="L23" s="15">
        <v>57</v>
      </c>
      <c r="M23" s="15">
        <v>3</v>
      </c>
      <c r="N23" s="15">
        <v>17</v>
      </c>
      <c r="O23" s="21" t="s">
        <v>168</v>
      </c>
      <c r="P23" s="13"/>
      <c r="Q23" s="13"/>
      <c r="R23" s="13"/>
      <c r="S23" s="13"/>
    </row>
    <row r="24" spans="1:19" ht="12.75" customHeight="1" x14ac:dyDescent="0.15">
      <c r="A24" s="17" t="s">
        <v>169</v>
      </c>
      <c r="B24" s="18" t="s">
        <v>170</v>
      </c>
      <c r="C24" s="14">
        <f t="shared" si="1"/>
        <v>15</v>
      </c>
      <c r="D24" s="15">
        <f t="shared" si="2"/>
        <v>124</v>
      </c>
      <c r="E24" s="15">
        <v>161</v>
      </c>
      <c r="F24" s="15">
        <v>0</v>
      </c>
      <c r="G24" s="15">
        <v>8</v>
      </c>
      <c r="H24" s="15">
        <v>6</v>
      </c>
      <c r="I24" s="15">
        <v>10</v>
      </c>
      <c r="J24" s="15">
        <v>8</v>
      </c>
      <c r="K24" s="15">
        <v>13</v>
      </c>
      <c r="L24" s="15">
        <v>57</v>
      </c>
      <c r="M24" s="15">
        <v>6</v>
      </c>
      <c r="N24" s="15">
        <v>16</v>
      </c>
      <c r="O24" s="21" t="s">
        <v>170</v>
      </c>
      <c r="P24" s="13"/>
      <c r="Q24" s="13"/>
      <c r="R24" s="13"/>
      <c r="S24" s="13"/>
    </row>
    <row r="25" spans="1:19" ht="12.75" customHeight="1" x14ac:dyDescent="0.15">
      <c r="A25" s="17" t="s">
        <v>172</v>
      </c>
      <c r="B25" s="18" t="s">
        <v>173</v>
      </c>
      <c r="C25" s="14">
        <f t="shared" si="1"/>
        <v>15.5</v>
      </c>
      <c r="D25" s="15">
        <f t="shared" si="2"/>
        <v>127</v>
      </c>
      <c r="E25" s="15">
        <v>161</v>
      </c>
      <c r="F25" s="15">
        <v>0</v>
      </c>
      <c r="G25" s="15">
        <v>4</v>
      </c>
      <c r="H25" s="15">
        <v>3</v>
      </c>
      <c r="I25" s="15">
        <v>10</v>
      </c>
      <c r="J25" s="15">
        <v>12</v>
      </c>
      <c r="K25" s="15">
        <v>39</v>
      </c>
      <c r="L25" s="15">
        <v>48</v>
      </c>
      <c r="M25" s="15">
        <v>0</v>
      </c>
      <c r="N25" s="15">
        <v>11</v>
      </c>
      <c r="O25" s="21" t="s">
        <v>173</v>
      </c>
      <c r="P25" s="13"/>
      <c r="Q25" s="13"/>
      <c r="R25" s="13"/>
      <c r="S25" s="13"/>
    </row>
    <row r="26" spans="1:19" ht="12.75" customHeight="1" x14ac:dyDescent="0.15">
      <c r="A26" s="17" t="s">
        <v>175</v>
      </c>
      <c r="B26" s="18" t="s">
        <v>176</v>
      </c>
      <c r="C26" s="14">
        <f t="shared" si="1"/>
        <v>15.5</v>
      </c>
      <c r="D26" s="15">
        <f t="shared" si="2"/>
        <v>127</v>
      </c>
      <c r="E26" s="15">
        <v>161</v>
      </c>
      <c r="F26" s="15">
        <v>1</v>
      </c>
      <c r="G26" s="15">
        <v>8</v>
      </c>
      <c r="H26" s="15">
        <v>6</v>
      </c>
      <c r="I26" s="15">
        <v>0</v>
      </c>
      <c r="J26" s="15">
        <v>3</v>
      </c>
      <c r="K26" s="15">
        <v>40</v>
      </c>
      <c r="L26" s="15">
        <v>58</v>
      </c>
      <c r="M26" s="22">
        <v>0</v>
      </c>
      <c r="N26" s="15">
        <v>11</v>
      </c>
      <c r="O26" s="21" t="s">
        <v>176</v>
      </c>
      <c r="P26" s="13"/>
      <c r="Q26" s="13"/>
      <c r="R26" s="13"/>
      <c r="S26" s="13"/>
    </row>
    <row r="27" spans="1:19" ht="12.75" customHeight="1" x14ac:dyDescent="0.15">
      <c r="A27" s="17" t="s">
        <v>177</v>
      </c>
      <c r="B27" s="18" t="s">
        <v>154</v>
      </c>
      <c r="C27" s="14">
        <f t="shared" si="1"/>
        <v>15.5</v>
      </c>
      <c r="D27" s="15">
        <f t="shared" si="2"/>
        <v>127</v>
      </c>
      <c r="E27" s="15">
        <v>161</v>
      </c>
      <c r="F27" s="15">
        <v>1</v>
      </c>
      <c r="G27" s="15">
        <v>4</v>
      </c>
      <c r="H27" s="15">
        <v>6</v>
      </c>
      <c r="I27" s="15">
        <v>10</v>
      </c>
      <c r="J27" s="15">
        <v>8</v>
      </c>
      <c r="K27" s="15">
        <v>39</v>
      </c>
      <c r="L27" s="15">
        <v>36</v>
      </c>
      <c r="M27" s="15">
        <v>6</v>
      </c>
      <c r="N27" s="15">
        <v>17</v>
      </c>
      <c r="O27" s="21" t="s">
        <v>154</v>
      </c>
      <c r="P27" s="13"/>
      <c r="Q27" s="13"/>
      <c r="R27" s="13"/>
      <c r="S27" s="13"/>
    </row>
    <row r="28" spans="1:19" ht="12.75" customHeight="1" x14ac:dyDescent="0.15">
      <c r="A28" s="17" t="s">
        <v>179</v>
      </c>
      <c r="B28" s="18" t="s">
        <v>180</v>
      </c>
      <c r="C28" s="14">
        <f t="shared" si="1"/>
        <v>15.5</v>
      </c>
      <c r="D28" s="15">
        <f t="shared" si="2"/>
        <v>126</v>
      </c>
      <c r="E28" s="15">
        <v>161</v>
      </c>
      <c r="F28" s="15">
        <v>0</v>
      </c>
      <c r="G28" s="15">
        <v>4</v>
      </c>
      <c r="H28" s="15">
        <v>6</v>
      </c>
      <c r="I28" s="15">
        <v>0</v>
      </c>
      <c r="J28" s="15">
        <v>8</v>
      </c>
      <c r="K28" s="15">
        <v>31</v>
      </c>
      <c r="L28" s="15">
        <v>60</v>
      </c>
      <c r="M28" s="15">
        <v>6</v>
      </c>
      <c r="N28" s="15">
        <v>11</v>
      </c>
      <c r="O28" s="21" t="s">
        <v>180</v>
      </c>
      <c r="P28" s="13"/>
      <c r="Q28" s="13"/>
      <c r="R28" s="13"/>
      <c r="S28" s="13"/>
    </row>
    <row r="29" spans="1:19" ht="12.75" customHeight="1" x14ac:dyDescent="0.15">
      <c r="A29" s="17" t="s">
        <v>183</v>
      </c>
      <c r="B29" s="18" t="s">
        <v>133</v>
      </c>
      <c r="C29" s="14">
        <f t="shared" si="1"/>
        <v>15.5</v>
      </c>
      <c r="D29" s="15">
        <f t="shared" si="2"/>
        <v>125</v>
      </c>
      <c r="E29" s="15">
        <v>161</v>
      </c>
      <c r="F29" s="15">
        <v>0</v>
      </c>
      <c r="G29" s="15">
        <v>3</v>
      </c>
      <c r="H29" s="15">
        <v>6</v>
      </c>
      <c r="I29" s="15">
        <v>4</v>
      </c>
      <c r="J29" s="15">
        <v>3</v>
      </c>
      <c r="K29" s="15">
        <v>32</v>
      </c>
      <c r="L29" s="15">
        <v>59</v>
      </c>
      <c r="M29" s="15">
        <v>0</v>
      </c>
      <c r="N29" s="15">
        <v>18</v>
      </c>
      <c r="O29" s="21" t="s">
        <v>133</v>
      </c>
      <c r="P29" s="13"/>
      <c r="Q29" s="13"/>
      <c r="R29" s="13"/>
      <c r="S29" s="13"/>
    </row>
    <row r="30" spans="1:19" ht="12.75" customHeight="1" x14ac:dyDescent="0.15">
      <c r="A30" s="17" t="s">
        <v>186</v>
      </c>
      <c r="B30" s="18" t="s">
        <v>187</v>
      </c>
      <c r="C30" s="14">
        <f t="shared" si="1"/>
        <v>15.5</v>
      </c>
      <c r="D30" s="15">
        <f t="shared" si="2"/>
        <v>128</v>
      </c>
      <c r="E30" s="15">
        <v>161</v>
      </c>
      <c r="F30" s="15">
        <v>0</v>
      </c>
      <c r="G30" s="15">
        <v>8</v>
      </c>
      <c r="H30" s="15">
        <v>6</v>
      </c>
      <c r="I30" s="15">
        <v>5</v>
      </c>
      <c r="J30" s="15">
        <v>12</v>
      </c>
      <c r="K30" s="15">
        <v>21</v>
      </c>
      <c r="L30" s="15">
        <v>59</v>
      </c>
      <c r="M30" s="15">
        <v>0</v>
      </c>
      <c r="N30" s="15">
        <v>17</v>
      </c>
      <c r="O30" s="21" t="s">
        <v>187</v>
      </c>
      <c r="P30" s="13"/>
      <c r="Q30" s="13"/>
      <c r="R30" s="13"/>
      <c r="S30" s="13"/>
    </row>
    <row r="31" spans="1:19" ht="12.75" customHeight="1" x14ac:dyDescent="0.15">
      <c r="A31" s="17" t="s">
        <v>189</v>
      </c>
      <c r="B31" s="18" t="s">
        <v>190</v>
      </c>
      <c r="C31" s="14">
        <f t="shared" si="1"/>
        <v>16</v>
      </c>
      <c r="D31" s="15">
        <f t="shared" si="2"/>
        <v>129</v>
      </c>
      <c r="E31" s="15">
        <v>161</v>
      </c>
      <c r="F31" s="22">
        <v>0</v>
      </c>
      <c r="G31" s="22">
        <v>0</v>
      </c>
      <c r="H31" s="15">
        <v>6</v>
      </c>
      <c r="I31" s="15">
        <v>5</v>
      </c>
      <c r="J31" s="15">
        <v>12</v>
      </c>
      <c r="K31" s="15">
        <v>31</v>
      </c>
      <c r="L31" s="15">
        <v>60</v>
      </c>
      <c r="M31" s="15">
        <v>3</v>
      </c>
      <c r="N31" s="15">
        <v>12</v>
      </c>
      <c r="O31" s="21" t="s">
        <v>155</v>
      </c>
      <c r="P31" s="13"/>
      <c r="Q31" s="13"/>
      <c r="R31" s="13"/>
      <c r="S31" s="13"/>
    </row>
    <row r="32" spans="1:19" ht="12.75" customHeight="1" x14ac:dyDescent="0.15">
      <c r="A32" s="17" t="s">
        <v>158</v>
      </c>
      <c r="B32" s="18" t="s">
        <v>151</v>
      </c>
      <c r="C32" s="14">
        <f t="shared" si="1"/>
        <v>16</v>
      </c>
      <c r="D32" s="15">
        <f t="shared" si="2"/>
        <v>130</v>
      </c>
      <c r="E32" s="15">
        <v>161</v>
      </c>
      <c r="F32" s="15">
        <v>0</v>
      </c>
      <c r="G32" s="15">
        <v>3</v>
      </c>
      <c r="H32" s="15">
        <v>2</v>
      </c>
      <c r="I32" s="15">
        <v>10</v>
      </c>
      <c r="J32" s="15">
        <v>8</v>
      </c>
      <c r="K32" s="15">
        <v>39</v>
      </c>
      <c r="L32" s="15">
        <v>54</v>
      </c>
      <c r="M32" s="15">
        <v>2</v>
      </c>
      <c r="N32" s="15">
        <v>12</v>
      </c>
      <c r="O32" s="21" t="s">
        <v>191</v>
      </c>
      <c r="P32" s="13"/>
      <c r="Q32" s="13"/>
      <c r="R32" s="13"/>
      <c r="S32" s="13"/>
    </row>
    <row r="33" spans="1:19" ht="12.75" customHeight="1" x14ac:dyDescent="0.15">
      <c r="A33" s="17" t="s">
        <v>194</v>
      </c>
      <c r="B33" s="18" t="s">
        <v>148</v>
      </c>
      <c r="C33" s="14">
        <f t="shared" si="1"/>
        <v>16</v>
      </c>
      <c r="D33" s="15">
        <f t="shared" si="2"/>
        <v>132</v>
      </c>
      <c r="E33" s="15">
        <v>161</v>
      </c>
      <c r="F33" s="15">
        <v>1</v>
      </c>
      <c r="G33" s="15">
        <v>4</v>
      </c>
      <c r="H33" s="15">
        <v>6</v>
      </c>
      <c r="I33" s="15">
        <v>5</v>
      </c>
      <c r="J33" s="15">
        <v>12</v>
      </c>
      <c r="K33" s="15">
        <v>40</v>
      </c>
      <c r="L33" s="15">
        <v>44</v>
      </c>
      <c r="M33" s="15">
        <v>3</v>
      </c>
      <c r="N33" s="15">
        <v>17</v>
      </c>
      <c r="O33" s="21" t="s">
        <v>148</v>
      </c>
      <c r="P33" s="13"/>
      <c r="Q33" s="13"/>
      <c r="R33" s="13"/>
      <c r="S33" s="13"/>
    </row>
    <row r="34" spans="1:19" ht="12.75" customHeight="1" x14ac:dyDescent="0.15">
      <c r="A34" s="17" t="s">
        <v>195</v>
      </c>
      <c r="B34" s="18" t="s">
        <v>129</v>
      </c>
      <c r="C34" s="14">
        <f t="shared" si="1"/>
        <v>16</v>
      </c>
      <c r="D34" s="15">
        <f t="shared" si="2"/>
        <v>130</v>
      </c>
      <c r="E34" s="15">
        <v>161</v>
      </c>
      <c r="F34" s="15">
        <v>0</v>
      </c>
      <c r="G34" s="15">
        <v>8</v>
      </c>
      <c r="H34" s="15">
        <v>6</v>
      </c>
      <c r="I34" s="15">
        <v>4</v>
      </c>
      <c r="J34" s="15">
        <v>12</v>
      </c>
      <c r="K34" s="15">
        <v>32</v>
      </c>
      <c r="L34" s="15">
        <v>47</v>
      </c>
      <c r="M34" s="15">
        <v>3</v>
      </c>
      <c r="N34" s="15">
        <v>18</v>
      </c>
      <c r="O34" s="21" t="s">
        <v>129</v>
      </c>
      <c r="P34" s="13"/>
      <c r="Q34" s="13"/>
      <c r="R34" s="13"/>
      <c r="S34" s="13"/>
    </row>
    <row r="35" spans="1:19" ht="12.75" customHeight="1" x14ac:dyDescent="0.15">
      <c r="A35" s="17" t="s">
        <v>199</v>
      </c>
      <c r="B35" s="18" t="s">
        <v>185</v>
      </c>
      <c r="C35" s="14">
        <f t="shared" si="1"/>
        <v>16</v>
      </c>
      <c r="D35" s="15">
        <f t="shared" si="2"/>
        <v>130</v>
      </c>
      <c r="E35" s="15">
        <v>161</v>
      </c>
      <c r="F35" s="15">
        <v>1</v>
      </c>
      <c r="G35" s="15">
        <v>4</v>
      </c>
      <c r="H35" s="15">
        <v>6</v>
      </c>
      <c r="I35" s="15">
        <v>5</v>
      </c>
      <c r="J35" s="15">
        <v>0</v>
      </c>
      <c r="K35" s="15">
        <v>39</v>
      </c>
      <c r="L35" s="15">
        <v>55</v>
      </c>
      <c r="M35" s="15">
        <v>3</v>
      </c>
      <c r="N35" s="15">
        <v>17</v>
      </c>
      <c r="O35" s="21" t="s">
        <v>185</v>
      </c>
      <c r="P35" s="13"/>
      <c r="Q35" s="13"/>
      <c r="R35" s="13"/>
      <c r="S35" s="13"/>
    </row>
    <row r="36" spans="1:19" ht="12.75" customHeight="1" x14ac:dyDescent="0.15">
      <c r="A36" s="17" t="s">
        <v>197</v>
      </c>
      <c r="B36" s="18" t="s">
        <v>200</v>
      </c>
      <c r="C36" s="14">
        <f t="shared" si="1"/>
        <v>16.5</v>
      </c>
      <c r="D36" s="15">
        <f t="shared" si="2"/>
        <v>135</v>
      </c>
      <c r="E36" s="15">
        <v>161</v>
      </c>
      <c r="F36" s="15">
        <v>1</v>
      </c>
      <c r="G36" s="15">
        <v>0</v>
      </c>
      <c r="H36" s="15">
        <v>6</v>
      </c>
      <c r="I36" s="15">
        <v>0</v>
      </c>
      <c r="J36" s="15">
        <v>12</v>
      </c>
      <c r="K36" s="15">
        <v>40</v>
      </c>
      <c r="L36" s="15">
        <v>58</v>
      </c>
      <c r="M36" s="15">
        <v>6</v>
      </c>
      <c r="N36" s="15">
        <v>12</v>
      </c>
      <c r="O36" s="21" t="s">
        <v>200</v>
      </c>
      <c r="P36" s="13"/>
      <c r="Q36" s="13"/>
      <c r="R36" s="13"/>
      <c r="S36" s="13"/>
    </row>
    <row r="37" spans="1:19" ht="12.75" customHeight="1" x14ac:dyDescent="0.15">
      <c r="A37" s="17" t="s">
        <v>203</v>
      </c>
      <c r="B37" s="18" t="s">
        <v>204</v>
      </c>
      <c r="C37" s="14">
        <f t="shared" si="1"/>
        <v>16.5</v>
      </c>
      <c r="D37" s="15">
        <f t="shared" si="2"/>
        <v>135</v>
      </c>
      <c r="E37" s="15">
        <v>161</v>
      </c>
      <c r="F37" s="15">
        <v>1</v>
      </c>
      <c r="G37" s="15">
        <v>8</v>
      </c>
      <c r="H37" s="15">
        <v>6</v>
      </c>
      <c r="I37" s="15">
        <v>5</v>
      </c>
      <c r="J37" s="15">
        <v>12</v>
      </c>
      <c r="K37" s="15">
        <v>22</v>
      </c>
      <c r="L37" s="15">
        <v>59</v>
      </c>
      <c r="M37" s="15">
        <v>5</v>
      </c>
      <c r="N37" s="15">
        <v>17</v>
      </c>
      <c r="O37" s="21" t="s">
        <v>204</v>
      </c>
      <c r="P37" s="13"/>
      <c r="Q37" s="13"/>
      <c r="R37" s="13"/>
      <c r="S37" s="13"/>
    </row>
    <row r="38" spans="1:19" ht="12.75" customHeight="1" x14ac:dyDescent="0.15">
      <c r="A38" s="17" t="s">
        <v>205</v>
      </c>
      <c r="B38" s="18" t="s">
        <v>206</v>
      </c>
      <c r="C38" s="14">
        <f t="shared" si="1"/>
        <v>16.5</v>
      </c>
      <c r="D38" s="15">
        <f t="shared" si="2"/>
        <v>133</v>
      </c>
      <c r="E38" s="15">
        <v>161</v>
      </c>
      <c r="F38" s="15">
        <v>1</v>
      </c>
      <c r="G38" s="15">
        <v>4</v>
      </c>
      <c r="H38" s="15">
        <v>6</v>
      </c>
      <c r="I38" s="15">
        <v>0</v>
      </c>
      <c r="J38" s="15">
        <v>12</v>
      </c>
      <c r="K38" s="15">
        <v>39</v>
      </c>
      <c r="L38" s="15">
        <v>48</v>
      </c>
      <c r="M38" s="15">
        <v>6</v>
      </c>
      <c r="N38" s="15">
        <v>17</v>
      </c>
      <c r="O38" s="21" t="s">
        <v>207</v>
      </c>
      <c r="P38" s="13"/>
      <c r="Q38" s="13"/>
      <c r="R38" s="13"/>
      <c r="S38" s="13"/>
    </row>
    <row r="39" spans="1:19" ht="12.75" customHeight="1" x14ac:dyDescent="0.15">
      <c r="A39" s="17" t="s">
        <v>178</v>
      </c>
      <c r="B39" s="18" t="s">
        <v>208</v>
      </c>
      <c r="C39" s="14">
        <f t="shared" si="1"/>
        <v>16.5</v>
      </c>
      <c r="D39" s="15">
        <f t="shared" si="2"/>
        <v>135</v>
      </c>
      <c r="E39" s="15">
        <v>161</v>
      </c>
      <c r="F39" s="15">
        <v>0</v>
      </c>
      <c r="G39" s="15">
        <v>3</v>
      </c>
      <c r="H39" s="15">
        <v>6</v>
      </c>
      <c r="I39" s="15">
        <v>0</v>
      </c>
      <c r="J39" s="15">
        <v>8</v>
      </c>
      <c r="K39" s="15">
        <v>38</v>
      </c>
      <c r="L39" s="15">
        <v>60</v>
      </c>
      <c r="M39" s="15">
        <v>3</v>
      </c>
      <c r="N39" s="15">
        <v>17</v>
      </c>
      <c r="O39" s="21" t="s">
        <v>208</v>
      </c>
      <c r="P39" s="13"/>
      <c r="Q39" s="13"/>
      <c r="R39" s="13"/>
      <c r="S39" s="13"/>
    </row>
    <row r="40" spans="1:19" ht="12.75" customHeight="1" x14ac:dyDescent="0.15">
      <c r="A40" s="17" t="s">
        <v>210</v>
      </c>
      <c r="B40" s="18" t="s">
        <v>211</v>
      </c>
      <c r="C40" s="14">
        <f t="shared" si="1"/>
        <v>17</v>
      </c>
      <c r="D40" s="15">
        <f t="shared" si="2"/>
        <v>140</v>
      </c>
      <c r="E40" s="15">
        <v>161</v>
      </c>
      <c r="F40" s="15">
        <v>1</v>
      </c>
      <c r="G40" s="15">
        <v>8</v>
      </c>
      <c r="H40" s="15">
        <v>6</v>
      </c>
      <c r="I40" s="15">
        <v>10</v>
      </c>
      <c r="J40" s="15">
        <v>12</v>
      </c>
      <c r="K40" s="15">
        <v>40</v>
      </c>
      <c r="L40" s="15">
        <v>48</v>
      </c>
      <c r="M40" s="15">
        <v>3</v>
      </c>
      <c r="N40" s="15">
        <v>12</v>
      </c>
      <c r="O40" s="21" t="s">
        <v>211</v>
      </c>
      <c r="P40" s="13"/>
      <c r="Q40" s="13"/>
      <c r="R40" s="13"/>
      <c r="S40" s="13"/>
    </row>
    <row r="41" spans="1:19" ht="12.75" customHeight="1" x14ac:dyDescent="0.15">
      <c r="A41" s="17" t="s">
        <v>192</v>
      </c>
      <c r="B41" s="18" t="s">
        <v>202</v>
      </c>
      <c r="C41" s="14">
        <f t="shared" si="1"/>
        <v>17</v>
      </c>
      <c r="D41" s="15">
        <f t="shared" si="2"/>
        <v>140</v>
      </c>
      <c r="E41" s="15">
        <v>161</v>
      </c>
      <c r="F41" s="15">
        <v>0</v>
      </c>
      <c r="G41" s="15">
        <v>0</v>
      </c>
      <c r="H41" s="15">
        <v>3</v>
      </c>
      <c r="I41" s="15">
        <v>10</v>
      </c>
      <c r="J41" s="15">
        <v>8</v>
      </c>
      <c r="K41" s="15">
        <v>39</v>
      </c>
      <c r="L41" s="15">
        <v>60</v>
      </c>
      <c r="M41" s="15">
        <v>3</v>
      </c>
      <c r="N41" s="15">
        <v>17</v>
      </c>
      <c r="O41" s="21" t="s">
        <v>202</v>
      </c>
      <c r="P41" s="13"/>
      <c r="Q41" s="13"/>
      <c r="R41" s="13"/>
      <c r="S41" s="13"/>
    </row>
    <row r="42" spans="1:19" ht="12.75" customHeight="1" x14ac:dyDescent="0.15">
      <c r="A42" s="17" t="s">
        <v>217</v>
      </c>
      <c r="B42" s="18" t="s">
        <v>218</v>
      </c>
      <c r="C42" s="14">
        <f t="shared" si="1"/>
        <v>17</v>
      </c>
      <c r="D42" s="15">
        <f t="shared" si="2"/>
        <v>139</v>
      </c>
      <c r="E42" s="15">
        <v>161</v>
      </c>
      <c r="F42" s="15">
        <v>1</v>
      </c>
      <c r="G42" s="15">
        <v>4</v>
      </c>
      <c r="H42" s="15">
        <v>6</v>
      </c>
      <c r="I42" s="15">
        <v>0</v>
      </c>
      <c r="J42" s="15">
        <v>12</v>
      </c>
      <c r="K42" s="15">
        <v>40</v>
      </c>
      <c r="L42" s="15">
        <v>56</v>
      </c>
      <c r="M42" s="15">
        <v>3</v>
      </c>
      <c r="N42" s="15">
        <v>17</v>
      </c>
      <c r="O42" s="21" t="s">
        <v>218</v>
      </c>
      <c r="P42" s="13"/>
      <c r="Q42" s="13"/>
      <c r="R42" s="13"/>
      <c r="S42" s="13"/>
    </row>
    <row r="43" spans="1:19" ht="12.75" customHeight="1" x14ac:dyDescent="0.15">
      <c r="A43" s="17" t="s">
        <v>220</v>
      </c>
      <c r="B43" s="18" t="s">
        <v>214</v>
      </c>
      <c r="C43" s="14">
        <f t="shared" si="1"/>
        <v>17.5</v>
      </c>
      <c r="D43" s="15">
        <f t="shared" si="2"/>
        <v>141</v>
      </c>
      <c r="E43" s="15">
        <v>161</v>
      </c>
      <c r="F43" s="15">
        <v>1</v>
      </c>
      <c r="G43" s="15">
        <v>8</v>
      </c>
      <c r="H43" s="15">
        <v>6</v>
      </c>
      <c r="I43" s="15">
        <v>10</v>
      </c>
      <c r="J43" s="15">
        <v>12</v>
      </c>
      <c r="K43" s="15">
        <v>24</v>
      </c>
      <c r="L43" s="15">
        <v>60</v>
      </c>
      <c r="M43" s="15">
        <v>3</v>
      </c>
      <c r="N43" s="15">
        <v>17</v>
      </c>
      <c r="O43" s="21" t="s">
        <v>214</v>
      </c>
      <c r="P43" s="13"/>
      <c r="Q43" s="13"/>
      <c r="R43" s="13"/>
      <c r="S43" s="13"/>
    </row>
    <row r="44" spans="1:19" ht="12.75" customHeight="1" x14ac:dyDescent="0.15">
      <c r="A44" s="17" t="s">
        <v>222</v>
      </c>
      <c r="B44" s="18" t="s">
        <v>216</v>
      </c>
      <c r="C44" s="14">
        <f t="shared" si="1"/>
        <v>17.5</v>
      </c>
      <c r="D44" s="15">
        <f t="shared" si="2"/>
        <v>141</v>
      </c>
      <c r="E44" s="15">
        <v>161</v>
      </c>
      <c r="F44" s="15">
        <v>0</v>
      </c>
      <c r="G44" s="15">
        <v>8</v>
      </c>
      <c r="H44" s="15">
        <v>6</v>
      </c>
      <c r="I44" s="15">
        <v>4</v>
      </c>
      <c r="J44" s="15">
        <v>8</v>
      </c>
      <c r="K44" s="15">
        <v>40</v>
      </c>
      <c r="L44" s="15">
        <v>60</v>
      </c>
      <c r="M44" s="15">
        <v>3</v>
      </c>
      <c r="N44" s="15">
        <v>12</v>
      </c>
      <c r="O44" s="21" t="s">
        <v>216</v>
      </c>
      <c r="P44" s="13"/>
      <c r="Q44" s="13"/>
      <c r="R44" s="13"/>
      <c r="S44" s="13"/>
    </row>
    <row r="45" spans="1:19" ht="12.75" customHeight="1" x14ac:dyDescent="0.15">
      <c r="A45" s="17" t="s">
        <v>223</v>
      </c>
      <c r="B45" s="18" t="s">
        <v>224</v>
      </c>
      <c r="C45" s="14">
        <f t="shared" si="1"/>
        <v>17.5</v>
      </c>
      <c r="D45" s="15">
        <f t="shared" si="2"/>
        <v>143</v>
      </c>
      <c r="E45" s="15">
        <v>161</v>
      </c>
      <c r="F45" s="15">
        <v>0</v>
      </c>
      <c r="G45" s="15">
        <v>8</v>
      </c>
      <c r="H45" s="15">
        <v>6</v>
      </c>
      <c r="I45" s="15">
        <v>0</v>
      </c>
      <c r="J45" s="15">
        <v>12</v>
      </c>
      <c r="K45" s="15">
        <v>40</v>
      </c>
      <c r="L45" s="15">
        <v>58</v>
      </c>
      <c r="M45" s="15">
        <v>2</v>
      </c>
      <c r="N45" s="15">
        <v>17</v>
      </c>
      <c r="O45" s="21" t="s">
        <v>224</v>
      </c>
      <c r="P45" s="13"/>
      <c r="Q45" s="13"/>
      <c r="R45" s="13"/>
      <c r="S45" s="13"/>
    </row>
    <row r="46" spans="1:19" ht="12.75" customHeight="1" x14ac:dyDescent="0.15">
      <c r="A46" s="17" t="s">
        <v>227</v>
      </c>
      <c r="B46" s="18" t="s">
        <v>163</v>
      </c>
      <c r="C46" s="14">
        <f t="shared" si="1"/>
        <v>17.5</v>
      </c>
      <c r="D46" s="15">
        <f t="shared" si="2"/>
        <v>142</v>
      </c>
      <c r="E46" s="15">
        <v>161</v>
      </c>
      <c r="F46" s="15">
        <v>1</v>
      </c>
      <c r="G46" s="15">
        <v>8</v>
      </c>
      <c r="H46" s="15">
        <v>2</v>
      </c>
      <c r="I46" s="15">
        <v>5</v>
      </c>
      <c r="J46" s="15">
        <v>12</v>
      </c>
      <c r="K46" s="15">
        <v>39</v>
      </c>
      <c r="L46" s="15">
        <v>60</v>
      </c>
      <c r="M46" s="15">
        <v>3</v>
      </c>
      <c r="N46" s="15">
        <v>12</v>
      </c>
      <c r="O46" s="21" t="s">
        <v>163</v>
      </c>
      <c r="P46" s="13"/>
      <c r="Q46" s="13"/>
      <c r="R46" s="13"/>
      <c r="S46" s="13"/>
    </row>
    <row r="47" spans="1:19" ht="12.75" customHeight="1" x14ac:dyDescent="0.15">
      <c r="A47" s="17" t="s">
        <v>139</v>
      </c>
      <c r="B47" s="18" t="s">
        <v>229</v>
      </c>
      <c r="C47" s="14">
        <f t="shared" si="1"/>
        <v>17.5</v>
      </c>
      <c r="D47" s="15">
        <f t="shared" si="2"/>
        <v>144</v>
      </c>
      <c r="E47" s="15">
        <v>161</v>
      </c>
      <c r="F47" s="15">
        <v>1</v>
      </c>
      <c r="G47" s="15">
        <v>4</v>
      </c>
      <c r="H47" s="15">
        <v>6</v>
      </c>
      <c r="I47" s="15">
        <v>0</v>
      </c>
      <c r="J47" s="15">
        <v>12</v>
      </c>
      <c r="K47" s="15">
        <v>39</v>
      </c>
      <c r="L47" s="15">
        <v>59</v>
      </c>
      <c r="M47" s="15">
        <v>6</v>
      </c>
      <c r="N47" s="15">
        <v>17</v>
      </c>
      <c r="O47" s="21" t="s">
        <v>229</v>
      </c>
      <c r="P47" s="13"/>
      <c r="Q47" s="13"/>
      <c r="R47" s="13"/>
      <c r="S47" s="13"/>
    </row>
    <row r="48" spans="1:19" ht="12.75" customHeight="1" x14ac:dyDescent="0.15">
      <c r="A48" s="17" t="s">
        <v>232</v>
      </c>
      <c r="B48" s="18" t="s">
        <v>231</v>
      </c>
      <c r="C48" s="14">
        <f t="shared" si="1"/>
        <v>17.5</v>
      </c>
      <c r="D48" s="15">
        <f t="shared" si="2"/>
        <v>142</v>
      </c>
      <c r="E48" s="15">
        <v>161</v>
      </c>
      <c r="F48" s="15">
        <v>1</v>
      </c>
      <c r="G48" s="15">
        <v>4</v>
      </c>
      <c r="H48" s="15">
        <v>6</v>
      </c>
      <c r="I48" s="15">
        <v>10</v>
      </c>
      <c r="J48" s="15">
        <v>12</v>
      </c>
      <c r="K48" s="15">
        <v>40</v>
      </c>
      <c r="L48" s="15">
        <v>60</v>
      </c>
      <c r="M48" s="15">
        <v>3</v>
      </c>
      <c r="N48" s="15">
        <v>6</v>
      </c>
      <c r="O48" s="21" t="s">
        <v>233</v>
      </c>
      <c r="P48" s="13"/>
      <c r="Q48" s="13"/>
      <c r="R48" s="13"/>
      <c r="S48" s="13"/>
    </row>
    <row r="49" spans="1:19" ht="12.75" customHeight="1" x14ac:dyDescent="0.15">
      <c r="A49" s="17" t="s">
        <v>235</v>
      </c>
      <c r="B49" s="18" t="s">
        <v>234</v>
      </c>
      <c r="C49" s="14">
        <f t="shared" si="1"/>
        <v>17.5</v>
      </c>
      <c r="D49" s="15">
        <f t="shared" si="2"/>
        <v>144</v>
      </c>
      <c r="E49" s="15">
        <v>161</v>
      </c>
      <c r="F49" s="15">
        <v>0</v>
      </c>
      <c r="G49" s="15">
        <v>4</v>
      </c>
      <c r="H49" s="15">
        <v>6</v>
      </c>
      <c r="I49" s="15">
        <v>5</v>
      </c>
      <c r="J49" s="15">
        <v>12</v>
      </c>
      <c r="K49" s="15">
        <v>39</v>
      </c>
      <c r="L49" s="15">
        <v>58</v>
      </c>
      <c r="M49" s="15">
        <v>3</v>
      </c>
      <c r="N49" s="15">
        <v>17</v>
      </c>
      <c r="O49" s="21" t="s">
        <v>236</v>
      </c>
      <c r="P49" s="13"/>
      <c r="Q49" s="13"/>
      <c r="R49" s="13"/>
      <c r="S49" s="13"/>
    </row>
    <row r="50" spans="1:19" ht="12.75" customHeight="1" x14ac:dyDescent="0.15">
      <c r="A50" s="17" t="s">
        <v>182</v>
      </c>
      <c r="B50" s="18" t="s">
        <v>237</v>
      </c>
      <c r="C50" s="14">
        <f t="shared" si="1"/>
        <v>17.5</v>
      </c>
      <c r="D50" s="15">
        <f t="shared" si="2"/>
        <v>143</v>
      </c>
      <c r="E50" s="15">
        <v>161</v>
      </c>
      <c r="F50" s="15">
        <v>0</v>
      </c>
      <c r="G50" s="15">
        <v>4</v>
      </c>
      <c r="H50" s="15">
        <v>6</v>
      </c>
      <c r="I50" s="15">
        <v>0</v>
      </c>
      <c r="J50" s="15">
        <v>12</v>
      </c>
      <c r="K50" s="15">
        <v>40</v>
      </c>
      <c r="L50" s="15">
        <v>60</v>
      </c>
      <c r="M50" s="15">
        <v>3</v>
      </c>
      <c r="N50" s="15">
        <v>18</v>
      </c>
      <c r="O50" s="21" t="s">
        <v>155</v>
      </c>
      <c r="P50" s="13"/>
      <c r="Q50" s="13"/>
      <c r="R50" s="13"/>
      <c r="S50" s="13"/>
    </row>
    <row r="51" spans="1:19" ht="12.75" customHeight="1" x14ac:dyDescent="0.15">
      <c r="A51" s="17" t="s">
        <v>240</v>
      </c>
      <c r="B51" s="18" t="s">
        <v>209</v>
      </c>
      <c r="C51" s="14">
        <f t="shared" si="1"/>
        <v>17.5</v>
      </c>
      <c r="D51" s="15">
        <f t="shared" si="2"/>
        <v>142</v>
      </c>
      <c r="E51" s="15">
        <v>161</v>
      </c>
      <c r="F51" s="15">
        <v>1</v>
      </c>
      <c r="G51" s="15">
        <v>8</v>
      </c>
      <c r="H51" s="15">
        <v>6</v>
      </c>
      <c r="I51" s="15">
        <v>10</v>
      </c>
      <c r="J51" s="15">
        <v>12</v>
      </c>
      <c r="K51" s="15">
        <v>31</v>
      </c>
      <c r="L51" s="15">
        <v>54</v>
      </c>
      <c r="M51" s="15">
        <v>3</v>
      </c>
      <c r="N51" s="15">
        <v>17</v>
      </c>
      <c r="O51" s="21" t="s">
        <v>241</v>
      </c>
      <c r="P51" s="13"/>
      <c r="Q51" s="13"/>
      <c r="R51" s="13"/>
      <c r="S51" s="13"/>
    </row>
    <row r="52" spans="1:19" ht="12.75" customHeight="1" x14ac:dyDescent="0.15">
      <c r="A52" s="17" t="s">
        <v>219</v>
      </c>
      <c r="B52" s="18" t="s">
        <v>242</v>
      </c>
      <c r="C52" s="14">
        <f t="shared" si="1"/>
        <v>17.5</v>
      </c>
      <c r="D52" s="15">
        <f t="shared" si="2"/>
        <v>141</v>
      </c>
      <c r="E52" s="15">
        <v>161</v>
      </c>
      <c r="F52" s="15">
        <v>1</v>
      </c>
      <c r="G52" s="15">
        <v>4</v>
      </c>
      <c r="H52" s="15">
        <v>6</v>
      </c>
      <c r="I52" s="15">
        <v>4</v>
      </c>
      <c r="J52" s="15">
        <v>12</v>
      </c>
      <c r="K52" s="15">
        <v>39</v>
      </c>
      <c r="L52" s="15">
        <v>60</v>
      </c>
      <c r="M52" s="15">
        <v>3</v>
      </c>
      <c r="N52" s="15">
        <v>12</v>
      </c>
      <c r="O52" s="21" t="s">
        <v>243</v>
      </c>
      <c r="P52" s="13"/>
      <c r="Q52" s="13"/>
      <c r="R52" s="13"/>
      <c r="S52" s="13"/>
    </row>
    <row r="53" spans="1:19" ht="12.75" customHeight="1" x14ac:dyDescent="0.15">
      <c r="A53" s="17" t="s">
        <v>188</v>
      </c>
      <c r="B53" s="18" t="s">
        <v>244</v>
      </c>
      <c r="C53" s="14">
        <f t="shared" si="1"/>
        <v>17.5</v>
      </c>
      <c r="D53" s="15">
        <f t="shared" si="2"/>
        <v>142</v>
      </c>
      <c r="E53" s="15">
        <v>161</v>
      </c>
      <c r="F53" s="15">
        <v>1</v>
      </c>
      <c r="G53" s="15">
        <v>4</v>
      </c>
      <c r="H53" s="15">
        <v>6</v>
      </c>
      <c r="I53" s="15">
        <v>5</v>
      </c>
      <c r="J53" s="15">
        <v>12</v>
      </c>
      <c r="K53" s="15">
        <v>40</v>
      </c>
      <c r="L53" s="15">
        <v>57</v>
      </c>
      <c r="M53" s="15">
        <v>0</v>
      </c>
      <c r="N53" s="15">
        <v>17</v>
      </c>
      <c r="O53" s="21" t="s">
        <v>246</v>
      </c>
      <c r="P53" s="13"/>
      <c r="Q53" s="13"/>
      <c r="R53" s="13"/>
      <c r="S53" s="13"/>
    </row>
    <row r="54" spans="1:19" ht="12.75" customHeight="1" x14ac:dyDescent="0.15">
      <c r="A54" s="17" t="s">
        <v>162</v>
      </c>
      <c r="B54" s="18" t="s">
        <v>247</v>
      </c>
      <c r="C54" s="14">
        <f t="shared" si="1"/>
        <v>18</v>
      </c>
      <c r="D54" s="15">
        <f t="shared" si="2"/>
        <v>147</v>
      </c>
      <c r="E54" s="15">
        <v>161</v>
      </c>
      <c r="F54" s="15">
        <v>1</v>
      </c>
      <c r="G54" s="15">
        <v>8</v>
      </c>
      <c r="H54" s="15">
        <v>6</v>
      </c>
      <c r="I54" s="15">
        <v>10</v>
      </c>
      <c r="J54" s="15">
        <v>12</v>
      </c>
      <c r="K54" s="15">
        <v>32</v>
      </c>
      <c r="L54" s="15">
        <v>60</v>
      </c>
      <c r="M54" s="15">
        <v>6</v>
      </c>
      <c r="N54" s="15">
        <v>12</v>
      </c>
      <c r="O54" s="21" t="s">
        <v>247</v>
      </c>
      <c r="P54" s="13"/>
      <c r="Q54" s="13"/>
      <c r="R54" s="13"/>
      <c r="S54" s="13"/>
    </row>
    <row r="55" spans="1:19" ht="12.75" customHeight="1" x14ac:dyDescent="0.15">
      <c r="A55" s="17" t="s">
        <v>215</v>
      </c>
      <c r="B55" s="18" t="s">
        <v>198</v>
      </c>
      <c r="C55" s="14">
        <f t="shared" si="1"/>
        <v>18</v>
      </c>
      <c r="D55" s="15">
        <f t="shared" si="2"/>
        <v>146</v>
      </c>
      <c r="E55" s="15">
        <v>161</v>
      </c>
      <c r="F55" s="15">
        <v>1</v>
      </c>
      <c r="G55" s="15">
        <v>8</v>
      </c>
      <c r="H55" s="15">
        <v>6</v>
      </c>
      <c r="I55" s="15">
        <v>10</v>
      </c>
      <c r="J55" s="15">
        <v>12</v>
      </c>
      <c r="K55" s="15">
        <v>32</v>
      </c>
      <c r="L55" s="15">
        <v>56</v>
      </c>
      <c r="M55" s="15">
        <v>3</v>
      </c>
      <c r="N55" s="15">
        <v>18</v>
      </c>
      <c r="O55" s="21" t="s">
        <v>198</v>
      </c>
      <c r="P55" s="13"/>
      <c r="Q55" s="13"/>
      <c r="R55" s="13"/>
      <c r="S55" s="13"/>
    </row>
    <row r="56" spans="1:19" ht="12.75" customHeight="1" x14ac:dyDescent="0.15">
      <c r="A56" s="17" t="s">
        <v>225</v>
      </c>
      <c r="B56" s="18" t="s">
        <v>250</v>
      </c>
      <c r="C56" s="14">
        <f t="shared" si="1"/>
        <v>18</v>
      </c>
      <c r="D56" s="15">
        <f t="shared" si="2"/>
        <v>148</v>
      </c>
      <c r="E56" s="15">
        <v>161</v>
      </c>
      <c r="F56" s="15">
        <v>1</v>
      </c>
      <c r="G56" s="15">
        <v>4</v>
      </c>
      <c r="H56" s="15">
        <v>6</v>
      </c>
      <c r="I56" s="15">
        <v>10</v>
      </c>
      <c r="J56" s="15">
        <v>12</v>
      </c>
      <c r="K56" s="15">
        <v>32</v>
      </c>
      <c r="L56" s="15">
        <v>60</v>
      </c>
      <c r="M56" s="15">
        <v>6</v>
      </c>
      <c r="N56" s="15">
        <v>17</v>
      </c>
      <c r="O56" s="21" t="s">
        <v>250</v>
      </c>
      <c r="P56" s="13"/>
      <c r="Q56" s="13"/>
      <c r="R56" s="13"/>
      <c r="S56" s="13"/>
    </row>
    <row r="57" spans="1:19" ht="12.75" customHeight="1" x14ac:dyDescent="0.15">
      <c r="A57" s="17" t="s">
        <v>174</v>
      </c>
      <c r="B57" s="18" t="s">
        <v>251</v>
      </c>
      <c r="C57" s="14">
        <f t="shared" si="1"/>
        <v>18</v>
      </c>
      <c r="D57" s="15">
        <f t="shared" si="2"/>
        <v>147</v>
      </c>
      <c r="E57" s="15">
        <v>161</v>
      </c>
      <c r="F57" s="15">
        <v>1</v>
      </c>
      <c r="G57" s="15">
        <v>8</v>
      </c>
      <c r="H57" s="15">
        <v>6</v>
      </c>
      <c r="I57" s="15">
        <v>0</v>
      </c>
      <c r="J57" s="15">
        <v>12</v>
      </c>
      <c r="K57" s="15">
        <v>40</v>
      </c>
      <c r="L57" s="15">
        <v>60</v>
      </c>
      <c r="M57" s="15">
        <v>3</v>
      </c>
      <c r="N57" s="15">
        <v>17</v>
      </c>
      <c r="O57" s="21" t="s">
        <v>251</v>
      </c>
      <c r="P57" s="13"/>
      <c r="Q57" s="13"/>
      <c r="R57" s="13"/>
      <c r="S57" s="13"/>
    </row>
    <row r="58" spans="1:19" ht="12.75" customHeight="1" x14ac:dyDescent="0.15">
      <c r="A58" s="17" t="s">
        <v>221</v>
      </c>
      <c r="B58" s="18" t="s">
        <v>253</v>
      </c>
      <c r="C58" s="14">
        <f t="shared" si="1"/>
        <v>18</v>
      </c>
      <c r="D58" s="15">
        <f t="shared" si="2"/>
        <v>146</v>
      </c>
      <c r="E58" s="15">
        <v>161</v>
      </c>
      <c r="F58" s="15">
        <v>1</v>
      </c>
      <c r="G58" s="15">
        <v>4</v>
      </c>
      <c r="H58" s="15">
        <v>6</v>
      </c>
      <c r="I58" s="15">
        <v>4</v>
      </c>
      <c r="J58" s="15">
        <v>12</v>
      </c>
      <c r="K58" s="15">
        <v>39</v>
      </c>
      <c r="L58" s="15">
        <v>60</v>
      </c>
      <c r="M58" s="15">
        <v>3</v>
      </c>
      <c r="N58" s="15">
        <v>17</v>
      </c>
      <c r="O58" s="21" t="s">
        <v>253</v>
      </c>
      <c r="P58" s="13"/>
      <c r="Q58" s="13"/>
      <c r="R58" s="13"/>
      <c r="S58" s="13"/>
    </row>
    <row r="59" spans="1:19" ht="12.75" customHeight="1" x14ac:dyDescent="0.15">
      <c r="A59" s="17" t="s">
        <v>245</v>
      </c>
      <c r="B59" s="18" t="s">
        <v>226</v>
      </c>
      <c r="C59" s="14">
        <f t="shared" si="1"/>
        <v>18</v>
      </c>
      <c r="D59" s="15">
        <f t="shared" si="2"/>
        <v>147</v>
      </c>
      <c r="E59" s="15">
        <v>161</v>
      </c>
      <c r="F59" s="15">
        <v>1</v>
      </c>
      <c r="G59" s="15">
        <v>4</v>
      </c>
      <c r="H59" s="15">
        <v>6</v>
      </c>
      <c r="I59" s="15">
        <v>4</v>
      </c>
      <c r="J59" s="15">
        <v>12</v>
      </c>
      <c r="K59" s="15">
        <v>40</v>
      </c>
      <c r="L59" s="15">
        <v>60</v>
      </c>
      <c r="M59" s="15">
        <v>3</v>
      </c>
      <c r="N59" s="15">
        <v>17</v>
      </c>
      <c r="O59" s="21" t="s">
        <v>226</v>
      </c>
      <c r="P59" s="13"/>
      <c r="Q59" s="13"/>
      <c r="R59" s="13"/>
      <c r="S59" s="13"/>
    </row>
    <row r="60" spans="1:19" ht="12.75" customHeight="1" x14ac:dyDescent="0.15">
      <c r="A60" s="17" t="s">
        <v>248</v>
      </c>
      <c r="B60" s="18" t="s">
        <v>228</v>
      </c>
      <c r="C60" s="14">
        <f t="shared" si="1"/>
        <v>18</v>
      </c>
      <c r="D60" s="15">
        <f t="shared" si="2"/>
        <v>146</v>
      </c>
      <c r="E60" s="15">
        <v>161</v>
      </c>
      <c r="F60" s="15">
        <v>1</v>
      </c>
      <c r="G60" s="15">
        <v>4</v>
      </c>
      <c r="H60" s="15">
        <v>6</v>
      </c>
      <c r="I60" s="15">
        <v>4</v>
      </c>
      <c r="J60" s="15">
        <v>12</v>
      </c>
      <c r="K60" s="15">
        <v>39</v>
      </c>
      <c r="L60" s="15">
        <v>59</v>
      </c>
      <c r="M60" s="15">
        <v>4</v>
      </c>
      <c r="N60" s="15">
        <v>17</v>
      </c>
      <c r="O60" s="21" t="s">
        <v>228</v>
      </c>
      <c r="P60" s="13"/>
      <c r="Q60" s="13"/>
      <c r="R60" s="13"/>
      <c r="S60" s="13"/>
    </row>
    <row r="61" spans="1:19" ht="12.75" customHeight="1" x14ac:dyDescent="0.15">
      <c r="A61" s="17" t="s">
        <v>255</v>
      </c>
      <c r="B61" s="18" t="s">
        <v>256</v>
      </c>
      <c r="C61" s="14">
        <f t="shared" si="1"/>
        <v>18.5</v>
      </c>
      <c r="D61" s="15">
        <f t="shared" si="2"/>
        <v>152</v>
      </c>
      <c r="E61" s="15">
        <v>161</v>
      </c>
      <c r="F61" s="15">
        <v>1</v>
      </c>
      <c r="G61" s="15">
        <v>8</v>
      </c>
      <c r="H61" s="15">
        <v>6</v>
      </c>
      <c r="I61" s="15">
        <v>5</v>
      </c>
      <c r="J61" s="15">
        <v>12</v>
      </c>
      <c r="K61" s="15">
        <v>39</v>
      </c>
      <c r="L61" s="15">
        <v>60</v>
      </c>
      <c r="M61" s="15">
        <v>3</v>
      </c>
      <c r="N61" s="15">
        <v>18</v>
      </c>
      <c r="O61" s="21" t="s">
        <v>256</v>
      </c>
      <c r="P61" s="13"/>
      <c r="Q61" s="13"/>
      <c r="R61" s="13"/>
      <c r="S61" s="13"/>
    </row>
    <row r="62" spans="1:19" ht="12.75" customHeight="1" x14ac:dyDescent="0.15">
      <c r="A62" s="17" t="s">
        <v>184</v>
      </c>
      <c r="B62" s="18" t="s">
        <v>249</v>
      </c>
      <c r="C62" s="14">
        <f t="shared" si="1"/>
        <v>18.5</v>
      </c>
      <c r="D62" s="15">
        <f t="shared" si="2"/>
        <v>151</v>
      </c>
      <c r="E62" s="15">
        <v>161</v>
      </c>
      <c r="F62" s="15">
        <v>0</v>
      </c>
      <c r="G62" s="15">
        <v>8</v>
      </c>
      <c r="H62" s="15">
        <v>6</v>
      </c>
      <c r="I62" s="15">
        <v>10</v>
      </c>
      <c r="J62" s="15">
        <v>12</v>
      </c>
      <c r="K62" s="15">
        <v>40</v>
      </c>
      <c r="L62" s="15">
        <v>60</v>
      </c>
      <c r="M62" s="15">
        <v>3</v>
      </c>
      <c r="N62" s="15">
        <v>12</v>
      </c>
      <c r="O62" s="21" t="s">
        <v>249</v>
      </c>
      <c r="P62" s="13"/>
      <c r="Q62" s="13"/>
      <c r="R62" s="13"/>
      <c r="S62" s="13"/>
    </row>
    <row r="63" spans="1:19" ht="12.75" customHeight="1" x14ac:dyDescent="0.15">
      <c r="A63" s="17" t="s">
        <v>201</v>
      </c>
      <c r="B63" s="18" t="s">
        <v>193</v>
      </c>
      <c r="C63" s="14">
        <f t="shared" si="1"/>
        <v>18.5</v>
      </c>
      <c r="D63" s="15">
        <f t="shared" si="2"/>
        <v>150</v>
      </c>
      <c r="E63" s="15">
        <v>161</v>
      </c>
      <c r="F63" s="15">
        <v>1</v>
      </c>
      <c r="G63" s="15">
        <v>4</v>
      </c>
      <c r="H63" s="15">
        <v>6</v>
      </c>
      <c r="I63" s="15">
        <v>10</v>
      </c>
      <c r="J63" s="15">
        <v>12</v>
      </c>
      <c r="K63" s="15">
        <v>40</v>
      </c>
      <c r="L63" s="15">
        <v>60</v>
      </c>
      <c r="M63" s="15">
        <v>0</v>
      </c>
      <c r="N63" s="15">
        <v>17</v>
      </c>
      <c r="O63" s="21" t="s">
        <v>193</v>
      </c>
      <c r="P63" s="13"/>
      <c r="Q63" s="13"/>
      <c r="R63" s="13"/>
      <c r="S63" s="13"/>
    </row>
    <row r="64" spans="1:19" ht="12.75" customHeight="1" x14ac:dyDescent="0.15">
      <c r="A64" s="17" t="s">
        <v>213</v>
      </c>
      <c r="B64" s="18" t="s">
        <v>260</v>
      </c>
      <c r="C64" s="14">
        <f t="shared" si="1"/>
        <v>18.5</v>
      </c>
      <c r="D64" s="15">
        <f t="shared" si="2"/>
        <v>151</v>
      </c>
      <c r="E64" s="15">
        <v>161</v>
      </c>
      <c r="F64" s="15">
        <v>1</v>
      </c>
      <c r="G64" s="15">
        <v>4</v>
      </c>
      <c r="H64" s="15">
        <v>6</v>
      </c>
      <c r="I64" s="15">
        <v>10</v>
      </c>
      <c r="J64" s="15">
        <v>12</v>
      </c>
      <c r="K64" s="15">
        <v>40</v>
      </c>
      <c r="L64" s="15">
        <v>60</v>
      </c>
      <c r="M64" s="15">
        <v>1</v>
      </c>
      <c r="N64" s="15">
        <v>17</v>
      </c>
      <c r="O64" s="21" t="s">
        <v>260</v>
      </c>
      <c r="P64" s="13"/>
      <c r="Q64" s="13"/>
      <c r="R64" s="13"/>
      <c r="S64" s="13"/>
    </row>
    <row r="65" spans="1:19" ht="12.75" customHeight="1" x14ac:dyDescent="0.15">
      <c r="A65" s="17" t="s">
        <v>238</v>
      </c>
      <c r="B65" s="18" t="s">
        <v>239</v>
      </c>
      <c r="C65" s="14">
        <f t="shared" si="1"/>
        <v>18.5</v>
      </c>
      <c r="D65" s="15">
        <f t="shared" si="2"/>
        <v>152</v>
      </c>
      <c r="E65" s="15">
        <v>161</v>
      </c>
      <c r="F65" s="15">
        <v>1</v>
      </c>
      <c r="G65" s="15">
        <v>8</v>
      </c>
      <c r="H65" s="15">
        <v>6</v>
      </c>
      <c r="I65" s="15">
        <v>10</v>
      </c>
      <c r="J65" s="15">
        <v>12</v>
      </c>
      <c r="K65" s="15">
        <v>40</v>
      </c>
      <c r="L65" s="15">
        <v>60</v>
      </c>
      <c r="M65" s="15">
        <v>3</v>
      </c>
      <c r="N65" s="15">
        <v>12</v>
      </c>
      <c r="O65" s="21" t="s">
        <v>239</v>
      </c>
      <c r="P65" s="13"/>
      <c r="Q65" s="13"/>
      <c r="R65" s="13"/>
      <c r="S65" s="13"/>
    </row>
    <row r="66" spans="1:19" ht="12.75" customHeight="1" x14ac:dyDescent="0.15">
      <c r="A66" s="17" t="s">
        <v>257</v>
      </c>
      <c r="B66" s="18" t="s">
        <v>258</v>
      </c>
      <c r="C66" s="14">
        <f t="shared" si="1"/>
        <v>19</v>
      </c>
      <c r="D66" s="15">
        <f t="shared" si="2"/>
        <v>156</v>
      </c>
      <c r="E66" s="15">
        <v>161</v>
      </c>
      <c r="F66" s="15">
        <v>1</v>
      </c>
      <c r="G66" s="15">
        <v>8</v>
      </c>
      <c r="H66" s="15">
        <v>6</v>
      </c>
      <c r="I66" s="15">
        <v>10</v>
      </c>
      <c r="J66" s="15">
        <v>12</v>
      </c>
      <c r="K66" s="15">
        <v>39</v>
      </c>
      <c r="L66" s="15">
        <v>60</v>
      </c>
      <c r="M66" s="15">
        <v>3</v>
      </c>
      <c r="N66" s="15">
        <v>17</v>
      </c>
      <c r="O66" s="21" t="s">
        <v>258</v>
      </c>
      <c r="P66" s="13"/>
      <c r="Q66" s="13"/>
      <c r="R66" s="13"/>
      <c r="S66" s="13"/>
    </row>
    <row r="67" spans="1:19" ht="12.75" customHeight="1" x14ac:dyDescent="0.15">
      <c r="A67" s="17" t="s">
        <v>230</v>
      </c>
      <c r="B67" s="18" t="s">
        <v>259</v>
      </c>
      <c r="C67" s="14">
        <f t="shared" si="1"/>
        <v>19.5</v>
      </c>
      <c r="D67" s="15">
        <f t="shared" si="2"/>
        <v>159</v>
      </c>
      <c r="E67" s="15">
        <v>161</v>
      </c>
      <c r="F67" s="15">
        <v>1</v>
      </c>
      <c r="G67" s="15">
        <v>8</v>
      </c>
      <c r="H67" s="15">
        <v>6</v>
      </c>
      <c r="I67" s="15">
        <v>10</v>
      </c>
      <c r="J67" s="15">
        <v>12</v>
      </c>
      <c r="K67" s="15">
        <v>39</v>
      </c>
      <c r="L67" s="15">
        <v>60</v>
      </c>
      <c r="M67" s="15">
        <v>6</v>
      </c>
      <c r="N67" s="15">
        <v>17</v>
      </c>
      <c r="O67" s="21" t="s">
        <v>259</v>
      </c>
      <c r="P67" s="13"/>
      <c r="Q67" s="13"/>
      <c r="R67" s="13"/>
      <c r="S67" s="13"/>
    </row>
    <row r="68" spans="1:19" ht="12.75" customHeight="1" x14ac:dyDescent="0.15">
      <c r="A68" s="17" t="s">
        <v>254</v>
      </c>
      <c r="B68" s="18" t="s">
        <v>126</v>
      </c>
      <c r="C68" s="14">
        <f t="shared" si="1"/>
        <v>19.5</v>
      </c>
      <c r="D68" s="15">
        <f t="shared" si="2"/>
        <v>159</v>
      </c>
      <c r="E68" s="15">
        <v>161</v>
      </c>
      <c r="F68" s="15">
        <v>1</v>
      </c>
      <c r="G68" s="15">
        <v>8</v>
      </c>
      <c r="H68" s="15">
        <v>6</v>
      </c>
      <c r="I68" s="15">
        <v>10</v>
      </c>
      <c r="J68" s="15">
        <v>12</v>
      </c>
      <c r="K68" s="15">
        <v>39</v>
      </c>
      <c r="L68" s="15">
        <v>59</v>
      </c>
      <c r="M68" s="15">
        <v>6</v>
      </c>
      <c r="N68" s="15">
        <v>18</v>
      </c>
      <c r="O68" s="21" t="s">
        <v>262</v>
      </c>
      <c r="P68" s="13"/>
      <c r="Q68" s="13"/>
      <c r="R68" s="13"/>
      <c r="S68" s="13"/>
    </row>
    <row r="69" spans="1:19" ht="12.75" customHeight="1" x14ac:dyDescent="0.15">
      <c r="A69" s="17" t="s">
        <v>252</v>
      </c>
      <c r="B69" s="18" t="s">
        <v>137</v>
      </c>
      <c r="C69" s="14">
        <f t="shared" si="1"/>
        <v>19.5</v>
      </c>
      <c r="D69" s="15">
        <f t="shared" si="2"/>
        <v>160</v>
      </c>
      <c r="E69" s="15">
        <v>161</v>
      </c>
      <c r="F69" s="15">
        <v>1</v>
      </c>
      <c r="G69" s="15">
        <v>8</v>
      </c>
      <c r="H69" s="15">
        <v>6</v>
      </c>
      <c r="I69" s="15">
        <v>10</v>
      </c>
      <c r="J69" s="15">
        <v>12</v>
      </c>
      <c r="K69" s="15">
        <v>39</v>
      </c>
      <c r="L69" s="15">
        <v>60</v>
      </c>
      <c r="M69" s="15">
        <v>6</v>
      </c>
      <c r="N69" s="15">
        <v>18</v>
      </c>
      <c r="O69" s="21" t="s">
        <v>137</v>
      </c>
      <c r="P69" s="13"/>
      <c r="Q69" s="13"/>
      <c r="R69" s="13"/>
      <c r="S69" s="13"/>
    </row>
    <row r="70" spans="1:19" ht="12.75" customHeight="1" x14ac:dyDescent="0.1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</row>
    <row r="71" spans="1:19" ht="12.75" customHeight="1" x14ac:dyDescent="0.1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</row>
    <row r="72" spans="1:19" ht="12.75" customHeight="1" x14ac:dyDescent="0.1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</row>
    <row r="73" spans="1:19" ht="12.75" customHeight="1" x14ac:dyDescent="0.1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</row>
    <row r="74" spans="1:19" ht="12.75" customHeight="1" x14ac:dyDescent="0.1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</row>
    <row r="75" spans="1:19" ht="12.75" customHeight="1" x14ac:dyDescent="0.1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</row>
    <row r="76" spans="1:19" ht="12.75" customHeight="1" x14ac:dyDescent="0.1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</row>
    <row r="77" spans="1:19" ht="12.75" customHeight="1" x14ac:dyDescent="0.1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</row>
    <row r="78" spans="1:19" ht="12.75" customHeight="1" x14ac:dyDescent="0.1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</row>
    <row r="79" spans="1:19" ht="12.75" customHeight="1" x14ac:dyDescent="0.1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</row>
    <row r="80" spans="1:19" ht="12.75" customHeight="1" x14ac:dyDescent="0.1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</row>
    <row r="81" spans="1:19" ht="12.75" customHeight="1" x14ac:dyDescent="0.1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</row>
    <row r="82" spans="1:19" ht="12.75" customHeight="1" x14ac:dyDescent="0.1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</row>
    <row r="83" spans="1:19" ht="12.75" customHeight="1" x14ac:dyDescent="0.1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</row>
    <row r="84" spans="1:19" ht="12.75" customHeight="1" x14ac:dyDescent="0.1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</row>
    <row r="85" spans="1:19" ht="12.75" customHeight="1" x14ac:dyDescent="0.1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</row>
    <row r="86" spans="1:19" ht="12.75" customHeight="1" x14ac:dyDescent="0.1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</row>
    <row r="87" spans="1:19" ht="12.75" customHeight="1" x14ac:dyDescent="0.1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</row>
    <row r="88" spans="1:19" ht="12.75" customHeight="1" x14ac:dyDescent="0.1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</row>
    <row r="89" spans="1:19" ht="12.75" customHeight="1" x14ac:dyDescent="0.1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</row>
    <row r="90" spans="1:19" ht="12.75" customHeight="1" x14ac:dyDescent="0.1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</row>
    <row r="91" spans="1:19" ht="12.75" customHeight="1" x14ac:dyDescent="0.1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</row>
    <row r="92" spans="1:19" ht="12.75" customHeight="1" x14ac:dyDescent="0.1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</row>
    <row r="93" spans="1:19" ht="12.75" customHeight="1" x14ac:dyDescent="0.1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</row>
    <row r="94" spans="1:19" ht="12.75" customHeight="1" x14ac:dyDescent="0.1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</row>
    <row r="95" spans="1:19" ht="12.75" customHeight="1" x14ac:dyDescent="0.1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</row>
    <row r="96" spans="1:19" ht="12.75" customHeight="1" x14ac:dyDescent="0.1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</row>
    <row r="97" spans="1:19" ht="12.75" customHeight="1" x14ac:dyDescent="0.1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</row>
    <row r="98" spans="1:19" ht="12.75" customHeight="1" x14ac:dyDescent="0.1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</row>
    <row r="99" spans="1:19" ht="12.75" customHeight="1" x14ac:dyDescent="0.1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</row>
    <row r="100" spans="1:19" ht="12.75" customHeight="1" x14ac:dyDescent="0.1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</row>
    <row r="101" spans="1:19" ht="12.75" customHeight="1" x14ac:dyDescent="0.1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</row>
    <row r="102" spans="1:19" ht="12.75" customHeight="1" x14ac:dyDescent="0.1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</row>
    <row r="103" spans="1:19" ht="12.75" customHeight="1" x14ac:dyDescent="0.1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</row>
    <row r="104" spans="1:19" ht="12.75" customHeight="1" x14ac:dyDescent="0.1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</row>
    <row r="105" spans="1:19" ht="12.75" customHeight="1" x14ac:dyDescent="0.1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</row>
    <row r="106" spans="1:19" ht="12.75" customHeight="1" x14ac:dyDescent="0.1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</row>
    <row r="107" spans="1:19" ht="12.75" customHeight="1" x14ac:dyDescent="0.1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</row>
    <row r="108" spans="1:19" ht="12.75" customHeight="1" x14ac:dyDescent="0.1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</row>
    <row r="109" spans="1:19" ht="12.75" customHeight="1" x14ac:dyDescent="0.1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</row>
    <row r="110" spans="1:19" ht="12.75" customHeight="1" x14ac:dyDescent="0.1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</row>
    <row r="111" spans="1:19" ht="12.75" customHeight="1" x14ac:dyDescent="0.1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</row>
    <row r="112" spans="1:19" ht="12.75" customHeight="1" x14ac:dyDescent="0.1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</row>
    <row r="113" spans="1:19" ht="12.75" customHeight="1" x14ac:dyDescent="0.1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</row>
    <row r="114" spans="1:19" ht="12.75" customHeight="1" x14ac:dyDescent="0.1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</row>
    <row r="115" spans="1:19" ht="12.75" customHeight="1" x14ac:dyDescent="0.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</row>
    <row r="116" spans="1:19" ht="12.75" customHeight="1" x14ac:dyDescent="0.1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</row>
    <row r="117" spans="1:19" ht="12.75" customHeight="1" x14ac:dyDescent="0.1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</row>
    <row r="118" spans="1:19" ht="12.75" customHeight="1" x14ac:dyDescent="0.1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</row>
    <row r="119" spans="1:19" ht="12.75" customHeight="1" x14ac:dyDescent="0.1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</row>
    <row r="120" spans="1:19" ht="12.75" customHeight="1" x14ac:dyDescent="0.1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</row>
    <row r="121" spans="1:19" ht="12.75" customHeight="1" x14ac:dyDescent="0.1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</row>
    <row r="122" spans="1:19" ht="12.75" customHeight="1" x14ac:dyDescent="0.1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</row>
    <row r="123" spans="1:19" ht="12.75" customHeight="1" x14ac:dyDescent="0.1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</row>
    <row r="124" spans="1:19" ht="12.75" customHeight="1" x14ac:dyDescent="0.1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</row>
    <row r="125" spans="1:19" ht="12.75" customHeight="1" x14ac:dyDescent="0.1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</row>
    <row r="126" spans="1:19" ht="12.75" customHeight="1" x14ac:dyDescent="0.1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</row>
    <row r="127" spans="1:19" ht="12.75" customHeight="1" x14ac:dyDescent="0.1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</row>
    <row r="128" spans="1:19" ht="12.75" customHeight="1" x14ac:dyDescent="0.1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</row>
    <row r="129" spans="1:19" ht="12.75" customHeight="1" x14ac:dyDescent="0.1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</row>
    <row r="130" spans="1:19" ht="12.75" customHeight="1" x14ac:dyDescent="0.1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</row>
    <row r="131" spans="1:19" ht="12.75" customHeight="1" x14ac:dyDescent="0.1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</row>
    <row r="132" spans="1:19" ht="12.75" customHeight="1" x14ac:dyDescent="0.1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</row>
    <row r="133" spans="1:19" ht="12.75" customHeight="1" x14ac:dyDescent="0.1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</row>
    <row r="134" spans="1:19" ht="12.75" customHeight="1" x14ac:dyDescent="0.1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</row>
    <row r="135" spans="1:19" ht="12.75" customHeight="1" x14ac:dyDescent="0.1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</row>
    <row r="136" spans="1:19" ht="12.75" customHeight="1" x14ac:dyDescent="0.1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</row>
    <row r="137" spans="1:19" ht="12.75" customHeight="1" x14ac:dyDescent="0.1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</row>
    <row r="138" spans="1:19" ht="12.75" customHeight="1" x14ac:dyDescent="0.1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</row>
    <row r="139" spans="1:19" ht="12.75" customHeight="1" x14ac:dyDescent="0.1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</row>
    <row r="140" spans="1:19" ht="12.75" customHeight="1" x14ac:dyDescent="0.1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</row>
    <row r="141" spans="1:19" ht="12.75" customHeight="1" x14ac:dyDescent="0.1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</row>
    <row r="142" spans="1:19" ht="12.75" customHeight="1" x14ac:dyDescent="0.1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</row>
    <row r="143" spans="1:19" ht="12.75" customHeight="1" x14ac:dyDescent="0.1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</row>
    <row r="144" spans="1:19" ht="12.75" customHeight="1" x14ac:dyDescent="0.1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</row>
    <row r="145" spans="1:19" ht="12.75" customHeight="1" x14ac:dyDescent="0.1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</row>
    <row r="146" spans="1:19" ht="12.75" customHeight="1" x14ac:dyDescent="0.1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</row>
    <row r="147" spans="1:19" ht="12.75" customHeight="1" x14ac:dyDescent="0.1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</row>
    <row r="148" spans="1:19" ht="12.75" customHeight="1" x14ac:dyDescent="0.1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</row>
    <row r="149" spans="1:19" ht="12.75" customHeight="1" x14ac:dyDescent="0.1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</row>
    <row r="150" spans="1:19" ht="12.75" customHeight="1" x14ac:dyDescent="0.1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</row>
    <row r="151" spans="1:19" ht="12.75" customHeight="1" x14ac:dyDescent="0.1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</row>
    <row r="152" spans="1:19" ht="12.75" customHeight="1" x14ac:dyDescent="0.1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</row>
    <row r="153" spans="1:19" ht="12.75" customHeight="1" x14ac:dyDescent="0.1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</row>
    <row r="154" spans="1:19" ht="12.75" customHeight="1" x14ac:dyDescent="0.1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</row>
    <row r="155" spans="1:19" ht="12.75" customHeight="1" x14ac:dyDescent="0.1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</row>
    <row r="156" spans="1:19" ht="12.75" customHeight="1" x14ac:dyDescent="0.1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</row>
    <row r="157" spans="1:19" ht="12.75" customHeight="1" x14ac:dyDescent="0.1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</row>
    <row r="158" spans="1:19" ht="12.75" customHeight="1" x14ac:dyDescent="0.1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</row>
    <row r="159" spans="1:19" ht="12.75" customHeight="1" x14ac:dyDescent="0.1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</row>
    <row r="160" spans="1:19" ht="12.75" customHeight="1" x14ac:dyDescent="0.1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</row>
    <row r="161" spans="1:19" ht="12.75" customHeight="1" x14ac:dyDescent="0.1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</row>
    <row r="162" spans="1:19" ht="12.75" customHeight="1" x14ac:dyDescent="0.1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</row>
    <row r="163" spans="1:19" ht="12.75" customHeight="1" x14ac:dyDescent="0.1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</row>
    <row r="164" spans="1:19" ht="12.75" customHeight="1" x14ac:dyDescent="0.1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</row>
    <row r="165" spans="1:19" ht="12.75" customHeight="1" x14ac:dyDescent="0.1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</row>
    <row r="166" spans="1:19" ht="12.75" customHeight="1" x14ac:dyDescent="0.1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</row>
    <row r="167" spans="1:19" ht="12.75" customHeight="1" x14ac:dyDescent="0.1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</row>
    <row r="168" spans="1:19" ht="12.75" customHeight="1" x14ac:dyDescent="0.1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</row>
    <row r="169" spans="1:19" ht="12.75" customHeight="1" x14ac:dyDescent="0.1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</row>
    <row r="170" spans="1:19" ht="12.75" customHeight="1" x14ac:dyDescent="0.1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</row>
    <row r="171" spans="1:19" ht="12.75" customHeight="1" x14ac:dyDescent="0.1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</row>
    <row r="172" spans="1:19" ht="12.75" customHeight="1" x14ac:dyDescent="0.1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</row>
    <row r="173" spans="1:19" ht="12.75" customHeight="1" x14ac:dyDescent="0.1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</row>
    <row r="174" spans="1:19" ht="12.75" customHeight="1" x14ac:dyDescent="0.1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</row>
    <row r="175" spans="1:19" ht="12.75" customHeight="1" x14ac:dyDescent="0.1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</row>
    <row r="176" spans="1:19" ht="12.75" customHeight="1" x14ac:dyDescent="0.1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</row>
    <row r="177" spans="1:19" ht="12.75" customHeight="1" x14ac:dyDescent="0.1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</row>
    <row r="178" spans="1:19" ht="12.75" customHeight="1" x14ac:dyDescent="0.1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</row>
    <row r="179" spans="1:19" ht="12.75" customHeight="1" x14ac:dyDescent="0.1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</row>
    <row r="180" spans="1:19" ht="12.75" customHeight="1" x14ac:dyDescent="0.1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</row>
    <row r="181" spans="1:19" ht="12.75" customHeight="1" x14ac:dyDescent="0.1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</row>
    <row r="182" spans="1:19" ht="12.75" customHeight="1" x14ac:dyDescent="0.1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</row>
    <row r="183" spans="1:19" ht="12.75" customHeight="1" x14ac:dyDescent="0.1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</row>
    <row r="184" spans="1:19" ht="12.75" customHeight="1" x14ac:dyDescent="0.1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</row>
    <row r="185" spans="1:19" ht="12.75" customHeight="1" x14ac:dyDescent="0.1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</row>
    <row r="186" spans="1:19" ht="12.75" customHeight="1" x14ac:dyDescent="0.1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</row>
    <row r="187" spans="1:19" ht="12.75" customHeight="1" x14ac:dyDescent="0.1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</row>
    <row r="188" spans="1:19" ht="12.75" customHeight="1" x14ac:dyDescent="0.1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</row>
    <row r="189" spans="1:19" ht="12.75" customHeight="1" x14ac:dyDescent="0.1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</row>
    <row r="190" spans="1:19" ht="12.75" customHeight="1" x14ac:dyDescent="0.1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</row>
    <row r="191" spans="1:19" ht="12.75" customHeight="1" x14ac:dyDescent="0.1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</row>
    <row r="192" spans="1:19" ht="12.75" customHeight="1" x14ac:dyDescent="0.1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</row>
    <row r="193" spans="1:19" ht="12.75" customHeight="1" x14ac:dyDescent="0.1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</row>
    <row r="194" spans="1:19" ht="12.75" customHeight="1" x14ac:dyDescent="0.1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</row>
    <row r="195" spans="1:19" ht="12.75" customHeight="1" x14ac:dyDescent="0.1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</row>
    <row r="196" spans="1:19" ht="12.75" customHeight="1" x14ac:dyDescent="0.1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</row>
    <row r="197" spans="1:19" ht="12.75" customHeight="1" x14ac:dyDescent="0.1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</row>
    <row r="198" spans="1:19" ht="12.75" customHeight="1" x14ac:dyDescent="0.1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</row>
    <row r="199" spans="1:19" ht="12.75" customHeight="1" x14ac:dyDescent="0.1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</row>
    <row r="200" spans="1:19" ht="12.75" customHeight="1" x14ac:dyDescent="0.1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</row>
    <row r="201" spans="1:19" ht="12.75" customHeight="1" x14ac:dyDescent="0.1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</row>
    <row r="202" spans="1:19" ht="12.75" customHeight="1" x14ac:dyDescent="0.1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</row>
    <row r="203" spans="1:19" ht="12.75" customHeight="1" x14ac:dyDescent="0.1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</row>
    <row r="204" spans="1:19" ht="12.75" customHeight="1" x14ac:dyDescent="0.1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</row>
    <row r="205" spans="1:19" ht="12.75" customHeight="1" x14ac:dyDescent="0.1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</row>
    <row r="206" spans="1:19" ht="12.75" customHeight="1" x14ac:dyDescent="0.1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</row>
    <row r="207" spans="1:19" ht="12.75" customHeight="1" x14ac:dyDescent="0.1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</row>
    <row r="208" spans="1:19" ht="12.75" customHeight="1" x14ac:dyDescent="0.1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</row>
    <row r="209" spans="1:19" ht="12.75" customHeight="1" x14ac:dyDescent="0.1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</row>
    <row r="210" spans="1:19" ht="12.75" customHeight="1" x14ac:dyDescent="0.1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</row>
    <row r="211" spans="1:19" ht="12.75" customHeight="1" x14ac:dyDescent="0.1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</row>
    <row r="212" spans="1:19" ht="12.75" customHeight="1" x14ac:dyDescent="0.1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</row>
    <row r="213" spans="1:19" ht="12.75" customHeight="1" x14ac:dyDescent="0.1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</row>
    <row r="214" spans="1:19" ht="12.75" customHeight="1" x14ac:dyDescent="0.1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</row>
    <row r="215" spans="1:19" ht="12.75" customHeight="1" x14ac:dyDescent="0.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</row>
    <row r="216" spans="1:19" ht="12.75" customHeight="1" x14ac:dyDescent="0.1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</row>
    <row r="217" spans="1:19" ht="12.75" customHeight="1" x14ac:dyDescent="0.1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</row>
    <row r="218" spans="1:19" ht="12.75" customHeight="1" x14ac:dyDescent="0.1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</row>
    <row r="219" spans="1:19" ht="12.75" customHeight="1" x14ac:dyDescent="0.1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</row>
    <row r="220" spans="1:19" ht="12.75" customHeight="1" x14ac:dyDescent="0.1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</row>
    <row r="221" spans="1:19" ht="12.75" customHeight="1" x14ac:dyDescent="0.1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</row>
    <row r="222" spans="1:19" ht="12.75" customHeight="1" x14ac:dyDescent="0.1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</row>
    <row r="223" spans="1:19" ht="12.75" customHeight="1" x14ac:dyDescent="0.1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</row>
    <row r="224" spans="1:19" ht="12.75" customHeight="1" x14ac:dyDescent="0.1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</row>
    <row r="225" spans="1:19" ht="12.75" customHeight="1" x14ac:dyDescent="0.1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</row>
    <row r="226" spans="1:19" ht="12.75" customHeight="1" x14ac:dyDescent="0.1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</row>
    <row r="227" spans="1:19" ht="12.75" customHeight="1" x14ac:dyDescent="0.1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</row>
    <row r="228" spans="1:19" ht="12.75" customHeight="1" x14ac:dyDescent="0.1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</row>
    <row r="229" spans="1:19" ht="12.75" customHeight="1" x14ac:dyDescent="0.1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</row>
    <row r="230" spans="1:19" ht="12.75" customHeight="1" x14ac:dyDescent="0.1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</row>
    <row r="231" spans="1:19" ht="12.75" customHeight="1" x14ac:dyDescent="0.1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</row>
    <row r="232" spans="1:19" ht="12.75" customHeight="1" x14ac:dyDescent="0.1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</row>
    <row r="233" spans="1:19" ht="12.75" customHeight="1" x14ac:dyDescent="0.1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</row>
    <row r="234" spans="1:19" ht="12.75" customHeight="1" x14ac:dyDescent="0.1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</row>
    <row r="235" spans="1:19" ht="12.75" customHeight="1" x14ac:dyDescent="0.1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</row>
    <row r="236" spans="1:19" ht="12.75" customHeight="1" x14ac:dyDescent="0.1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</row>
    <row r="237" spans="1:19" ht="12.75" customHeight="1" x14ac:dyDescent="0.1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</row>
    <row r="238" spans="1:19" ht="12.75" customHeight="1" x14ac:dyDescent="0.1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</row>
    <row r="239" spans="1:19" ht="12.75" customHeight="1" x14ac:dyDescent="0.1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</row>
    <row r="240" spans="1:19" ht="12.75" customHeight="1" x14ac:dyDescent="0.1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</row>
    <row r="241" spans="1:19" ht="12.75" customHeight="1" x14ac:dyDescent="0.1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</row>
    <row r="242" spans="1:19" ht="12.75" customHeight="1" x14ac:dyDescent="0.1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</row>
    <row r="243" spans="1:19" ht="12.75" customHeight="1" x14ac:dyDescent="0.1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</row>
    <row r="244" spans="1:19" ht="12.75" customHeight="1" x14ac:dyDescent="0.1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</row>
    <row r="245" spans="1:19" ht="12.75" customHeight="1" x14ac:dyDescent="0.1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</row>
    <row r="246" spans="1:19" ht="12.75" customHeight="1" x14ac:dyDescent="0.1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</row>
    <row r="247" spans="1:19" ht="12.75" customHeight="1" x14ac:dyDescent="0.1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</row>
    <row r="248" spans="1:19" ht="12.75" customHeight="1" x14ac:dyDescent="0.1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</row>
    <row r="249" spans="1:19" ht="12.75" customHeight="1" x14ac:dyDescent="0.1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</row>
    <row r="250" spans="1:19" ht="12.75" customHeight="1" x14ac:dyDescent="0.1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</row>
    <row r="251" spans="1:19" ht="12.75" customHeight="1" x14ac:dyDescent="0.1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</row>
    <row r="252" spans="1:19" ht="12.75" customHeight="1" x14ac:dyDescent="0.1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</row>
    <row r="253" spans="1:19" ht="12.75" customHeight="1" x14ac:dyDescent="0.1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</row>
    <row r="254" spans="1:19" ht="12.75" customHeight="1" x14ac:dyDescent="0.1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</row>
    <row r="255" spans="1:19" ht="12.75" customHeight="1" x14ac:dyDescent="0.1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</row>
    <row r="256" spans="1:19" ht="12.75" customHeight="1" x14ac:dyDescent="0.1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</row>
    <row r="257" spans="1:19" ht="12.75" customHeight="1" x14ac:dyDescent="0.1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</row>
    <row r="258" spans="1:19" ht="12.75" customHeight="1" x14ac:dyDescent="0.1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</row>
    <row r="259" spans="1:19" ht="12.75" customHeight="1" x14ac:dyDescent="0.1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</row>
    <row r="260" spans="1:19" ht="12.75" customHeight="1" x14ac:dyDescent="0.1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</row>
    <row r="261" spans="1:19" ht="12.75" customHeight="1" x14ac:dyDescent="0.1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</row>
    <row r="262" spans="1:19" ht="12.75" customHeight="1" x14ac:dyDescent="0.1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</row>
    <row r="263" spans="1:19" ht="12.75" customHeight="1" x14ac:dyDescent="0.1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</row>
    <row r="264" spans="1:19" ht="12.75" customHeight="1" x14ac:dyDescent="0.1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</row>
    <row r="265" spans="1:19" ht="12.75" customHeight="1" x14ac:dyDescent="0.1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</row>
    <row r="266" spans="1:19" ht="12.75" customHeight="1" x14ac:dyDescent="0.1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</row>
    <row r="267" spans="1:19" ht="12.75" customHeight="1" x14ac:dyDescent="0.1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</row>
    <row r="268" spans="1:19" ht="12.75" customHeight="1" x14ac:dyDescent="0.1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</row>
    <row r="269" spans="1:19" ht="12.75" customHeight="1" x14ac:dyDescent="0.1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</row>
    <row r="270" spans="1:19" ht="12.75" customHeight="1" x14ac:dyDescent="0.1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</row>
    <row r="271" spans="1:19" ht="12.75" customHeight="1" x14ac:dyDescent="0.1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</row>
    <row r="272" spans="1:19" ht="12.75" customHeight="1" x14ac:dyDescent="0.1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</row>
    <row r="273" spans="1:19" ht="12.75" customHeight="1" x14ac:dyDescent="0.1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</row>
    <row r="274" spans="1:19" ht="12.75" customHeight="1" x14ac:dyDescent="0.1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</row>
    <row r="275" spans="1:19" ht="12.75" customHeight="1" x14ac:dyDescent="0.1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</row>
    <row r="276" spans="1:19" ht="12.75" customHeight="1" x14ac:dyDescent="0.1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</row>
    <row r="277" spans="1:19" ht="12.75" customHeight="1" x14ac:dyDescent="0.1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</row>
    <row r="278" spans="1:19" ht="12.75" customHeight="1" x14ac:dyDescent="0.1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</row>
    <row r="279" spans="1:19" ht="12.75" customHeight="1" x14ac:dyDescent="0.1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</row>
    <row r="280" spans="1:19" ht="12.75" customHeight="1" x14ac:dyDescent="0.1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</row>
    <row r="281" spans="1:19" ht="12.75" customHeight="1" x14ac:dyDescent="0.1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</row>
    <row r="282" spans="1:19" ht="12.75" customHeight="1" x14ac:dyDescent="0.1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</row>
    <row r="283" spans="1:19" ht="12.75" customHeight="1" x14ac:dyDescent="0.1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</row>
    <row r="284" spans="1:19" ht="12.75" customHeight="1" x14ac:dyDescent="0.1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</row>
    <row r="285" spans="1:19" ht="12.75" customHeight="1" x14ac:dyDescent="0.1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</row>
    <row r="286" spans="1:19" ht="12.75" customHeight="1" x14ac:dyDescent="0.1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</row>
    <row r="287" spans="1:19" ht="12.75" customHeight="1" x14ac:dyDescent="0.1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</row>
    <row r="288" spans="1:19" ht="12.75" customHeight="1" x14ac:dyDescent="0.1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</row>
    <row r="289" spans="1:19" ht="12.75" customHeight="1" x14ac:dyDescent="0.1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</row>
    <row r="290" spans="1:19" ht="12.75" customHeight="1" x14ac:dyDescent="0.1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</row>
    <row r="291" spans="1:19" ht="12.75" customHeight="1" x14ac:dyDescent="0.1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</row>
    <row r="292" spans="1:19" ht="12.75" customHeight="1" x14ac:dyDescent="0.1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</row>
    <row r="293" spans="1:19" ht="12.75" customHeight="1" x14ac:dyDescent="0.1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</row>
    <row r="294" spans="1:19" ht="12.75" customHeight="1" x14ac:dyDescent="0.1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</row>
    <row r="295" spans="1:19" ht="12.75" customHeight="1" x14ac:dyDescent="0.1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</row>
    <row r="296" spans="1:19" ht="12.75" customHeight="1" x14ac:dyDescent="0.1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</row>
    <row r="297" spans="1:19" ht="12.75" customHeight="1" x14ac:dyDescent="0.1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</row>
    <row r="298" spans="1:19" ht="12.75" customHeight="1" x14ac:dyDescent="0.1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</row>
    <row r="299" spans="1:19" ht="12.75" customHeight="1" x14ac:dyDescent="0.1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</row>
    <row r="300" spans="1:19" ht="12.75" customHeight="1" x14ac:dyDescent="0.1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</row>
    <row r="301" spans="1:19" ht="12.75" customHeight="1" x14ac:dyDescent="0.1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</row>
    <row r="302" spans="1:19" ht="12.75" customHeight="1" x14ac:dyDescent="0.1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</row>
    <row r="303" spans="1:19" ht="12.75" customHeight="1" x14ac:dyDescent="0.1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</row>
    <row r="304" spans="1:19" ht="12.75" customHeight="1" x14ac:dyDescent="0.1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</row>
    <row r="305" spans="1:19" ht="12.75" customHeight="1" x14ac:dyDescent="0.1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</row>
    <row r="306" spans="1:19" ht="12.75" customHeight="1" x14ac:dyDescent="0.1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</row>
    <row r="307" spans="1:19" ht="12.75" customHeight="1" x14ac:dyDescent="0.1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</row>
    <row r="308" spans="1:19" ht="12.75" customHeight="1" x14ac:dyDescent="0.1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</row>
    <row r="309" spans="1:19" ht="12.75" customHeight="1" x14ac:dyDescent="0.1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</row>
    <row r="310" spans="1:19" ht="12.75" customHeight="1" x14ac:dyDescent="0.1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</row>
    <row r="311" spans="1:19" ht="12.75" customHeight="1" x14ac:dyDescent="0.1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</row>
    <row r="312" spans="1:19" ht="12.75" customHeight="1" x14ac:dyDescent="0.1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</row>
    <row r="313" spans="1:19" ht="12.75" customHeight="1" x14ac:dyDescent="0.1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</row>
    <row r="314" spans="1:19" ht="12.75" customHeight="1" x14ac:dyDescent="0.1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</row>
    <row r="315" spans="1:19" ht="12.75" customHeight="1" x14ac:dyDescent="0.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</row>
    <row r="316" spans="1:19" ht="12.75" customHeight="1" x14ac:dyDescent="0.1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</row>
    <row r="317" spans="1:19" ht="12.75" customHeight="1" x14ac:dyDescent="0.1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</row>
    <row r="318" spans="1:19" ht="12.75" customHeight="1" x14ac:dyDescent="0.1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</row>
    <row r="319" spans="1:19" ht="12.75" customHeight="1" x14ac:dyDescent="0.1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</row>
    <row r="320" spans="1:19" ht="12.75" customHeight="1" x14ac:dyDescent="0.1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</row>
    <row r="321" spans="1:19" ht="12.75" customHeight="1" x14ac:dyDescent="0.1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</row>
    <row r="322" spans="1:19" ht="12.75" customHeight="1" x14ac:dyDescent="0.1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</row>
    <row r="323" spans="1:19" ht="12.75" customHeight="1" x14ac:dyDescent="0.1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</row>
    <row r="324" spans="1:19" ht="12.75" customHeight="1" x14ac:dyDescent="0.1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</row>
    <row r="325" spans="1:19" ht="12.75" customHeight="1" x14ac:dyDescent="0.1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</row>
    <row r="326" spans="1:19" ht="12.75" customHeight="1" x14ac:dyDescent="0.1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</row>
    <row r="327" spans="1:19" ht="12.75" customHeight="1" x14ac:dyDescent="0.1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</row>
    <row r="328" spans="1:19" ht="12.75" customHeight="1" x14ac:dyDescent="0.1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</row>
    <row r="329" spans="1:19" ht="12.75" customHeight="1" x14ac:dyDescent="0.1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</row>
    <row r="330" spans="1:19" ht="12.75" customHeight="1" x14ac:dyDescent="0.1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</row>
    <row r="331" spans="1:19" ht="12.75" customHeight="1" x14ac:dyDescent="0.1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</row>
    <row r="332" spans="1:19" ht="12.75" customHeight="1" x14ac:dyDescent="0.1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</row>
    <row r="333" spans="1:19" ht="12.75" customHeight="1" x14ac:dyDescent="0.1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</row>
    <row r="334" spans="1:19" ht="12.75" customHeight="1" x14ac:dyDescent="0.1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</row>
    <row r="335" spans="1:19" ht="12.75" customHeight="1" x14ac:dyDescent="0.1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</row>
    <row r="336" spans="1:19" ht="12.75" customHeight="1" x14ac:dyDescent="0.1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</row>
    <row r="337" spans="1:19" ht="12.75" customHeight="1" x14ac:dyDescent="0.1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</row>
    <row r="338" spans="1:19" ht="12.75" customHeight="1" x14ac:dyDescent="0.1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</row>
    <row r="339" spans="1:19" ht="12.75" customHeight="1" x14ac:dyDescent="0.1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</row>
    <row r="340" spans="1:19" ht="12.75" customHeight="1" x14ac:dyDescent="0.1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</row>
    <row r="341" spans="1:19" ht="12.75" customHeight="1" x14ac:dyDescent="0.1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</row>
    <row r="342" spans="1:19" ht="12.75" customHeight="1" x14ac:dyDescent="0.1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</row>
    <row r="343" spans="1:19" ht="12.75" customHeight="1" x14ac:dyDescent="0.1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</row>
    <row r="344" spans="1:19" ht="12.75" customHeight="1" x14ac:dyDescent="0.1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</row>
    <row r="345" spans="1:19" ht="12.75" customHeight="1" x14ac:dyDescent="0.1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</row>
    <row r="346" spans="1:19" ht="12.75" customHeight="1" x14ac:dyDescent="0.1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</row>
    <row r="347" spans="1:19" ht="12.75" customHeight="1" x14ac:dyDescent="0.1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</row>
    <row r="348" spans="1:19" ht="12.75" customHeight="1" x14ac:dyDescent="0.1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</row>
    <row r="349" spans="1:19" ht="12.75" customHeight="1" x14ac:dyDescent="0.1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</row>
    <row r="350" spans="1:19" ht="12.75" customHeight="1" x14ac:dyDescent="0.1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</row>
    <row r="351" spans="1:19" ht="12.75" customHeight="1" x14ac:dyDescent="0.1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</row>
    <row r="352" spans="1:19" ht="12.75" customHeight="1" x14ac:dyDescent="0.1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</row>
    <row r="353" spans="1:19" ht="12.75" customHeight="1" x14ac:dyDescent="0.1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</row>
    <row r="354" spans="1:19" ht="12.75" customHeight="1" x14ac:dyDescent="0.1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</row>
    <row r="355" spans="1:19" ht="12.75" customHeight="1" x14ac:dyDescent="0.1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</row>
    <row r="356" spans="1:19" ht="12.75" customHeight="1" x14ac:dyDescent="0.1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</row>
    <row r="357" spans="1:19" ht="12.75" customHeight="1" x14ac:dyDescent="0.1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</row>
    <row r="358" spans="1:19" ht="12.75" customHeight="1" x14ac:dyDescent="0.1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</row>
    <row r="359" spans="1:19" ht="12.75" customHeight="1" x14ac:dyDescent="0.1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</row>
    <row r="360" spans="1:19" ht="12.75" customHeight="1" x14ac:dyDescent="0.1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</row>
    <row r="361" spans="1:19" ht="12.75" customHeight="1" x14ac:dyDescent="0.1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</row>
    <row r="362" spans="1:19" ht="12.75" customHeight="1" x14ac:dyDescent="0.1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</row>
    <row r="363" spans="1:19" ht="12.75" customHeight="1" x14ac:dyDescent="0.1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</row>
    <row r="364" spans="1:19" ht="12.75" customHeight="1" x14ac:dyDescent="0.1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</row>
    <row r="365" spans="1:19" ht="12.75" customHeight="1" x14ac:dyDescent="0.1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</row>
    <row r="366" spans="1:19" ht="12.75" customHeight="1" x14ac:dyDescent="0.1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</row>
    <row r="367" spans="1:19" ht="12.75" customHeight="1" x14ac:dyDescent="0.1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</row>
    <row r="368" spans="1:19" ht="12.75" customHeight="1" x14ac:dyDescent="0.1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</row>
    <row r="369" spans="1:19" ht="12.75" customHeight="1" x14ac:dyDescent="0.1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</row>
    <row r="370" spans="1:19" ht="12.75" customHeight="1" x14ac:dyDescent="0.1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</row>
    <row r="371" spans="1:19" ht="12.75" customHeight="1" x14ac:dyDescent="0.1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</row>
    <row r="372" spans="1:19" ht="12.75" customHeight="1" x14ac:dyDescent="0.1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</row>
    <row r="373" spans="1:19" ht="12.75" customHeight="1" x14ac:dyDescent="0.1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</row>
    <row r="374" spans="1:19" ht="12.75" customHeight="1" x14ac:dyDescent="0.1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</row>
    <row r="375" spans="1:19" ht="12.75" customHeight="1" x14ac:dyDescent="0.1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</row>
    <row r="376" spans="1:19" ht="12.75" customHeight="1" x14ac:dyDescent="0.1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</row>
    <row r="377" spans="1:19" ht="12.75" customHeight="1" x14ac:dyDescent="0.1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</row>
    <row r="378" spans="1:19" ht="12.75" customHeight="1" x14ac:dyDescent="0.1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</row>
    <row r="379" spans="1:19" ht="12.75" customHeight="1" x14ac:dyDescent="0.1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</row>
    <row r="380" spans="1:19" ht="12.75" customHeight="1" x14ac:dyDescent="0.1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</row>
    <row r="381" spans="1:19" ht="12.75" customHeight="1" x14ac:dyDescent="0.1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</row>
    <row r="382" spans="1:19" ht="12.75" customHeight="1" x14ac:dyDescent="0.1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</row>
    <row r="383" spans="1:19" ht="12.75" customHeight="1" x14ac:dyDescent="0.1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</row>
    <row r="384" spans="1:19" ht="12.75" customHeight="1" x14ac:dyDescent="0.1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</row>
    <row r="385" spans="1:19" ht="12.75" customHeight="1" x14ac:dyDescent="0.1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</row>
    <row r="386" spans="1:19" ht="12.75" customHeight="1" x14ac:dyDescent="0.1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</row>
    <row r="387" spans="1:19" ht="12.75" customHeight="1" x14ac:dyDescent="0.1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</row>
    <row r="388" spans="1:19" ht="12.75" customHeight="1" x14ac:dyDescent="0.1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</row>
    <row r="389" spans="1:19" ht="12.75" customHeight="1" x14ac:dyDescent="0.1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</row>
    <row r="390" spans="1:19" ht="12.75" customHeight="1" x14ac:dyDescent="0.1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</row>
    <row r="391" spans="1:19" ht="12.75" customHeight="1" x14ac:dyDescent="0.1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</row>
    <row r="392" spans="1:19" ht="12.75" customHeight="1" x14ac:dyDescent="0.1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</row>
    <row r="393" spans="1:19" ht="12.75" customHeight="1" x14ac:dyDescent="0.1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</row>
    <row r="394" spans="1:19" ht="12.75" customHeight="1" x14ac:dyDescent="0.1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</row>
    <row r="395" spans="1:19" ht="12.75" customHeight="1" x14ac:dyDescent="0.1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</row>
    <row r="396" spans="1:19" ht="12.75" customHeight="1" x14ac:dyDescent="0.1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</row>
    <row r="397" spans="1:19" ht="12.75" customHeight="1" x14ac:dyDescent="0.1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</row>
    <row r="398" spans="1:19" ht="12.75" customHeight="1" x14ac:dyDescent="0.1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</row>
    <row r="399" spans="1:19" ht="12.75" customHeight="1" x14ac:dyDescent="0.1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</row>
    <row r="400" spans="1:19" ht="12.75" customHeight="1" x14ac:dyDescent="0.1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</row>
    <row r="401" spans="1:19" ht="12.75" customHeight="1" x14ac:dyDescent="0.1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</row>
    <row r="402" spans="1:19" ht="12.75" customHeight="1" x14ac:dyDescent="0.1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</row>
    <row r="403" spans="1:19" ht="12.75" customHeight="1" x14ac:dyDescent="0.1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</row>
    <row r="404" spans="1:19" ht="12.75" customHeight="1" x14ac:dyDescent="0.1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</row>
    <row r="405" spans="1:19" ht="12.75" customHeight="1" x14ac:dyDescent="0.1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</row>
    <row r="406" spans="1:19" ht="12.75" customHeight="1" x14ac:dyDescent="0.1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</row>
    <row r="407" spans="1:19" ht="12.75" customHeight="1" x14ac:dyDescent="0.1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</row>
    <row r="408" spans="1:19" ht="12.75" customHeight="1" x14ac:dyDescent="0.1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</row>
    <row r="409" spans="1:19" ht="12.75" customHeight="1" x14ac:dyDescent="0.1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</row>
    <row r="410" spans="1:19" ht="12.75" customHeight="1" x14ac:dyDescent="0.1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</row>
    <row r="411" spans="1:19" ht="12.75" customHeight="1" x14ac:dyDescent="0.1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</row>
    <row r="412" spans="1:19" ht="12.75" customHeight="1" x14ac:dyDescent="0.1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</row>
    <row r="413" spans="1:19" ht="12.75" customHeight="1" x14ac:dyDescent="0.1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</row>
    <row r="414" spans="1:19" ht="12.75" customHeight="1" x14ac:dyDescent="0.1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</row>
    <row r="415" spans="1:19" ht="12.75" customHeight="1" x14ac:dyDescent="0.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</row>
    <row r="416" spans="1:19" ht="12.75" customHeight="1" x14ac:dyDescent="0.1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</row>
    <row r="417" spans="1:19" ht="12.75" customHeight="1" x14ac:dyDescent="0.1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</row>
    <row r="418" spans="1:19" ht="12.75" customHeight="1" x14ac:dyDescent="0.1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</row>
    <row r="419" spans="1:19" ht="12.75" customHeight="1" x14ac:dyDescent="0.1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</row>
    <row r="420" spans="1:19" ht="12.75" customHeight="1" x14ac:dyDescent="0.1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</row>
    <row r="421" spans="1:19" ht="12.75" customHeight="1" x14ac:dyDescent="0.1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</row>
    <row r="422" spans="1:19" ht="12.75" customHeight="1" x14ac:dyDescent="0.1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</row>
    <row r="423" spans="1:19" ht="12.75" customHeight="1" x14ac:dyDescent="0.1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</row>
    <row r="424" spans="1:19" ht="12.75" customHeight="1" x14ac:dyDescent="0.1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</row>
    <row r="425" spans="1:19" ht="12.75" customHeight="1" x14ac:dyDescent="0.1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</row>
    <row r="426" spans="1:19" ht="12.75" customHeight="1" x14ac:dyDescent="0.1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</row>
    <row r="427" spans="1:19" ht="12.75" customHeight="1" x14ac:dyDescent="0.1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</row>
    <row r="428" spans="1:19" ht="12.75" customHeight="1" x14ac:dyDescent="0.1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</row>
    <row r="429" spans="1:19" ht="12.75" customHeight="1" x14ac:dyDescent="0.1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</row>
    <row r="430" spans="1:19" ht="12.75" customHeight="1" x14ac:dyDescent="0.1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</row>
    <row r="431" spans="1:19" ht="12.75" customHeight="1" x14ac:dyDescent="0.1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</row>
    <row r="432" spans="1:19" ht="12.75" customHeight="1" x14ac:dyDescent="0.1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</row>
    <row r="433" spans="1:19" ht="12.75" customHeight="1" x14ac:dyDescent="0.1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</row>
    <row r="434" spans="1:19" ht="12.75" customHeight="1" x14ac:dyDescent="0.1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</row>
    <row r="435" spans="1:19" ht="12.75" customHeight="1" x14ac:dyDescent="0.1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</row>
    <row r="436" spans="1:19" ht="12.75" customHeight="1" x14ac:dyDescent="0.1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</row>
    <row r="437" spans="1:19" ht="12.75" customHeight="1" x14ac:dyDescent="0.1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</row>
    <row r="438" spans="1:19" ht="12.75" customHeight="1" x14ac:dyDescent="0.1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</row>
    <row r="439" spans="1:19" ht="12.75" customHeight="1" x14ac:dyDescent="0.1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</row>
    <row r="440" spans="1:19" ht="12.75" customHeight="1" x14ac:dyDescent="0.1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</row>
    <row r="441" spans="1:19" ht="12.75" customHeight="1" x14ac:dyDescent="0.1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</row>
    <row r="442" spans="1:19" ht="12.75" customHeight="1" x14ac:dyDescent="0.1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</row>
    <row r="443" spans="1:19" ht="12.75" customHeight="1" x14ac:dyDescent="0.1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</row>
    <row r="444" spans="1:19" ht="12.75" customHeight="1" x14ac:dyDescent="0.1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</row>
    <row r="445" spans="1:19" ht="12.75" customHeight="1" x14ac:dyDescent="0.1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</row>
    <row r="446" spans="1:19" ht="12.75" customHeight="1" x14ac:dyDescent="0.1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</row>
    <row r="447" spans="1:19" ht="12.75" customHeight="1" x14ac:dyDescent="0.1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</row>
    <row r="448" spans="1:19" ht="12.75" customHeight="1" x14ac:dyDescent="0.1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</row>
    <row r="449" spans="1:19" ht="12.75" customHeight="1" x14ac:dyDescent="0.1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</row>
    <row r="450" spans="1:19" ht="12.75" customHeight="1" x14ac:dyDescent="0.1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</row>
    <row r="451" spans="1:19" ht="12.75" customHeight="1" x14ac:dyDescent="0.1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</row>
    <row r="452" spans="1:19" ht="12.75" customHeight="1" x14ac:dyDescent="0.1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</row>
    <row r="453" spans="1:19" ht="12.75" customHeight="1" x14ac:dyDescent="0.1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</row>
    <row r="454" spans="1:19" ht="12.75" customHeight="1" x14ac:dyDescent="0.1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</row>
    <row r="455" spans="1:19" ht="12.75" customHeight="1" x14ac:dyDescent="0.1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</row>
    <row r="456" spans="1:19" ht="12.75" customHeight="1" x14ac:dyDescent="0.1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</row>
    <row r="457" spans="1:19" ht="12.75" customHeight="1" x14ac:dyDescent="0.1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</row>
    <row r="458" spans="1:19" ht="12.75" customHeight="1" x14ac:dyDescent="0.1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</row>
    <row r="459" spans="1:19" ht="12.75" customHeight="1" x14ac:dyDescent="0.1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</row>
    <row r="460" spans="1:19" ht="12.75" customHeight="1" x14ac:dyDescent="0.1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</row>
    <row r="461" spans="1:19" ht="12.75" customHeight="1" x14ac:dyDescent="0.1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</row>
    <row r="462" spans="1:19" ht="12.75" customHeight="1" x14ac:dyDescent="0.1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</row>
    <row r="463" spans="1:19" ht="12.75" customHeight="1" x14ac:dyDescent="0.1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</row>
    <row r="464" spans="1:19" ht="12.75" customHeight="1" x14ac:dyDescent="0.1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</row>
    <row r="465" spans="1:19" ht="12.75" customHeight="1" x14ac:dyDescent="0.1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</row>
    <row r="466" spans="1:19" ht="12.75" customHeight="1" x14ac:dyDescent="0.1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</row>
    <row r="467" spans="1:19" ht="12.75" customHeight="1" x14ac:dyDescent="0.1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</row>
    <row r="468" spans="1:19" ht="12.75" customHeight="1" x14ac:dyDescent="0.1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</row>
    <row r="469" spans="1:19" ht="12.75" customHeight="1" x14ac:dyDescent="0.1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</row>
    <row r="470" spans="1:19" ht="12.75" customHeight="1" x14ac:dyDescent="0.1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</row>
    <row r="471" spans="1:19" ht="12.75" customHeight="1" x14ac:dyDescent="0.1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</row>
    <row r="472" spans="1:19" ht="12.75" customHeight="1" x14ac:dyDescent="0.1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</row>
    <row r="473" spans="1:19" ht="12.75" customHeight="1" x14ac:dyDescent="0.1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</row>
    <row r="474" spans="1:19" ht="12.75" customHeight="1" x14ac:dyDescent="0.1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</row>
    <row r="475" spans="1:19" ht="12.75" customHeight="1" x14ac:dyDescent="0.1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</row>
    <row r="476" spans="1:19" ht="12.75" customHeight="1" x14ac:dyDescent="0.1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</row>
    <row r="477" spans="1:19" ht="12.75" customHeight="1" x14ac:dyDescent="0.1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</row>
    <row r="478" spans="1:19" ht="12.75" customHeight="1" x14ac:dyDescent="0.1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</row>
    <row r="479" spans="1:19" ht="12.75" customHeight="1" x14ac:dyDescent="0.1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</row>
    <row r="480" spans="1:19" ht="12.75" customHeight="1" x14ac:dyDescent="0.1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</row>
    <row r="481" spans="1:19" ht="12.75" customHeight="1" x14ac:dyDescent="0.1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</row>
    <row r="482" spans="1:19" ht="12.75" customHeight="1" x14ac:dyDescent="0.1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</row>
    <row r="483" spans="1:19" ht="12.75" customHeight="1" x14ac:dyDescent="0.1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</row>
    <row r="484" spans="1:19" ht="12.75" customHeight="1" x14ac:dyDescent="0.1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</row>
    <row r="485" spans="1:19" ht="12.75" customHeight="1" x14ac:dyDescent="0.1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</row>
    <row r="486" spans="1:19" ht="12.75" customHeight="1" x14ac:dyDescent="0.1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</row>
    <row r="487" spans="1:19" ht="12.75" customHeight="1" x14ac:dyDescent="0.1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</row>
    <row r="488" spans="1:19" ht="12.75" customHeight="1" x14ac:dyDescent="0.1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</row>
    <row r="489" spans="1:19" ht="12.75" customHeight="1" x14ac:dyDescent="0.1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</row>
    <row r="490" spans="1:19" ht="12.75" customHeight="1" x14ac:dyDescent="0.1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</row>
    <row r="491" spans="1:19" ht="12.75" customHeight="1" x14ac:dyDescent="0.1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</row>
    <row r="492" spans="1:19" ht="12.75" customHeight="1" x14ac:dyDescent="0.1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</row>
    <row r="493" spans="1:19" ht="12.75" customHeight="1" x14ac:dyDescent="0.1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</row>
    <row r="494" spans="1:19" ht="12.75" customHeight="1" x14ac:dyDescent="0.1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</row>
    <row r="495" spans="1:19" ht="12.75" customHeight="1" x14ac:dyDescent="0.1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</row>
    <row r="496" spans="1:19" ht="12.75" customHeight="1" x14ac:dyDescent="0.1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</row>
    <row r="497" spans="1:19" ht="12.75" customHeight="1" x14ac:dyDescent="0.1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</row>
    <row r="498" spans="1:19" ht="12.75" customHeight="1" x14ac:dyDescent="0.1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</row>
    <row r="499" spans="1:19" ht="12.75" customHeight="1" x14ac:dyDescent="0.1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</row>
    <row r="500" spans="1:19" ht="12.75" customHeight="1" x14ac:dyDescent="0.1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</row>
    <row r="501" spans="1:19" ht="12.75" customHeight="1" x14ac:dyDescent="0.1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</row>
    <row r="502" spans="1:19" ht="12.75" customHeight="1" x14ac:dyDescent="0.1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</row>
    <row r="503" spans="1:19" ht="12.75" customHeight="1" x14ac:dyDescent="0.1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</row>
    <row r="504" spans="1:19" ht="12.75" customHeight="1" x14ac:dyDescent="0.1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</row>
    <row r="505" spans="1:19" ht="12.75" customHeight="1" x14ac:dyDescent="0.1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</row>
    <row r="506" spans="1:19" ht="12.75" customHeight="1" x14ac:dyDescent="0.1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</row>
    <row r="507" spans="1:19" ht="12.75" customHeight="1" x14ac:dyDescent="0.1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</row>
    <row r="508" spans="1:19" ht="12.75" customHeight="1" x14ac:dyDescent="0.1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</row>
    <row r="509" spans="1:19" ht="12.75" customHeight="1" x14ac:dyDescent="0.1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</row>
    <row r="510" spans="1:19" ht="12.75" customHeight="1" x14ac:dyDescent="0.1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</row>
    <row r="511" spans="1:19" ht="12.75" customHeight="1" x14ac:dyDescent="0.1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</row>
    <row r="512" spans="1:19" ht="12.75" customHeight="1" x14ac:dyDescent="0.1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</row>
    <row r="513" spans="1:19" ht="12.75" customHeight="1" x14ac:dyDescent="0.1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</row>
    <row r="514" spans="1:19" ht="12.75" customHeight="1" x14ac:dyDescent="0.1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</row>
    <row r="515" spans="1:19" ht="12.75" customHeight="1" x14ac:dyDescent="0.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</row>
    <row r="516" spans="1:19" ht="12.75" customHeight="1" x14ac:dyDescent="0.1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</row>
    <row r="517" spans="1:19" ht="12.75" customHeight="1" x14ac:dyDescent="0.1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</row>
    <row r="518" spans="1:19" ht="12.75" customHeight="1" x14ac:dyDescent="0.1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</row>
    <row r="519" spans="1:19" ht="12.75" customHeight="1" x14ac:dyDescent="0.1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</row>
    <row r="520" spans="1:19" ht="12.75" customHeight="1" x14ac:dyDescent="0.1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</row>
    <row r="521" spans="1:19" ht="12.75" customHeight="1" x14ac:dyDescent="0.1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</row>
    <row r="522" spans="1:19" ht="12.75" customHeight="1" x14ac:dyDescent="0.1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</row>
    <row r="523" spans="1:19" ht="12.75" customHeight="1" x14ac:dyDescent="0.1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</row>
    <row r="524" spans="1:19" ht="12.75" customHeight="1" x14ac:dyDescent="0.1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</row>
    <row r="525" spans="1:19" ht="12.75" customHeight="1" x14ac:dyDescent="0.1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</row>
    <row r="526" spans="1:19" ht="12.75" customHeight="1" x14ac:dyDescent="0.1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</row>
    <row r="527" spans="1:19" ht="12.75" customHeight="1" x14ac:dyDescent="0.1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</row>
    <row r="528" spans="1:19" ht="12.75" customHeight="1" x14ac:dyDescent="0.1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</row>
    <row r="529" spans="1:19" ht="12.75" customHeight="1" x14ac:dyDescent="0.1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</row>
    <row r="530" spans="1:19" ht="12.75" customHeight="1" x14ac:dyDescent="0.1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</row>
    <row r="531" spans="1:19" ht="12.75" customHeight="1" x14ac:dyDescent="0.1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</row>
    <row r="532" spans="1:19" ht="12.75" customHeight="1" x14ac:dyDescent="0.1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</row>
    <row r="533" spans="1:19" ht="12.75" customHeight="1" x14ac:dyDescent="0.1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</row>
    <row r="534" spans="1:19" ht="12.75" customHeight="1" x14ac:dyDescent="0.1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</row>
    <row r="535" spans="1:19" ht="12.75" customHeight="1" x14ac:dyDescent="0.1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</row>
    <row r="536" spans="1:19" ht="12.75" customHeight="1" x14ac:dyDescent="0.1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</row>
    <row r="537" spans="1:19" ht="12.75" customHeight="1" x14ac:dyDescent="0.1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</row>
    <row r="538" spans="1:19" ht="12.75" customHeight="1" x14ac:dyDescent="0.1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</row>
    <row r="539" spans="1:19" ht="12.75" customHeight="1" x14ac:dyDescent="0.1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</row>
    <row r="540" spans="1:19" ht="12.75" customHeight="1" x14ac:dyDescent="0.1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</row>
    <row r="541" spans="1:19" ht="12.75" customHeight="1" x14ac:dyDescent="0.1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</row>
    <row r="542" spans="1:19" ht="12.75" customHeight="1" x14ac:dyDescent="0.1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</row>
    <row r="543" spans="1:19" ht="12.75" customHeight="1" x14ac:dyDescent="0.1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</row>
    <row r="544" spans="1:19" ht="12.75" customHeight="1" x14ac:dyDescent="0.1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</row>
    <row r="545" spans="1:19" ht="12.75" customHeight="1" x14ac:dyDescent="0.1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</row>
    <row r="546" spans="1:19" ht="12.75" customHeight="1" x14ac:dyDescent="0.1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</row>
    <row r="547" spans="1:19" ht="12.75" customHeight="1" x14ac:dyDescent="0.1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</row>
    <row r="548" spans="1:19" ht="12.75" customHeight="1" x14ac:dyDescent="0.1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</row>
    <row r="549" spans="1:19" ht="12.75" customHeight="1" x14ac:dyDescent="0.1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</row>
    <row r="550" spans="1:19" ht="12.75" customHeight="1" x14ac:dyDescent="0.1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</row>
    <row r="551" spans="1:19" ht="12.75" customHeight="1" x14ac:dyDescent="0.1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</row>
    <row r="552" spans="1:19" ht="12.75" customHeight="1" x14ac:dyDescent="0.1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</row>
    <row r="553" spans="1:19" ht="12.75" customHeight="1" x14ac:dyDescent="0.1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</row>
    <row r="554" spans="1:19" ht="12.75" customHeight="1" x14ac:dyDescent="0.1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</row>
    <row r="555" spans="1:19" ht="12.75" customHeight="1" x14ac:dyDescent="0.1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</row>
    <row r="556" spans="1:19" ht="12.75" customHeight="1" x14ac:dyDescent="0.1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</row>
    <row r="557" spans="1:19" ht="12.75" customHeight="1" x14ac:dyDescent="0.1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</row>
    <row r="558" spans="1:19" ht="12.75" customHeight="1" x14ac:dyDescent="0.1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</row>
    <row r="559" spans="1:19" ht="12.75" customHeight="1" x14ac:dyDescent="0.1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</row>
    <row r="560" spans="1:19" ht="12.75" customHeight="1" x14ac:dyDescent="0.1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</row>
    <row r="561" spans="1:19" ht="12.75" customHeight="1" x14ac:dyDescent="0.1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</row>
    <row r="562" spans="1:19" ht="12.75" customHeight="1" x14ac:dyDescent="0.1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</row>
    <row r="563" spans="1:19" ht="12.75" customHeight="1" x14ac:dyDescent="0.1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</row>
    <row r="564" spans="1:19" ht="12.75" customHeight="1" x14ac:dyDescent="0.1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</row>
    <row r="565" spans="1:19" ht="12.75" customHeight="1" x14ac:dyDescent="0.1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</row>
    <row r="566" spans="1:19" ht="12.75" customHeight="1" x14ac:dyDescent="0.1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</row>
    <row r="567" spans="1:19" ht="12.75" customHeight="1" x14ac:dyDescent="0.1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</row>
    <row r="568" spans="1:19" ht="12.75" customHeight="1" x14ac:dyDescent="0.1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</row>
    <row r="569" spans="1:19" ht="12.75" customHeight="1" x14ac:dyDescent="0.1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</row>
    <row r="570" spans="1:19" ht="12.75" customHeight="1" x14ac:dyDescent="0.1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</row>
    <row r="571" spans="1:19" ht="12.75" customHeight="1" x14ac:dyDescent="0.1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</row>
    <row r="572" spans="1:19" ht="12.75" customHeight="1" x14ac:dyDescent="0.1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</row>
    <row r="573" spans="1:19" ht="12.75" customHeight="1" x14ac:dyDescent="0.1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</row>
    <row r="574" spans="1:19" ht="12.75" customHeight="1" x14ac:dyDescent="0.1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</row>
    <row r="575" spans="1:19" ht="12.75" customHeight="1" x14ac:dyDescent="0.1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</row>
    <row r="576" spans="1:19" ht="12.75" customHeight="1" x14ac:dyDescent="0.1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</row>
    <row r="577" spans="1:19" ht="12.75" customHeight="1" x14ac:dyDescent="0.1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</row>
    <row r="578" spans="1:19" ht="12.75" customHeight="1" x14ac:dyDescent="0.1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</row>
    <row r="579" spans="1:19" ht="12.75" customHeight="1" x14ac:dyDescent="0.1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</row>
    <row r="580" spans="1:19" ht="12.75" customHeight="1" x14ac:dyDescent="0.1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</row>
    <row r="581" spans="1:19" ht="12.75" customHeight="1" x14ac:dyDescent="0.1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</row>
    <row r="582" spans="1:19" ht="12.75" customHeight="1" x14ac:dyDescent="0.1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</row>
    <row r="583" spans="1:19" ht="12.75" customHeight="1" x14ac:dyDescent="0.1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</row>
    <row r="584" spans="1:19" ht="12.75" customHeight="1" x14ac:dyDescent="0.1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</row>
    <row r="585" spans="1:19" ht="12.75" customHeight="1" x14ac:dyDescent="0.1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</row>
    <row r="586" spans="1:19" ht="12.75" customHeight="1" x14ac:dyDescent="0.1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</row>
    <row r="587" spans="1:19" ht="12.75" customHeight="1" x14ac:dyDescent="0.1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</row>
    <row r="588" spans="1:19" ht="12.75" customHeight="1" x14ac:dyDescent="0.1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</row>
    <row r="589" spans="1:19" ht="12.75" customHeight="1" x14ac:dyDescent="0.1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</row>
    <row r="590" spans="1:19" ht="12.75" customHeight="1" x14ac:dyDescent="0.1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</row>
    <row r="591" spans="1:19" ht="12.75" customHeight="1" x14ac:dyDescent="0.1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</row>
    <row r="592" spans="1:19" ht="12.75" customHeight="1" x14ac:dyDescent="0.1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</row>
    <row r="593" spans="1:19" ht="12.75" customHeight="1" x14ac:dyDescent="0.1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</row>
    <row r="594" spans="1:19" ht="12.75" customHeight="1" x14ac:dyDescent="0.1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</row>
    <row r="595" spans="1:19" ht="12.75" customHeight="1" x14ac:dyDescent="0.1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</row>
    <row r="596" spans="1:19" ht="12.75" customHeight="1" x14ac:dyDescent="0.1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</row>
    <row r="597" spans="1:19" ht="12.75" customHeight="1" x14ac:dyDescent="0.1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</row>
    <row r="598" spans="1:19" ht="12.75" customHeight="1" x14ac:dyDescent="0.1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</row>
    <row r="599" spans="1:19" ht="12.75" customHeight="1" x14ac:dyDescent="0.1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</row>
    <row r="600" spans="1:19" ht="12.75" customHeight="1" x14ac:dyDescent="0.1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</row>
    <row r="601" spans="1:19" ht="12.75" customHeight="1" x14ac:dyDescent="0.1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</row>
    <row r="602" spans="1:19" ht="12.75" customHeight="1" x14ac:dyDescent="0.1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</row>
    <row r="603" spans="1:19" ht="12.75" customHeight="1" x14ac:dyDescent="0.1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</row>
    <row r="604" spans="1:19" ht="12.75" customHeight="1" x14ac:dyDescent="0.1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</row>
    <row r="605" spans="1:19" ht="12.75" customHeight="1" x14ac:dyDescent="0.1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</row>
    <row r="606" spans="1:19" ht="12.75" customHeight="1" x14ac:dyDescent="0.1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</row>
    <row r="607" spans="1:19" ht="12.75" customHeight="1" x14ac:dyDescent="0.1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</row>
    <row r="608" spans="1:19" ht="12.75" customHeight="1" x14ac:dyDescent="0.1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</row>
    <row r="609" spans="1:19" ht="12.75" customHeight="1" x14ac:dyDescent="0.1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</row>
    <row r="610" spans="1:19" ht="12.75" customHeight="1" x14ac:dyDescent="0.1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</row>
    <row r="611" spans="1:19" ht="12.75" customHeight="1" x14ac:dyDescent="0.1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</row>
    <row r="612" spans="1:19" ht="12.75" customHeight="1" x14ac:dyDescent="0.1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</row>
    <row r="613" spans="1:19" ht="12.75" customHeight="1" x14ac:dyDescent="0.1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</row>
    <row r="614" spans="1:19" ht="12.75" customHeight="1" x14ac:dyDescent="0.1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</row>
    <row r="615" spans="1:19" ht="12.75" customHeight="1" x14ac:dyDescent="0.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</row>
    <row r="616" spans="1:19" ht="12.75" customHeight="1" x14ac:dyDescent="0.1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</row>
    <row r="617" spans="1:19" ht="12.75" customHeight="1" x14ac:dyDescent="0.1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</row>
    <row r="618" spans="1:19" ht="12.75" customHeight="1" x14ac:dyDescent="0.1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</row>
    <row r="619" spans="1:19" ht="12.75" customHeight="1" x14ac:dyDescent="0.1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</row>
    <row r="620" spans="1:19" ht="12.75" customHeight="1" x14ac:dyDescent="0.1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</row>
    <row r="621" spans="1:19" ht="12.75" customHeight="1" x14ac:dyDescent="0.1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</row>
    <row r="622" spans="1:19" ht="12.75" customHeight="1" x14ac:dyDescent="0.1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</row>
    <row r="623" spans="1:19" ht="12.75" customHeight="1" x14ac:dyDescent="0.1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</row>
    <row r="624" spans="1:19" ht="12.75" customHeight="1" x14ac:dyDescent="0.1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</row>
    <row r="625" spans="1:19" ht="12.75" customHeight="1" x14ac:dyDescent="0.1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</row>
    <row r="626" spans="1:19" ht="12.75" customHeight="1" x14ac:dyDescent="0.1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</row>
    <row r="627" spans="1:19" ht="12.75" customHeight="1" x14ac:dyDescent="0.1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</row>
    <row r="628" spans="1:19" ht="12.75" customHeight="1" x14ac:dyDescent="0.1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</row>
    <row r="629" spans="1:19" ht="12.75" customHeight="1" x14ac:dyDescent="0.1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</row>
    <row r="630" spans="1:19" ht="12.75" customHeight="1" x14ac:dyDescent="0.1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</row>
    <row r="631" spans="1:19" ht="12.75" customHeight="1" x14ac:dyDescent="0.1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</row>
    <row r="632" spans="1:19" ht="12.75" customHeight="1" x14ac:dyDescent="0.1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</row>
    <row r="633" spans="1:19" ht="12.75" customHeight="1" x14ac:dyDescent="0.1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</row>
    <row r="634" spans="1:19" ht="12.75" customHeight="1" x14ac:dyDescent="0.1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</row>
    <row r="635" spans="1:19" ht="12.75" customHeight="1" x14ac:dyDescent="0.1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</row>
    <row r="636" spans="1:19" ht="12.75" customHeight="1" x14ac:dyDescent="0.1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</row>
    <row r="637" spans="1:19" ht="12.75" customHeight="1" x14ac:dyDescent="0.1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</row>
    <row r="638" spans="1:19" ht="12.75" customHeight="1" x14ac:dyDescent="0.1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</row>
    <row r="639" spans="1:19" ht="12.75" customHeight="1" x14ac:dyDescent="0.1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</row>
    <row r="640" spans="1:19" ht="12.75" customHeight="1" x14ac:dyDescent="0.1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</row>
    <row r="641" spans="1:19" ht="12.75" customHeight="1" x14ac:dyDescent="0.1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</row>
    <row r="642" spans="1:19" ht="12.75" customHeight="1" x14ac:dyDescent="0.1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</row>
    <row r="643" spans="1:19" ht="12.75" customHeight="1" x14ac:dyDescent="0.1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</row>
    <row r="644" spans="1:19" ht="12.75" customHeight="1" x14ac:dyDescent="0.1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</row>
    <row r="645" spans="1:19" ht="12.75" customHeight="1" x14ac:dyDescent="0.1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</row>
    <row r="646" spans="1:19" ht="12.75" customHeight="1" x14ac:dyDescent="0.1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</row>
    <row r="647" spans="1:19" ht="12.75" customHeight="1" x14ac:dyDescent="0.1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</row>
    <row r="648" spans="1:19" ht="12.75" customHeight="1" x14ac:dyDescent="0.1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</row>
    <row r="649" spans="1:19" ht="12.75" customHeight="1" x14ac:dyDescent="0.1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</row>
    <row r="650" spans="1:19" ht="12.75" customHeight="1" x14ac:dyDescent="0.1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</row>
    <row r="651" spans="1:19" ht="12.75" customHeight="1" x14ac:dyDescent="0.1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</row>
    <row r="652" spans="1:19" ht="12.75" customHeight="1" x14ac:dyDescent="0.1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</row>
    <row r="653" spans="1:19" ht="12.75" customHeight="1" x14ac:dyDescent="0.1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</row>
    <row r="654" spans="1:19" ht="12.75" customHeight="1" x14ac:dyDescent="0.1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</row>
    <row r="655" spans="1:19" ht="12.75" customHeight="1" x14ac:dyDescent="0.1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</row>
    <row r="656" spans="1:19" ht="12.75" customHeight="1" x14ac:dyDescent="0.1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</row>
    <row r="657" spans="1:19" ht="12.75" customHeight="1" x14ac:dyDescent="0.1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</row>
    <row r="658" spans="1:19" ht="12.75" customHeight="1" x14ac:dyDescent="0.1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</row>
    <row r="659" spans="1:19" ht="12.75" customHeight="1" x14ac:dyDescent="0.1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</row>
    <row r="660" spans="1:19" ht="12.75" customHeight="1" x14ac:dyDescent="0.1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</row>
    <row r="661" spans="1:19" ht="12.75" customHeight="1" x14ac:dyDescent="0.1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</row>
    <row r="662" spans="1:19" ht="12.75" customHeight="1" x14ac:dyDescent="0.1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</row>
    <row r="663" spans="1:19" ht="12.75" customHeight="1" x14ac:dyDescent="0.1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</row>
    <row r="664" spans="1:19" ht="12.75" customHeight="1" x14ac:dyDescent="0.1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</row>
    <row r="665" spans="1:19" ht="12.75" customHeight="1" x14ac:dyDescent="0.1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</row>
    <row r="666" spans="1:19" ht="12.75" customHeight="1" x14ac:dyDescent="0.1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</row>
    <row r="667" spans="1:19" ht="12.75" customHeight="1" x14ac:dyDescent="0.1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</row>
    <row r="668" spans="1:19" ht="12.75" customHeight="1" x14ac:dyDescent="0.1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</row>
    <row r="669" spans="1:19" ht="12.75" customHeight="1" x14ac:dyDescent="0.1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</row>
    <row r="670" spans="1:19" ht="12.75" customHeight="1" x14ac:dyDescent="0.1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</row>
    <row r="671" spans="1:19" ht="12.75" customHeight="1" x14ac:dyDescent="0.1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</row>
    <row r="672" spans="1:19" ht="12.75" customHeight="1" x14ac:dyDescent="0.1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</row>
    <row r="673" spans="1:19" ht="12.75" customHeight="1" x14ac:dyDescent="0.1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</row>
    <row r="674" spans="1:19" ht="12.75" customHeight="1" x14ac:dyDescent="0.1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</row>
    <row r="675" spans="1:19" ht="12.75" customHeight="1" x14ac:dyDescent="0.1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</row>
    <row r="676" spans="1:19" ht="12.75" customHeight="1" x14ac:dyDescent="0.1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</row>
    <row r="677" spans="1:19" ht="12.75" customHeight="1" x14ac:dyDescent="0.1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</row>
    <row r="678" spans="1:19" ht="12.75" customHeight="1" x14ac:dyDescent="0.1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</row>
    <row r="679" spans="1:19" ht="12.75" customHeight="1" x14ac:dyDescent="0.1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</row>
    <row r="680" spans="1:19" ht="12.75" customHeight="1" x14ac:dyDescent="0.1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</row>
    <row r="681" spans="1:19" ht="12.75" customHeight="1" x14ac:dyDescent="0.1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</row>
    <row r="682" spans="1:19" ht="12.75" customHeight="1" x14ac:dyDescent="0.1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</row>
    <row r="683" spans="1:19" ht="12.75" customHeight="1" x14ac:dyDescent="0.1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</row>
    <row r="684" spans="1:19" ht="12.75" customHeight="1" x14ac:dyDescent="0.1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</row>
    <row r="685" spans="1:19" ht="12.75" customHeight="1" x14ac:dyDescent="0.1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</row>
    <row r="686" spans="1:19" ht="12.75" customHeight="1" x14ac:dyDescent="0.1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</row>
    <row r="687" spans="1:19" ht="12.75" customHeight="1" x14ac:dyDescent="0.1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</row>
    <row r="688" spans="1:19" ht="12.75" customHeight="1" x14ac:dyDescent="0.1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</row>
    <row r="689" spans="1:19" ht="12.75" customHeight="1" x14ac:dyDescent="0.1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</row>
    <row r="690" spans="1:19" ht="12.75" customHeight="1" x14ac:dyDescent="0.1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</row>
    <row r="691" spans="1:19" ht="12.75" customHeight="1" x14ac:dyDescent="0.1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</row>
    <row r="692" spans="1:19" ht="12.75" customHeight="1" x14ac:dyDescent="0.1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</row>
    <row r="693" spans="1:19" ht="12.75" customHeight="1" x14ac:dyDescent="0.1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</row>
    <row r="694" spans="1:19" ht="12.75" customHeight="1" x14ac:dyDescent="0.1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</row>
    <row r="695" spans="1:19" ht="12.75" customHeight="1" x14ac:dyDescent="0.1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</row>
    <row r="696" spans="1:19" ht="12.75" customHeight="1" x14ac:dyDescent="0.1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</row>
    <row r="697" spans="1:19" ht="12.75" customHeight="1" x14ac:dyDescent="0.1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</row>
    <row r="698" spans="1:19" ht="12.75" customHeight="1" x14ac:dyDescent="0.1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</row>
    <row r="699" spans="1:19" ht="12.75" customHeight="1" x14ac:dyDescent="0.1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</row>
    <row r="700" spans="1:19" ht="12.75" customHeight="1" x14ac:dyDescent="0.1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</row>
    <row r="701" spans="1:19" ht="12.75" customHeight="1" x14ac:dyDescent="0.1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</row>
    <row r="702" spans="1:19" ht="12.75" customHeight="1" x14ac:dyDescent="0.1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</row>
    <row r="703" spans="1:19" ht="12.75" customHeight="1" x14ac:dyDescent="0.1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</row>
    <row r="704" spans="1:19" ht="12.75" customHeight="1" x14ac:dyDescent="0.1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</row>
    <row r="705" spans="1:19" ht="12.75" customHeight="1" x14ac:dyDescent="0.1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</row>
    <row r="706" spans="1:19" ht="12.75" customHeight="1" x14ac:dyDescent="0.1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</row>
    <row r="707" spans="1:19" ht="12.75" customHeight="1" x14ac:dyDescent="0.1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</row>
    <row r="708" spans="1:19" ht="12.75" customHeight="1" x14ac:dyDescent="0.1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</row>
    <row r="709" spans="1:19" ht="12.75" customHeight="1" x14ac:dyDescent="0.1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</row>
    <row r="710" spans="1:19" ht="12.75" customHeight="1" x14ac:dyDescent="0.1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</row>
    <row r="711" spans="1:19" ht="12.75" customHeight="1" x14ac:dyDescent="0.1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</row>
    <row r="712" spans="1:19" ht="12.75" customHeight="1" x14ac:dyDescent="0.1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</row>
    <row r="713" spans="1:19" ht="12.75" customHeight="1" x14ac:dyDescent="0.1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</row>
    <row r="714" spans="1:19" ht="12.75" customHeight="1" x14ac:dyDescent="0.1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</row>
    <row r="715" spans="1:19" ht="12.75" customHeight="1" x14ac:dyDescent="0.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</row>
    <row r="716" spans="1:19" ht="12.75" customHeight="1" x14ac:dyDescent="0.1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</row>
    <row r="717" spans="1:19" ht="12.75" customHeight="1" x14ac:dyDescent="0.1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</row>
    <row r="718" spans="1:19" ht="12.75" customHeight="1" x14ac:dyDescent="0.1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</row>
    <row r="719" spans="1:19" ht="12.75" customHeight="1" x14ac:dyDescent="0.1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</row>
    <row r="720" spans="1:19" ht="12.75" customHeight="1" x14ac:dyDescent="0.1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</row>
    <row r="721" spans="1:19" ht="12.75" customHeight="1" x14ac:dyDescent="0.1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</row>
    <row r="722" spans="1:19" ht="12.75" customHeight="1" x14ac:dyDescent="0.1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</row>
    <row r="723" spans="1:19" ht="12.75" customHeight="1" x14ac:dyDescent="0.1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</row>
    <row r="724" spans="1:19" ht="12.75" customHeight="1" x14ac:dyDescent="0.1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</row>
    <row r="725" spans="1:19" ht="12.75" customHeight="1" x14ac:dyDescent="0.1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</row>
    <row r="726" spans="1:19" ht="12.75" customHeight="1" x14ac:dyDescent="0.1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</row>
    <row r="727" spans="1:19" ht="12.75" customHeight="1" x14ac:dyDescent="0.1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</row>
    <row r="728" spans="1:19" ht="12.75" customHeight="1" x14ac:dyDescent="0.1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</row>
    <row r="729" spans="1:19" ht="12.75" customHeight="1" x14ac:dyDescent="0.1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</row>
    <row r="730" spans="1:19" ht="12.75" customHeight="1" x14ac:dyDescent="0.1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</row>
    <row r="731" spans="1:19" ht="12.75" customHeight="1" x14ac:dyDescent="0.1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</row>
    <row r="732" spans="1:19" ht="12.75" customHeight="1" x14ac:dyDescent="0.1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</row>
    <row r="733" spans="1:19" ht="12.75" customHeight="1" x14ac:dyDescent="0.1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</row>
    <row r="734" spans="1:19" ht="12.75" customHeight="1" x14ac:dyDescent="0.1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</row>
    <row r="735" spans="1:19" ht="12.75" customHeight="1" x14ac:dyDescent="0.1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</row>
    <row r="736" spans="1:19" ht="12.75" customHeight="1" x14ac:dyDescent="0.1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</row>
    <row r="737" spans="1:19" ht="12.75" customHeight="1" x14ac:dyDescent="0.1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</row>
    <row r="738" spans="1:19" ht="12.75" customHeight="1" x14ac:dyDescent="0.1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</row>
    <row r="739" spans="1:19" ht="12.75" customHeight="1" x14ac:dyDescent="0.1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</row>
    <row r="740" spans="1:19" ht="12.75" customHeight="1" x14ac:dyDescent="0.1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</row>
    <row r="741" spans="1:19" ht="12.75" customHeight="1" x14ac:dyDescent="0.1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</row>
    <row r="742" spans="1:19" ht="12.75" customHeight="1" x14ac:dyDescent="0.1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</row>
    <row r="743" spans="1:19" ht="12.75" customHeight="1" x14ac:dyDescent="0.1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</row>
    <row r="744" spans="1:19" ht="12.75" customHeight="1" x14ac:dyDescent="0.1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</row>
    <row r="745" spans="1:19" ht="12.75" customHeight="1" x14ac:dyDescent="0.1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</row>
    <row r="746" spans="1:19" ht="12.75" customHeight="1" x14ac:dyDescent="0.1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</row>
    <row r="747" spans="1:19" ht="12.75" customHeight="1" x14ac:dyDescent="0.1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</row>
    <row r="748" spans="1:19" ht="12.75" customHeight="1" x14ac:dyDescent="0.1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</row>
    <row r="749" spans="1:19" ht="12.75" customHeight="1" x14ac:dyDescent="0.1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</row>
    <row r="750" spans="1:19" ht="12.75" customHeight="1" x14ac:dyDescent="0.1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</row>
    <row r="751" spans="1:19" ht="12.75" customHeight="1" x14ac:dyDescent="0.1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</row>
    <row r="752" spans="1:19" ht="12.75" customHeight="1" x14ac:dyDescent="0.1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</row>
    <row r="753" spans="1:19" ht="12.75" customHeight="1" x14ac:dyDescent="0.1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</row>
    <row r="754" spans="1:19" ht="12.75" customHeight="1" x14ac:dyDescent="0.1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</row>
    <row r="755" spans="1:19" ht="12.75" customHeight="1" x14ac:dyDescent="0.1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</row>
    <row r="756" spans="1:19" ht="12.75" customHeight="1" x14ac:dyDescent="0.1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</row>
    <row r="757" spans="1:19" ht="12.75" customHeight="1" x14ac:dyDescent="0.1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</row>
    <row r="758" spans="1:19" ht="12.75" customHeight="1" x14ac:dyDescent="0.1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</row>
    <row r="759" spans="1:19" ht="12.75" customHeight="1" x14ac:dyDescent="0.1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</row>
    <row r="760" spans="1:19" ht="12.75" customHeight="1" x14ac:dyDescent="0.1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</row>
    <row r="761" spans="1:19" ht="12.75" customHeight="1" x14ac:dyDescent="0.1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</row>
    <row r="762" spans="1:19" ht="12.75" customHeight="1" x14ac:dyDescent="0.1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</row>
    <row r="763" spans="1:19" ht="12.75" customHeight="1" x14ac:dyDescent="0.1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</row>
    <row r="764" spans="1:19" ht="12.75" customHeight="1" x14ac:dyDescent="0.1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</row>
    <row r="765" spans="1:19" ht="12.75" customHeight="1" x14ac:dyDescent="0.1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</row>
    <row r="766" spans="1:19" ht="12.75" customHeight="1" x14ac:dyDescent="0.1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</row>
    <row r="767" spans="1:19" ht="12.75" customHeight="1" x14ac:dyDescent="0.1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</row>
    <row r="768" spans="1:19" ht="12.75" customHeight="1" x14ac:dyDescent="0.1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</row>
    <row r="769" spans="1:19" ht="12.75" customHeight="1" x14ac:dyDescent="0.1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</row>
    <row r="770" spans="1:19" ht="12.75" customHeight="1" x14ac:dyDescent="0.1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</row>
    <row r="771" spans="1:19" ht="12.75" customHeight="1" x14ac:dyDescent="0.1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</row>
    <row r="772" spans="1:19" ht="12.75" customHeight="1" x14ac:dyDescent="0.1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</row>
    <row r="773" spans="1:19" ht="12.75" customHeight="1" x14ac:dyDescent="0.1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</row>
    <row r="774" spans="1:19" ht="12.75" customHeight="1" x14ac:dyDescent="0.1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</row>
    <row r="775" spans="1:19" ht="12.75" customHeight="1" x14ac:dyDescent="0.1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</row>
    <row r="776" spans="1:19" ht="12.75" customHeight="1" x14ac:dyDescent="0.1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</row>
    <row r="777" spans="1:19" ht="12.75" customHeight="1" x14ac:dyDescent="0.1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</row>
    <row r="778" spans="1:19" ht="12.75" customHeight="1" x14ac:dyDescent="0.1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</row>
    <row r="779" spans="1:19" ht="12.75" customHeight="1" x14ac:dyDescent="0.1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</row>
    <row r="780" spans="1:19" ht="12.75" customHeight="1" x14ac:dyDescent="0.1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</row>
    <row r="781" spans="1:19" ht="12.75" customHeight="1" x14ac:dyDescent="0.1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</row>
    <row r="782" spans="1:19" ht="12.75" customHeight="1" x14ac:dyDescent="0.1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</row>
    <row r="783" spans="1:19" ht="12.75" customHeight="1" x14ac:dyDescent="0.1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</row>
    <row r="784" spans="1:19" ht="12.75" customHeight="1" x14ac:dyDescent="0.1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</row>
    <row r="785" spans="1:19" ht="12.75" customHeight="1" x14ac:dyDescent="0.1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</row>
    <row r="786" spans="1:19" ht="12.75" customHeight="1" x14ac:dyDescent="0.1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</row>
    <row r="787" spans="1:19" ht="12.75" customHeight="1" x14ac:dyDescent="0.1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</row>
    <row r="788" spans="1:19" ht="12.75" customHeight="1" x14ac:dyDescent="0.1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</row>
    <row r="789" spans="1:19" ht="12.75" customHeight="1" x14ac:dyDescent="0.1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</row>
    <row r="790" spans="1:19" ht="12.75" customHeight="1" x14ac:dyDescent="0.1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</row>
    <row r="791" spans="1:19" ht="12.75" customHeight="1" x14ac:dyDescent="0.1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</row>
    <row r="792" spans="1:19" ht="12.75" customHeight="1" x14ac:dyDescent="0.1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</row>
    <row r="793" spans="1:19" ht="12.75" customHeight="1" x14ac:dyDescent="0.1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</row>
    <row r="794" spans="1:19" ht="12.75" customHeight="1" x14ac:dyDescent="0.1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</row>
    <row r="795" spans="1:19" ht="12.75" customHeight="1" x14ac:dyDescent="0.1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</row>
    <row r="796" spans="1:19" ht="12.75" customHeight="1" x14ac:dyDescent="0.1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</row>
    <row r="797" spans="1:19" ht="12.75" customHeight="1" x14ac:dyDescent="0.1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</row>
    <row r="798" spans="1:19" ht="12.75" customHeight="1" x14ac:dyDescent="0.1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</row>
    <row r="799" spans="1:19" ht="12.75" customHeight="1" x14ac:dyDescent="0.1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</row>
    <row r="800" spans="1:19" ht="12.75" customHeight="1" x14ac:dyDescent="0.1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</row>
    <row r="801" spans="1:19" ht="12.75" customHeight="1" x14ac:dyDescent="0.1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</row>
    <row r="802" spans="1:19" ht="12.75" customHeight="1" x14ac:dyDescent="0.1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</row>
    <row r="803" spans="1:19" ht="12.75" customHeight="1" x14ac:dyDescent="0.1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</row>
    <row r="804" spans="1:19" ht="12.75" customHeight="1" x14ac:dyDescent="0.1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</row>
    <row r="805" spans="1:19" ht="12.75" customHeight="1" x14ac:dyDescent="0.1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</row>
    <row r="806" spans="1:19" ht="12.75" customHeight="1" x14ac:dyDescent="0.1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</row>
    <row r="807" spans="1:19" ht="12.75" customHeight="1" x14ac:dyDescent="0.1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</row>
    <row r="808" spans="1:19" ht="12.75" customHeight="1" x14ac:dyDescent="0.1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</row>
    <row r="809" spans="1:19" ht="12.75" customHeight="1" x14ac:dyDescent="0.1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</row>
    <row r="810" spans="1:19" ht="12.75" customHeight="1" x14ac:dyDescent="0.1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</row>
    <row r="811" spans="1:19" ht="12.75" customHeight="1" x14ac:dyDescent="0.1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</row>
    <row r="812" spans="1:19" ht="12.75" customHeight="1" x14ac:dyDescent="0.1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</row>
    <row r="813" spans="1:19" ht="12.75" customHeight="1" x14ac:dyDescent="0.1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</row>
    <row r="814" spans="1:19" ht="12.75" customHeight="1" x14ac:dyDescent="0.1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</row>
    <row r="815" spans="1:19" ht="12.75" customHeight="1" x14ac:dyDescent="0.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</row>
    <row r="816" spans="1:19" ht="12.75" customHeight="1" x14ac:dyDescent="0.1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</row>
    <row r="817" spans="1:19" ht="12.75" customHeight="1" x14ac:dyDescent="0.1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</row>
    <row r="818" spans="1:19" ht="12.75" customHeight="1" x14ac:dyDescent="0.1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</row>
    <row r="819" spans="1:19" ht="12.75" customHeight="1" x14ac:dyDescent="0.1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</row>
    <row r="820" spans="1:19" ht="12.75" customHeight="1" x14ac:dyDescent="0.1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</row>
    <row r="821" spans="1:19" ht="12.75" customHeight="1" x14ac:dyDescent="0.1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</row>
    <row r="822" spans="1:19" ht="12.75" customHeight="1" x14ac:dyDescent="0.1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</row>
    <row r="823" spans="1:19" ht="12.75" customHeight="1" x14ac:dyDescent="0.1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</row>
    <row r="824" spans="1:19" ht="12.75" customHeight="1" x14ac:dyDescent="0.1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</row>
    <row r="825" spans="1:19" ht="12.75" customHeight="1" x14ac:dyDescent="0.1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</row>
    <row r="826" spans="1:19" ht="12.75" customHeight="1" x14ac:dyDescent="0.1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</row>
    <row r="827" spans="1:19" ht="12.75" customHeight="1" x14ac:dyDescent="0.1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</row>
    <row r="828" spans="1:19" ht="12.75" customHeight="1" x14ac:dyDescent="0.1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</row>
    <row r="829" spans="1:19" ht="12.75" customHeight="1" x14ac:dyDescent="0.1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</row>
    <row r="830" spans="1:19" ht="12.75" customHeight="1" x14ac:dyDescent="0.1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</row>
    <row r="831" spans="1:19" ht="12.75" customHeight="1" x14ac:dyDescent="0.1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</row>
    <row r="832" spans="1:19" ht="12.75" customHeight="1" x14ac:dyDescent="0.1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</row>
    <row r="833" spans="1:19" ht="12.75" customHeight="1" x14ac:dyDescent="0.1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</row>
    <row r="834" spans="1:19" ht="12.75" customHeight="1" x14ac:dyDescent="0.1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</row>
    <row r="835" spans="1:19" ht="12.75" customHeight="1" x14ac:dyDescent="0.1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</row>
    <row r="836" spans="1:19" ht="12.75" customHeight="1" x14ac:dyDescent="0.1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</row>
    <row r="837" spans="1:19" ht="12.75" customHeight="1" x14ac:dyDescent="0.1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</row>
    <row r="838" spans="1:19" ht="12.75" customHeight="1" x14ac:dyDescent="0.1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</row>
    <row r="839" spans="1:19" ht="12.75" customHeight="1" x14ac:dyDescent="0.1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</row>
    <row r="840" spans="1:19" ht="12.75" customHeight="1" x14ac:dyDescent="0.1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</row>
    <row r="841" spans="1:19" ht="12.75" customHeight="1" x14ac:dyDescent="0.1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</row>
    <row r="842" spans="1:19" ht="12.75" customHeight="1" x14ac:dyDescent="0.1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</row>
    <row r="843" spans="1:19" ht="12.75" customHeight="1" x14ac:dyDescent="0.1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</row>
    <row r="844" spans="1:19" ht="12.75" customHeight="1" x14ac:dyDescent="0.1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</row>
    <row r="845" spans="1:19" ht="12.75" customHeight="1" x14ac:dyDescent="0.1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</row>
    <row r="846" spans="1:19" ht="12.75" customHeight="1" x14ac:dyDescent="0.1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</row>
    <row r="847" spans="1:19" ht="12.75" customHeight="1" x14ac:dyDescent="0.1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</row>
    <row r="848" spans="1:19" ht="12.75" customHeight="1" x14ac:dyDescent="0.1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</row>
    <row r="849" spans="1:19" ht="12.75" customHeight="1" x14ac:dyDescent="0.1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</row>
    <row r="850" spans="1:19" ht="12.75" customHeight="1" x14ac:dyDescent="0.1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</row>
    <row r="851" spans="1:19" ht="12.75" customHeight="1" x14ac:dyDescent="0.1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</row>
    <row r="852" spans="1:19" ht="12.75" customHeight="1" x14ac:dyDescent="0.1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</row>
    <row r="853" spans="1:19" ht="12.75" customHeight="1" x14ac:dyDescent="0.1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</row>
    <row r="854" spans="1:19" ht="12.75" customHeight="1" x14ac:dyDescent="0.1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</row>
    <row r="855" spans="1:19" ht="12.75" customHeight="1" x14ac:dyDescent="0.1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</row>
    <row r="856" spans="1:19" ht="12.75" customHeight="1" x14ac:dyDescent="0.1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</row>
    <row r="857" spans="1:19" ht="12.75" customHeight="1" x14ac:dyDescent="0.1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</row>
    <row r="858" spans="1:19" ht="12.75" customHeight="1" x14ac:dyDescent="0.1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</row>
    <row r="859" spans="1:19" ht="12.75" customHeight="1" x14ac:dyDescent="0.1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</row>
    <row r="860" spans="1:19" ht="12.75" customHeight="1" x14ac:dyDescent="0.1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</row>
    <row r="861" spans="1:19" ht="12.75" customHeight="1" x14ac:dyDescent="0.1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</row>
    <row r="862" spans="1:19" ht="12.75" customHeight="1" x14ac:dyDescent="0.1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</row>
    <row r="863" spans="1:19" ht="12.75" customHeight="1" x14ac:dyDescent="0.1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</row>
    <row r="864" spans="1:19" ht="12.75" customHeight="1" x14ac:dyDescent="0.1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</row>
    <row r="865" spans="1:19" ht="12.75" customHeight="1" x14ac:dyDescent="0.1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</row>
    <row r="866" spans="1:19" ht="12.75" customHeight="1" x14ac:dyDescent="0.1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</row>
    <row r="867" spans="1:19" ht="12.75" customHeight="1" x14ac:dyDescent="0.1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</row>
    <row r="868" spans="1:19" ht="12.75" customHeight="1" x14ac:dyDescent="0.1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</row>
    <row r="869" spans="1:19" ht="12.75" customHeight="1" x14ac:dyDescent="0.1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</row>
    <row r="870" spans="1:19" ht="12.75" customHeight="1" x14ac:dyDescent="0.1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</row>
    <row r="871" spans="1:19" ht="12.75" customHeight="1" x14ac:dyDescent="0.1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</row>
    <row r="872" spans="1:19" ht="12.75" customHeight="1" x14ac:dyDescent="0.1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</row>
    <row r="873" spans="1:19" ht="12.75" customHeight="1" x14ac:dyDescent="0.1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</row>
    <row r="874" spans="1:19" ht="12.75" customHeight="1" x14ac:dyDescent="0.1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</row>
    <row r="875" spans="1:19" ht="12.75" customHeight="1" x14ac:dyDescent="0.1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</row>
    <row r="876" spans="1:19" ht="12.75" customHeight="1" x14ac:dyDescent="0.1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</row>
    <row r="877" spans="1:19" ht="12.75" customHeight="1" x14ac:dyDescent="0.1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</row>
    <row r="878" spans="1:19" ht="12.75" customHeight="1" x14ac:dyDescent="0.1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</row>
    <row r="879" spans="1:19" ht="12.75" customHeight="1" x14ac:dyDescent="0.1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</row>
    <row r="880" spans="1:19" ht="12.75" customHeight="1" x14ac:dyDescent="0.1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</row>
    <row r="881" spans="1:19" ht="12.75" customHeight="1" x14ac:dyDescent="0.1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</row>
    <row r="882" spans="1:19" ht="12.75" customHeight="1" x14ac:dyDescent="0.1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</row>
    <row r="883" spans="1:19" ht="12.75" customHeight="1" x14ac:dyDescent="0.1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</row>
    <row r="884" spans="1:19" ht="12.75" customHeight="1" x14ac:dyDescent="0.1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</row>
    <row r="885" spans="1:19" ht="12.75" customHeight="1" x14ac:dyDescent="0.1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</row>
    <row r="886" spans="1:19" ht="12.75" customHeight="1" x14ac:dyDescent="0.1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</row>
    <row r="887" spans="1:19" ht="12.75" customHeight="1" x14ac:dyDescent="0.1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</row>
    <row r="888" spans="1:19" ht="12.75" customHeight="1" x14ac:dyDescent="0.1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</row>
    <row r="889" spans="1:19" ht="12.75" customHeight="1" x14ac:dyDescent="0.1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</row>
    <row r="890" spans="1:19" ht="12.75" customHeight="1" x14ac:dyDescent="0.1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</row>
    <row r="891" spans="1:19" ht="12.75" customHeight="1" x14ac:dyDescent="0.1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</row>
    <row r="892" spans="1:19" ht="12.75" customHeight="1" x14ac:dyDescent="0.1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</row>
    <row r="893" spans="1:19" ht="12.75" customHeight="1" x14ac:dyDescent="0.1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</row>
    <row r="894" spans="1:19" ht="12.75" customHeight="1" x14ac:dyDescent="0.1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</row>
    <row r="895" spans="1:19" ht="12.75" customHeight="1" x14ac:dyDescent="0.1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</row>
    <row r="896" spans="1:19" ht="12.75" customHeight="1" x14ac:dyDescent="0.1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</row>
    <row r="897" spans="1:19" ht="12.75" customHeight="1" x14ac:dyDescent="0.1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</row>
    <row r="898" spans="1:19" ht="12.75" customHeight="1" x14ac:dyDescent="0.1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</row>
    <row r="899" spans="1:19" ht="12.75" customHeight="1" x14ac:dyDescent="0.1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</row>
    <row r="900" spans="1:19" ht="12.75" customHeight="1" x14ac:dyDescent="0.1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</row>
    <row r="901" spans="1:19" ht="12.75" customHeight="1" x14ac:dyDescent="0.1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</row>
    <row r="902" spans="1:19" ht="12.75" customHeight="1" x14ac:dyDescent="0.1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</row>
    <row r="903" spans="1:19" ht="12.75" customHeight="1" x14ac:dyDescent="0.1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</row>
    <row r="904" spans="1:19" ht="12.75" customHeight="1" x14ac:dyDescent="0.1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</row>
    <row r="905" spans="1:19" ht="12.75" customHeight="1" x14ac:dyDescent="0.1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</row>
    <row r="906" spans="1:19" ht="12.75" customHeight="1" x14ac:dyDescent="0.1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</row>
    <row r="907" spans="1:19" ht="12.75" customHeight="1" x14ac:dyDescent="0.1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</row>
    <row r="908" spans="1:19" ht="12.75" customHeight="1" x14ac:dyDescent="0.1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</row>
    <row r="909" spans="1:19" ht="12.75" customHeight="1" x14ac:dyDescent="0.1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</row>
    <row r="910" spans="1:19" ht="12.75" customHeight="1" x14ac:dyDescent="0.1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</row>
    <row r="911" spans="1:19" ht="12.75" customHeight="1" x14ac:dyDescent="0.1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</row>
    <row r="912" spans="1:19" ht="12.75" customHeight="1" x14ac:dyDescent="0.1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</row>
    <row r="913" spans="1:19" ht="12.75" customHeight="1" x14ac:dyDescent="0.1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</row>
    <row r="914" spans="1:19" ht="12.75" customHeight="1" x14ac:dyDescent="0.1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</row>
    <row r="915" spans="1:19" ht="12.75" customHeight="1" x14ac:dyDescent="0.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</row>
    <row r="916" spans="1:19" ht="12.75" customHeight="1" x14ac:dyDescent="0.1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</row>
    <row r="917" spans="1:19" ht="12.75" customHeight="1" x14ac:dyDescent="0.1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</row>
    <row r="918" spans="1:19" ht="12.75" customHeight="1" x14ac:dyDescent="0.1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</row>
    <row r="919" spans="1:19" ht="12.75" customHeight="1" x14ac:dyDescent="0.1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</row>
    <row r="920" spans="1:19" ht="12.75" customHeight="1" x14ac:dyDescent="0.1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</row>
    <row r="921" spans="1:19" ht="12.75" customHeight="1" x14ac:dyDescent="0.1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</row>
    <row r="922" spans="1:19" ht="12.75" customHeight="1" x14ac:dyDescent="0.1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</row>
    <row r="923" spans="1:19" ht="12.75" customHeight="1" x14ac:dyDescent="0.1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</row>
    <row r="924" spans="1:19" ht="12.75" customHeight="1" x14ac:dyDescent="0.1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</row>
    <row r="925" spans="1:19" ht="12.75" customHeight="1" x14ac:dyDescent="0.1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</row>
    <row r="926" spans="1:19" ht="12.75" customHeight="1" x14ac:dyDescent="0.1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</row>
    <row r="927" spans="1:19" ht="12.75" customHeight="1" x14ac:dyDescent="0.1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</row>
    <row r="928" spans="1:19" ht="12.75" customHeight="1" x14ac:dyDescent="0.1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</row>
    <row r="929" spans="1:19" ht="12.75" customHeight="1" x14ac:dyDescent="0.1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</row>
    <row r="930" spans="1:19" ht="12.75" customHeight="1" x14ac:dyDescent="0.1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</row>
    <row r="931" spans="1:19" ht="12.75" customHeight="1" x14ac:dyDescent="0.1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</row>
    <row r="932" spans="1:19" ht="12.75" customHeight="1" x14ac:dyDescent="0.1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</row>
    <row r="933" spans="1:19" ht="12.75" customHeight="1" x14ac:dyDescent="0.1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</row>
    <row r="934" spans="1:19" ht="12.75" customHeight="1" x14ac:dyDescent="0.1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</row>
    <row r="935" spans="1:19" ht="12.75" customHeight="1" x14ac:dyDescent="0.1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</row>
    <row r="936" spans="1:19" ht="12.75" customHeight="1" x14ac:dyDescent="0.1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</row>
    <row r="937" spans="1:19" ht="12.75" customHeight="1" x14ac:dyDescent="0.1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</row>
    <row r="938" spans="1:19" ht="12.75" customHeight="1" x14ac:dyDescent="0.1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</row>
    <row r="939" spans="1:19" ht="12.75" customHeight="1" x14ac:dyDescent="0.1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</row>
    <row r="940" spans="1:19" ht="12.75" customHeight="1" x14ac:dyDescent="0.1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</row>
    <row r="941" spans="1:19" ht="12.75" customHeight="1" x14ac:dyDescent="0.1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</row>
    <row r="942" spans="1:19" ht="12.75" customHeight="1" x14ac:dyDescent="0.1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</row>
    <row r="943" spans="1:19" ht="12.75" customHeight="1" x14ac:dyDescent="0.1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</row>
    <row r="944" spans="1:19" ht="12.75" customHeight="1" x14ac:dyDescent="0.1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</row>
    <row r="945" spans="1:19" ht="12.75" customHeight="1" x14ac:dyDescent="0.1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</row>
    <row r="946" spans="1:19" ht="12.75" customHeight="1" x14ac:dyDescent="0.1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</row>
    <row r="947" spans="1:19" ht="12.75" customHeight="1" x14ac:dyDescent="0.1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</row>
    <row r="948" spans="1:19" ht="12.75" customHeight="1" x14ac:dyDescent="0.1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</row>
    <row r="949" spans="1:19" ht="12.75" customHeight="1" x14ac:dyDescent="0.1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</row>
    <row r="950" spans="1:19" ht="12.75" customHeight="1" x14ac:dyDescent="0.1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</row>
    <row r="951" spans="1:19" ht="12.75" customHeight="1" x14ac:dyDescent="0.1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</row>
    <row r="952" spans="1:19" ht="12.75" customHeight="1" x14ac:dyDescent="0.1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</row>
    <row r="953" spans="1:19" ht="12.75" customHeight="1" x14ac:dyDescent="0.1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</row>
    <row r="954" spans="1:19" ht="12.75" customHeight="1" x14ac:dyDescent="0.1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</row>
    <row r="955" spans="1:19" ht="12.75" customHeight="1" x14ac:dyDescent="0.1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</row>
    <row r="956" spans="1:19" ht="12.75" customHeight="1" x14ac:dyDescent="0.1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</row>
    <row r="957" spans="1:19" ht="12.75" customHeight="1" x14ac:dyDescent="0.1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</row>
    <row r="958" spans="1:19" ht="12.75" customHeight="1" x14ac:dyDescent="0.1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</row>
    <row r="959" spans="1:19" ht="12.75" customHeight="1" x14ac:dyDescent="0.1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</row>
    <row r="960" spans="1:19" ht="12.75" customHeight="1" x14ac:dyDescent="0.1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</row>
    <row r="961" spans="1:19" ht="12.75" customHeight="1" x14ac:dyDescent="0.1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</row>
    <row r="962" spans="1:19" ht="12.75" customHeight="1" x14ac:dyDescent="0.1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</row>
    <row r="963" spans="1:19" ht="12.75" customHeight="1" x14ac:dyDescent="0.1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</row>
    <row r="964" spans="1:19" ht="12.75" customHeight="1" x14ac:dyDescent="0.1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</row>
    <row r="965" spans="1:19" ht="12.75" customHeight="1" x14ac:dyDescent="0.1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</row>
    <row r="966" spans="1:19" ht="12.75" customHeight="1" x14ac:dyDescent="0.1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</row>
    <row r="967" spans="1:19" ht="12.75" customHeight="1" x14ac:dyDescent="0.1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</row>
    <row r="968" spans="1:19" ht="12.75" customHeight="1" x14ac:dyDescent="0.1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</row>
    <row r="969" spans="1:19" ht="12.75" customHeight="1" x14ac:dyDescent="0.1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</row>
    <row r="970" spans="1:19" ht="12.75" customHeight="1" x14ac:dyDescent="0.1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</row>
    <row r="971" spans="1:19" ht="12.75" customHeight="1" x14ac:dyDescent="0.1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</row>
    <row r="972" spans="1:19" ht="12.75" customHeight="1" x14ac:dyDescent="0.1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</row>
    <row r="973" spans="1:19" ht="12.75" customHeight="1" x14ac:dyDescent="0.1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</row>
    <row r="974" spans="1:19" ht="12.75" customHeight="1" x14ac:dyDescent="0.1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</row>
    <row r="975" spans="1:19" ht="12.75" customHeight="1" x14ac:dyDescent="0.1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</row>
    <row r="976" spans="1:19" ht="12.75" customHeight="1" x14ac:dyDescent="0.1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</row>
    <row r="977" spans="1:19" ht="12.75" customHeight="1" x14ac:dyDescent="0.1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</row>
    <row r="978" spans="1:19" ht="12.75" customHeight="1" x14ac:dyDescent="0.1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</row>
    <row r="979" spans="1:19" ht="12.75" customHeight="1" x14ac:dyDescent="0.1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</row>
    <row r="980" spans="1:19" ht="12.75" customHeight="1" x14ac:dyDescent="0.1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</row>
    <row r="981" spans="1:19" ht="12.75" customHeight="1" x14ac:dyDescent="0.1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</row>
    <row r="982" spans="1:19" ht="12.75" customHeight="1" x14ac:dyDescent="0.1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</row>
    <row r="983" spans="1:19" ht="12.75" customHeight="1" x14ac:dyDescent="0.1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</row>
    <row r="984" spans="1:19" ht="12.75" customHeight="1" x14ac:dyDescent="0.1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</row>
    <row r="985" spans="1:19" ht="12.75" customHeight="1" x14ac:dyDescent="0.1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</row>
    <row r="986" spans="1:19" ht="12.75" customHeight="1" x14ac:dyDescent="0.1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</row>
    <row r="987" spans="1:19" ht="12.75" customHeight="1" x14ac:dyDescent="0.1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</row>
    <row r="988" spans="1:19" ht="12.75" customHeight="1" x14ac:dyDescent="0.1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</row>
    <row r="989" spans="1:19" ht="12.75" customHeight="1" x14ac:dyDescent="0.1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</row>
    <row r="990" spans="1:19" ht="12.75" customHeight="1" x14ac:dyDescent="0.1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</row>
    <row r="991" spans="1:19" ht="12.75" customHeight="1" x14ac:dyDescent="0.1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</row>
    <row r="992" spans="1:19" ht="12.75" customHeight="1" x14ac:dyDescent="0.1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</row>
    <row r="993" spans="1:19" ht="12.75" customHeight="1" x14ac:dyDescent="0.1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</row>
    <row r="994" spans="1:19" ht="12.75" customHeight="1" x14ac:dyDescent="0.1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</row>
    <row r="995" spans="1:19" ht="12.75" customHeight="1" x14ac:dyDescent="0.1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</row>
    <row r="996" spans="1:19" ht="12.75" customHeight="1" x14ac:dyDescent="0.1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</row>
    <row r="997" spans="1:19" ht="12.75" customHeight="1" x14ac:dyDescent="0.1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</row>
    <row r="998" spans="1:19" ht="12.75" customHeight="1" x14ac:dyDescent="0.1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</row>
  </sheetData>
  <mergeCells count="2">
    <mergeCell ref="D2:E2"/>
    <mergeCell ref="D3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8"/>
  <sheetViews>
    <sheetView workbookViewId="0">
      <selection activeCell="P21" sqref="P21"/>
    </sheetView>
  </sheetViews>
  <sheetFormatPr baseColWidth="10" defaultColWidth="14.5" defaultRowHeight="15.75" customHeight="1" x14ac:dyDescent="0.15"/>
  <cols>
    <col min="1" max="1" width="6.33203125" customWidth="1"/>
    <col min="2" max="2" width="15.1640625" customWidth="1"/>
    <col min="3" max="5" width="10.83203125" customWidth="1"/>
    <col min="6" max="14" width="4.83203125" customWidth="1"/>
    <col min="15" max="15" width="10.83203125" customWidth="1"/>
    <col min="16" max="19" width="8.6640625" customWidth="1"/>
  </cols>
  <sheetData>
    <row r="1" spans="1:19" ht="12.75" customHeight="1" x14ac:dyDescent="0.15">
      <c r="A1" s="9" t="s">
        <v>94</v>
      </c>
      <c r="B1" s="10" t="s">
        <v>95</v>
      </c>
      <c r="C1" s="9" t="s">
        <v>96</v>
      </c>
      <c r="D1" s="9" t="s">
        <v>97</v>
      </c>
      <c r="E1" s="9" t="s">
        <v>98</v>
      </c>
      <c r="F1" s="11" t="s">
        <v>99</v>
      </c>
      <c r="G1" s="11" t="s">
        <v>100</v>
      </c>
      <c r="H1" s="11" t="s">
        <v>101</v>
      </c>
      <c r="I1" s="11" t="s">
        <v>102</v>
      </c>
      <c r="J1" s="11" t="s">
        <v>103</v>
      </c>
      <c r="K1" s="11" t="s">
        <v>104</v>
      </c>
      <c r="L1" s="11" t="s">
        <v>105</v>
      </c>
      <c r="M1" s="11" t="s">
        <v>106</v>
      </c>
      <c r="N1" s="11" t="s">
        <v>107</v>
      </c>
      <c r="O1" s="12" t="s">
        <v>108</v>
      </c>
      <c r="P1" s="13"/>
      <c r="Q1" s="13"/>
      <c r="R1" s="13"/>
      <c r="S1" s="13"/>
    </row>
    <row r="2" spans="1:19" ht="12.75" customHeight="1" x14ac:dyDescent="0.15">
      <c r="A2" s="13"/>
      <c r="B2" s="13"/>
      <c r="C2" s="14">
        <v>20</v>
      </c>
      <c r="D2" s="24" t="s">
        <v>98</v>
      </c>
      <c r="E2" s="25"/>
      <c r="F2" s="15">
        <v>12</v>
      </c>
      <c r="G2" s="15">
        <v>8</v>
      </c>
      <c r="H2" s="15">
        <v>6</v>
      </c>
      <c r="I2" s="15">
        <v>12</v>
      </c>
      <c r="J2" s="15">
        <v>6</v>
      </c>
      <c r="K2" s="15">
        <v>40</v>
      </c>
      <c r="L2" s="15">
        <v>60</v>
      </c>
      <c r="M2" s="15">
        <v>4</v>
      </c>
      <c r="N2" s="15">
        <v>18</v>
      </c>
      <c r="O2" s="13"/>
      <c r="P2" s="13"/>
      <c r="Q2" s="13"/>
      <c r="R2" s="13"/>
      <c r="S2" s="13"/>
    </row>
    <row r="3" spans="1:19" ht="12.75" customHeight="1" x14ac:dyDescent="0.15">
      <c r="A3" s="13"/>
      <c r="B3" s="13"/>
      <c r="C3" s="14">
        <f>AVERAGE(C13:C69)</f>
        <v>18</v>
      </c>
      <c r="D3" s="24" t="s">
        <v>109</v>
      </c>
      <c r="E3" s="25"/>
      <c r="F3" s="16">
        <f t="shared" ref="F3:N3" si="0">AVERAGE(F13:F69)/F2</f>
        <v>0.93859649122807021</v>
      </c>
      <c r="G3" s="16">
        <f t="shared" si="0"/>
        <v>0.71052631578947367</v>
      </c>
      <c r="H3" s="16">
        <f t="shared" si="0"/>
        <v>0.97368421052631582</v>
      </c>
      <c r="I3" s="16">
        <f t="shared" si="0"/>
        <v>0.73391812865497075</v>
      </c>
      <c r="J3" s="16">
        <f t="shared" si="0"/>
        <v>0.93567251461988299</v>
      </c>
      <c r="K3" s="16">
        <f t="shared" si="0"/>
        <v>0.92543859649122806</v>
      </c>
      <c r="L3" s="16">
        <f t="shared" si="0"/>
        <v>0.95584795321637428</v>
      </c>
      <c r="M3" s="16">
        <f t="shared" si="0"/>
        <v>0.82894736842105265</v>
      </c>
      <c r="N3" s="16">
        <f t="shared" si="0"/>
        <v>0.90740740740740733</v>
      </c>
      <c r="O3" s="13"/>
      <c r="P3" s="13"/>
      <c r="Q3" s="13"/>
      <c r="R3" s="13"/>
      <c r="S3" s="13"/>
    </row>
    <row r="4" spans="1:19" ht="12.75" customHeight="1" x14ac:dyDescent="0.15">
      <c r="A4" s="17"/>
      <c r="B4" s="18" t="s">
        <v>117</v>
      </c>
      <c r="C4" s="19" t="s">
        <v>111</v>
      </c>
      <c r="D4" s="20">
        <f>SUM(A4)</f>
        <v>0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13"/>
      <c r="Q4" s="13"/>
      <c r="R4" s="13"/>
      <c r="S4" s="13"/>
    </row>
    <row r="5" spans="1:19" ht="12.75" customHeight="1" x14ac:dyDescent="0.15">
      <c r="A5" s="17"/>
      <c r="B5" s="18" t="s">
        <v>121</v>
      </c>
      <c r="C5" s="19" t="s">
        <v>111</v>
      </c>
      <c r="D5" s="20">
        <f>SUM(A5)</f>
        <v>0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1"/>
      <c r="P5" s="13"/>
      <c r="Q5" s="13"/>
      <c r="R5" s="13"/>
      <c r="S5" s="13"/>
    </row>
    <row r="6" spans="1:19" ht="12.75" customHeight="1" x14ac:dyDescent="0.15">
      <c r="A6" s="17"/>
      <c r="B6" s="18" t="s">
        <v>110</v>
      </c>
      <c r="C6" s="19" t="s">
        <v>111</v>
      </c>
      <c r="D6" s="20">
        <f>SUM(A6)</f>
        <v>0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1"/>
      <c r="P6" s="13"/>
      <c r="Q6" s="13"/>
      <c r="R6" s="13"/>
      <c r="S6" s="13"/>
    </row>
    <row r="7" spans="1:19" ht="12.75" customHeight="1" x14ac:dyDescent="0.15">
      <c r="A7" s="17"/>
      <c r="B7" s="18" t="s">
        <v>126</v>
      </c>
      <c r="C7" s="19" t="s">
        <v>111</v>
      </c>
      <c r="D7" s="20">
        <f>SUM(A7)</f>
        <v>0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1"/>
      <c r="P7" s="13"/>
      <c r="Q7" s="13"/>
      <c r="R7" s="13"/>
      <c r="S7" s="13"/>
    </row>
    <row r="8" spans="1:19" ht="12.75" customHeight="1" x14ac:dyDescent="0.15">
      <c r="A8" s="17"/>
      <c r="B8" s="18" t="s">
        <v>112</v>
      </c>
      <c r="C8" s="19" t="s">
        <v>111</v>
      </c>
      <c r="D8" s="20">
        <f>SUM(A8)</f>
        <v>0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1"/>
      <c r="P8" s="13"/>
      <c r="Q8" s="13"/>
      <c r="R8" s="13"/>
      <c r="S8" s="13"/>
    </row>
    <row r="9" spans="1:19" ht="12.75" customHeight="1" x14ac:dyDescent="0.15">
      <c r="A9" s="17"/>
      <c r="B9" s="18" t="s">
        <v>129</v>
      </c>
      <c r="C9" s="19" t="s">
        <v>111</v>
      </c>
      <c r="D9" s="20">
        <f>SUM(A9)</f>
        <v>0</v>
      </c>
      <c r="E9" s="20"/>
      <c r="F9" s="20"/>
      <c r="G9" s="20"/>
      <c r="H9" s="20"/>
      <c r="I9" s="20"/>
      <c r="J9" s="20"/>
      <c r="K9" s="20"/>
      <c r="L9" s="20"/>
      <c r="M9" s="20"/>
      <c r="N9" s="20"/>
      <c r="O9" s="21"/>
      <c r="P9" s="13"/>
      <c r="Q9" s="13"/>
      <c r="R9" s="13"/>
      <c r="S9" s="13"/>
    </row>
    <row r="10" spans="1:19" ht="12.75" customHeight="1" x14ac:dyDescent="0.15">
      <c r="A10" s="17"/>
      <c r="B10" s="18" t="s">
        <v>133</v>
      </c>
      <c r="C10" s="19" t="s">
        <v>111</v>
      </c>
      <c r="D10" s="20">
        <f>SUM(A10)</f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1"/>
      <c r="P10" s="13"/>
      <c r="Q10" s="13"/>
      <c r="R10" s="13"/>
      <c r="S10" s="13"/>
    </row>
    <row r="11" spans="1:19" ht="12.75" customHeight="1" x14ac:dyDescent="0.15">
      <c r="A11" s="17"/>
      <c r="B11" s="18" t="s">
        <v>137</v>
      </c>
      <c r="C11" s="19" t="s">
        <v>111</v>
      </c>
      <c r="D11" s="20">
        <f>SUM(A11)</f>
        <v>0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1"/>
      <c r="P11" s="13"/>
      <c r="Q11" s="13"/>
      <c r="R11" s="13"/>
      <c r="S11" s="13"/>
    </row>
    <row r="12" spans="1:19" ht="12.75" customHeight="1" x14ac:dyDescent="0.15">
      <c r="A12" s="17"/>
      <c r="B12" s="18" t="s">
        <v>113</v>
      </c>
      <c r="C12" s="19" t="s">
        <v>111</v>
      </c>
      <c r="D12" s="20">
        <f>SUM(A12)</f>
        <v>0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1"/>
      <c r="P12" s="13"/>
      <c r="Q12" s="13"/>
      <c r="R12" s="13"/>
      <c r="S12" s="13"/>
    </row>
    <row r="13" spans="1:19" ht="12.75" customHeight="1" x14ac:dyDescent="0.15">
      <c r="A13" s="17" t="s">
        <v>139</v>
      </c>
      <c r="B13" s="18" t="s">
        <v>132</v>
      </c>
      <c r="C13" s="14">
        <f t="shared" ref="C13:C69" si="1">IF($C$2&gt;0,MIN($C$2,ROUNDDOWN(D13/E13*$C$2/0.5,0)*0.5),ROUNDDOWN(D13/0.5,0)*0.5)</f>
        <v>11</v>
      </c>
      <c r="D13" s="15">
        <f t="shared" ref="D13:D69" si="2">SUM(F13:N13)</f>
        <v>93</v>
      </c>
      <c r="E13" s="15">
        <v>166</v>
      </c>
      <c r="F13" s="15">
        <v>10</v>
      </c>
      <c r="G13" s="15">
        <v>3</v>
      </c>
      <c r="H13" s="15">
        <v>5</v>
      </c>
      <c r="I13" s="15">
        <v>2</v>
      </c>
      <c r="J13" s="15">
        <v>2</v>
      </c>
      <c r="K13" s="15">
        <v>23</v>
      </c>
      <c r="L13" s="15">
        <v>30</v>
      </c>
      <c r="M13" s="15">
        <v>0</v>
      </c>
      <c r="N13" s="15">
        <v>18</v>
      </c>
      <c r="O13" s="21" t="s">
        <v>147</v>
      </c>
      <c r="P13" s="13"/>
      <c r="Q13" s="13"/>
      <c r="R13" s="13"/>
      <c r="S13" s="13"/>
    </row>
    <row r="14" spans="1:19" ht="12.75" customHeight="1" x14ac:dyDescent="0.15">
      <c r="A14" s="17" t="s">
        <v>131</v>
      </c>
      <c r="B14" s="18" t="s">
        <v>148</v>
      </c>
      <c r="C14" s="14">
        <f t="shared" si="1"/>
        <v>13</v>
      </c>
      <c r="D14" s="15">
        <f t="shared" si="2"/>
        <v>111</v>
      </c>
      <c r="E14" s="15">
        <v>166</v>
      </c>
      <c r="F14" s="15">
        <v>11</v>
      </c>
      <c r="G14" s="15">
        <v>3</v>
      </c>
      <c r="H14" s="15">
        <v>6</v>
      </c>
      <c r="I14" s="15">
        <v>3</v>
      </c>
      <c r="J14" s="15">
        <v>6</v>
      </c>
      <c r="K14" s="15">
        <v>22</v>
      </c>
      <c r="L14" s="15">
        <v>45</v>
      </c>
      <c r="M14" s="15">
        <v>4</v>
      </c>
      <c r="N14" s="15">
        <v>11</v>
      </c>
      <c r="O14" s="21" t="s">
        <v>148</v>
      </c>
      <c r="P14" s="13"/>
      <c r="Q14" s="13"/>
      <c r="R14" s="13"/>
      <c r="S14" s="13"/>
    </row>
    <row r="15" spans="1:19" ht="12.75" customHeight="1" x14ac:dyDescent="0.15">
      <c r="A15" s="17" t="s">
        <v>143</v>
      </c>
      <c r="B15" s="18" t="s">
        <v>151</v>
      </c>
      <c r="C15" s="14">
        <f t="shared" si="1"/>
        <v>14.5</v>
      </c>
      <c r="D15" s="15">
        <f t="shared" si="2"/>
        <v>122</v>
      </c>
      <c r="E15" s="15">
        <v>166</v>
      </c>
      <c r="F15" s="15">
        <v>7</v>
      </c>
      <c r="G15" s="15">
        <v>3</v>
      </c>
      <c r="H15" s="15">
        <v>6</v>
      </c>
      <c r="I15" s="15">
        <v>7</v>
      </c>
      <c r="J15" s="15">
        <v>6</v>
      </c>
      <c r="K15" s="15">
        <v>32</v>
      </c>
      <c r="L15" s="15">
        <v>56</v>
      </c>
      <c r="M15" s="15">
        <v>0</v>
      </c>
      <c r="N15" s="15">
        <v>5</v>
      </c>
      <c r="O15" s="21" t="s">
        <v>151</v>
      </c>
      <c r="P15" s="13"/>
      <c r="Q15" s="13"/>
      <c r="R15" s="13"/>
      <c r="S15" s="13"/>
    </row>
    <row r="16" spans="1:19" ht="12.75" customHeight="1" x14ac:dyDescent="0.15">
      <c r="A16" s="17" t="s">
        <v>127</v>
      </c>
      <c r="B16" s="18" t="s">
        <v>154</v>
      </c>
      <c r="C16" s="14">
        <f t="shared" si="1"/>
        <v>15</v>
      </c>
      <c r="D16" s="15">
        <f t="shared" si="2"/>
        <v>126</v>
      </c>
      <c r="E16" s="15">
        <v>166</v>
      </c>
      <c r="F16" s="15">
        <v>12</v>
      </c>
      <c r="G16" s="15">
        <v>4</v>
      </c>
      <c r="H16" s="15">
        <v>2</v>
      </c>
      <c r="I16" s="15">
        <v>8</v>
      </c>
      <c r="J16" s="15">
        <v>2</v>
      </c>
      <c r="K16" s="15">
        <v>40</v>
      </c>
      <c r="L16" s="15">
        <v>36</v>
      </c>
      <c r="M16" s="15">
        <v>4</v>
      </c>
      <c r="N16" s="15">
        <v>18</v>
      </c>
      <c r="O16" s="21" t="s">
        <v>154</v>
      </c>
      <c r="P16" s="13"/>
      <c r="Q16" s="13"/>
      <c r="R16" s="13"/>
      <c r="S16" s="13"/>
    </row>
    <row r="17" spans="1:19" ht="12.75" customHeight="1" x14ac:dyDescent="0.15">
      <c r="A17" s="17" t="s">
        <v>158</v>
      </c>
      <c r="B17" s="18" t="s">
        <v>159</v>
      </c>
      <c r="C17" s="14">
        <f t="shared" si="1"/>
        <v>16</v>
      </c>
      <c r="D17" s="15">
        <f t="shared" si="2"/>
        <v>136</v>
      </c>
      <c r="E17" s="15">
        <v>166</v>
      </c>
      <c r="F17" s="15">
        <v>12</v>
      </c>
      <c r="G17" s="15">
        <v>4</v>
      </c>
      <c r="H17" s="15">
        <v>6</v>
      </c>
      <c r="I17" s="15">
        <v>3</v>
      </c>
      <c r="J17" s="15">
        <v>6</v>
      </c>
      <c r="K17" s="15">
        <v>23</v>
      </c>
      <c r="L17" s="15">
        <v>60</v>
      </c>
      <c r="M17" s="15">
        <v>4</v>
      </c>
      <c r="N17" s="15">
        <v>18</v>
      </c>
      <c r="O17" s="21" t="s">
        <v>159</v>
      </c>
      <c r="P17" s="13"/>
      <c r="Q17" s="13"/>
      <c r="R17" s="13"/>
      <c r="S17" s="13"/>
    </row>
    <row r="18" spans="1:19" ht="12.75" customHeight="1" x14ac:dyDescent="0.15">
      <c r="A18" s="17" t="s">
        <v>162</v>
      </c>
      <c r="B18" s="18" t="s">
        <v>163</v>
      </c>
      <c r="C18" s="14">
        <f t="shared" si="1"/>
        <v>16.5</v>
      </c>
      <c r="D18" s="15">
        <f t="shared" si="2"/>
        <v>140</v>
      </c>
      <c r="E18" s="15">
        <v>166</v>
      </c>
      <c r="F18" s="15">
        <v>12</v>
      </c>
      <c r="G18" s="15">
        <v>8</v>
      </c>
      <c r="H18" s="15">
        <v>2</v>
      </c>
      <c r="I18" s="15">
        <v>12</v>
      </c>
      <c r="J18" s="15">
        <v>2</v>
      </c>
      <c r="K18" s="15">
        <v>40</v>
      </c>
      <c r="L18" s="15">
        <v>48</v>
      </c>
      <c r="M18" s="15">
        <v>4</v>
      </c>
      <c r="N18" s="15">
        <v>12</v>
      </c>
      <c r="O18" s="21" t="s">
        <v>163</v>
      </c>
      <c r="P18" s="13"/>
      <c r="Q18" s="13"/>
      <c r="R18" s="13"/>
      <c r="S18" s="13"/>
    </row>
    <row r="19" spans="1:19" ht="12.75" customHeight="1" x14ac:dyDescent="0.15">
      <c r="A19" s="17" t="s">
        <v>161</v>
      </c>
      <c r="B19" s="18" t="s">
        <v>128</v>
      </c>
      <c r="C19" s="14">
        <f t="shared" si="1"/>
        <v>16.5</v>
      </c>
      <c r="D19" s="15">
        <f t="shared" si="2"/>
        <v>141</v>
      </c>
      <c r="E19" s="15">
        <v>166</v>
      </c>
      <c r="F19" s="15">
        <v>12</v>
      </c>
      <c r="G19" s="15">
        <v>8</v>
      </c>
      <c r="H19" s="15">
        <v>6</v>
      </c>
      <c r="I19" s="15">
        <v>12</v>
      </c>
      <c r="J19" s="15">
        <v>6</v>
      </c>
      <c r="K19" s="15">
        <v>22</v>
      </c>
      <c r="L19" s="15">
        <v>53</v>
      </c>
      <c r="M19" s="15">
        <v>4</v>
      </c>
      <c r="N19" s="15">
        <v>18</v>
      </c>
      <c r="O19" s="21" t="s">
        <v>171</v>
      </c>
      <c r="P19" s="13"/>
      <c r="Q19" s="13"/>
      <c r="R19" s="13"/>
      <c r="S19" s="13"/>
    </row>
    <row r="20" spans="1:19" ht="12.75" customHeight="1" x14ac:dyDescent="0.15">
      <c r="A20" s="17" t="s">
        <v>169</v>
      </c>
      <c r="B20" s="18" t="s">
        <v>119</v>
      </c>
      <c r="C20" s="14">
        <f t="shared" si="1"/>
        <v>17</v>
      </c>
      <c r="D20" s="15">
        <f t="shared" si="2"/>
        <v>142</v>
      </c>
      <c r="E20" s="15">
        <v>166</v>
      </c>
      <c r="F20" s="15">
        <v>11</v>
      </c>
      <c r="G20" s="15">
        <v>4</v>
      </c>
      <c r="H20" s="15">
        <v>6</v>
      </c>
      <c r="I20" s="15">
        <v>7</v>
      </c>
      <c r="J20" s="15">
        <v>6</v>
      </c>
      <c r="K20" s="15">
        <v>31</v>
      </c>
      <c r="L20" s="15">
        <v>55</v>
      </c>
      <c r="M20" s="15">
        <v>4</v>
      </c>
      <c r="N20" s="15">
        <v>18</v>
      </c>
      <c r="O20" s="21" t="s">
        <v>120</v>
      </c>
      <c r="P20" s="13"/>
      <c r="Q20" s="13"/>
      <c r="R20" s="13"/>
      <c r="S20" s="13"/>
    </row>
    <row r="21" spans="1:19" ht="12.75" customHeight="1" x14ac:dyDescent="0.15">
      <c r="A21" s="17" t="s">
        <v>174</v>
      </c>
      <c r="B21" s="18" t="s">
        <v>173</v>
      </c>
      <c r="C21" s="14">
        <f t="shared" si="1"/>
        <v>17</v>
      </c>
      <c r="D21" s="15">
        <f t="shared" si="2"/>
        <v>145</v>
      </c>
      <c r="E21" s="15">
        <v>166</v>
      </c>
      <c r="F21" s="15">
        <v>9</v>
      </c>
      <c r="G21" s="15">
        <v>4</v>
      </c>
      <c r="H21" s="15">
        <v>6</v>
      </c>
      <c r="I21" s="15">
        <v>7</v>
      </c>
      <c r="J21" s="15">
        <v>6</v>
      </c>
      <c r="K21" s="15">
        <v>32</v>
      </c>
      <c r="L21" s="15">
        <v>60</v>
      </c>
      <c r="M21" s="15">
        <v>4</v>
      </c>
      <c r="N21" s="15">
        <v>17</v>
      </c>
      <c r="O21" s="21" t="s">
        <v>173</v>
      </c>
      <c r="P21" s="13"/>
      <c r="Q21" s="13"/>
      <c r="R21" s="13"/>
      <c r="S21" s="13"/>
    </row>
    <row r="22" spans="1:19" ht="12.75" customHeight="1" x14ac:dyDescent="0.15">
      <c r="A22" s="17" t="s">
        <v>125</v>
      </c>
      <c r="B22" s="18" t="s">
        <v>123</v>
      </c>
      <c r="C22" s="14">
        <f t="shared" si="1"/>
        <v>17</v>
      </c>
      <c r="D22" s="15">
        <f t="shared" si="2"/>
        <v>142</v>
      </c>
      <c r="E22" s="15">
        <v>166</v>
      </c>
      <c r="F22" s="15">
        <v>12</v>
      </c>
      <c r="G22" s="15">
        <v>8</v>
      </c>
      <c r="H22" s="15">
        <v>6</v>
      </c>
      <c r="I22" s="15">
        <v>8</v>
      </c>
      <c r="J22" s="15">
        <v>0</v>
      </c>
      <c r="K22" s="15">
        <v>32</v>
      </c>
      <c r="L22" s="15">
        <v>60</v>
      </c>
      <c r="M22" s="15">
        <v>4</v>
      </c>
      <c r="N22" s="15">
        <v>12</v>
      </c>
      <c r="O22" s="21" t="s">
        <v>123</v>
      </c>
      <c r="P22" s="13"/>
      <c r="Q22" s="13"/>
      <c r="R22" s="13"/>
      <c r="S22" s="13"/>
    </row>
    <row r="23" spans="1:19" ht="12.75" customHeight="1" x14ac:dyDescent="0.15">
      <c r="A23" s="17" t="s">
        <v>178</v>
      </c>
      <c r="B23" s="18" t="s">
        <v>167</v>
      </c>
      <c r="C23" s="14">
        <f t="shared" si="1"/>
        <v>17</v>
      </c>
      <c r="D23" s="15">
        <f t="shared" si="2"/>
        <v>142</v>
      </c>
      <c r="E23" s="15">
        <v>166</v>
      </c>
      <c r="F23" s="15">
        <v>11</v>
      </c>
      <c r="G23" s="15">
        <v>4</v>
      </c>
      <c r="H23" s="15">
        <v>6</v>
      </c>
      <c r="I23" s="15">
        <v>7</v>
      </c>
      <c r="J23" s="15">
        <v>6</v>
      </c>
      <c r="K23" s="15">
        <v>31</v>
      </c>
      <c r="L23" s="15">
        <v>55</v>
      </c>
      <c r="M23" s="15">
        <v>4</v>
      </c>
      <c r="N23" s="15">
        <v>18</v>
      </c>
      <c r="O23" s="21" t="s">
        <v>181</v>
      </c>
      <c r="P23" s="13"/>
      <c r="Q23" s="13"/>
      <c r="R23" s="13"/>
      <c r="S23" s="13"/>
    </row>
    <row r="24" spans="1:19" ht="12.75" customHeight="1" x14ac:dyDescent="0.15">
      <c r="A24" s="17" t="s">
        <v>182</v>
      </c>
      <c r="B24" s="18" t="s">
        <v>170</v>
      </c>
      <c r="C24" s="14">
        <f t="shared" si="1"/>
        <v>17</v>
      </c>
      <c r="D24" s="15">
        <f t="shared" si="2"/>
        <v>145</v>
      </c>
      <c r="E24" s="15">
        <v>166</v>
      </c>
      <c r="F24" s="15">
        <v>11</v>
      </c>
      <c r="G24" s="15">
        <v>4</v>
      </c>
      <c r="H24" s="15">
        <v>6</v>
      </c>
      <c r="I24" s="15">
        <v>7</v>
      </c>
      <c r="J24" s="15">
        <v>6</v>
      </c>
      <c r="K24" s="15">
        <v>32</v>
      </c>
      <c r="L24" s="15">
        <v>60</v>
      </c>
      <c r="M24" s="15">
        <v>3</v>
      </c>
      <c r="N24" s="15">
        <v>16</v>
      </c>
      <c r="O24" s="21" t="s">
        <v>170</v>
      </c>
      <c r="P24" s="13"/>
      <c r="Q24" s="13"/>
      <c r="R24" s="13"/>
      <c r="S24" s="13"/>
    </row>
    <row r="25" spans="1:19" ht="12.75" customHeight="1" x14ac:dyDescent="0.15">
      <c r="A25" s="17" t="s">
        <v>184</v>
      </c>
      <c r="B25" s="18" t="s">
        <v>185</v>
      </c>
      <c r="C25" s="14">
        <f t="shared" si="1"/>
        <v>17</v>
      </c>
      <c r="D25" s="15">
        <f t="shared" si="2"/>
        <v>143</v>
      </c>
      <c r="E25" s="15">
        <v>166</v>
      </c>
      <c r="F25" s="15">
        <v>8</v>
      </c>
      <c r="G25" s="15">
        <v>4</v>
      </c>
      <c r="H25" s="15">
        <v>6</v>
      </c>
      <c r="I25" s="15">
        <v>7</v>
      </c>
      <c r="J25" s="15">
        <v>6</v>
      </c>
      <c r="K25" s="15">
        <v>40</v>
      </c>
      <c r="L25" s="15">
        <v>56</v>
      </c>
      <c r="M25" s="15">
        <v>4</v>
      </c>
      <c r="N25" s="15">
        <v>12</v>
      </c>
      <c r="O25" s="21" t="s">
        <v>185</v>
      </c>
      <c r="P25" s="13"/>
      <c r="Q25" s="13"/>
      <c r="R25" s="13"/>
      <c r="S25" s="13"/>
    </row>
    <row r="26" spans="1:19" ht="12.75" customHeight="1" x14ac:dyDescent="0.15">
      <c r="A26" s="17" t="s">
        <v>188</v>
      </c>
      <c r="B26" s="18" t="s">
        <v>157</v>
      </c>
      <c r="C26" s="14">
        <f t="shared" si="1"/>
        <v>17</v>
      </c>
      <c r="D26" s="15">
        <f t="shared" si="2"/>
        <v>144</v>
      </c>
      <c r="E26" s="15">
        <v>166</v>
      </c>
      <c r="F26" s="15">
        <v>12</v>
      </c>
      <c r="G26" s="15">
        <v>8</v>
      </c>
      <c r="H26" s="15">
        <v>6</v>
      </c>
      <c r="I26" s="15">
        <v>0</v>
      </c>
      <c r="J26" s="15">
        <v>6</v>
      </c>
      <c r="K26" s="15">
        <v>40</v>
      </c>
      <c r="L26" s="15">
        <v>54</v>
      </c>
      <c r="M26" s="15">
        <v>0</v>
      </c>
      <c r="N26" s="15">
        <v>18</v>
      </c>
      <c r="O26" s="21" t="s">
        <v>157</v>
      </c>
      <c r="P26" s="13"/>
      <c r="Q26" s="13"/>
      <c r="R26" s="13"/>
      <c r="S26" s="13"/>
    </row>
    <row r="27" spans="1:19" ht="12.75" customHeight="1" x14ac:dyDescent="0.15">
      <c r="A27" s="17" t="s">
        <v>179</v>
      </c>
      <c r="B27" s="18" t="s">
        <v>165</v>
      </c>
      <c r="C27" s="14">
        <f t="shared" si="1"/>
        <v>17.5</v>
      </c>
      <c r="D27" s="15">
        <f t="shared" si="2"/>
        <v>147</v>
      </c>
      <c r="E27" s="15">
        <v>166</v>
      </c>
      <c r="F27" s="15">
        <v>9</v>
      </c>
      <c r="G27" s="15">
        <v>3</v>
      </c>
      <c r="H27" s="15">
        <v>6</v>
      </c>
      <c r="I27" s="15">
        <v>2</v>
      </c>
      <c r="J27" s="15">
        <v>6</v>
      </c>
      <c r="K27" s="15">
        <v>40</v>
      </c>
      <c r="L27" s="15">
        <v>60</v>
      </c>
      <c r="M27" s="15">
        <v>3</v>
      </c>
      <c r="N27" s="15">
        <v>18</v>
      </c>
      <c r="O27" s="21" t="s">
        <v>165</v>
      </c>
      <c r="P27" s="13"/>
      <c r="Q27" s="13"/>
      <c r="R27" s="13"/>
      <c r="S27" s="13"/>
    </row>
    <row r="28" spans="1:19" ht="12.75" customHeight="1" x14ac:dyDescent="0.15">
      <c r="A28" s="17" t="s">
        <v>192</v>
      </c>
      <c r="B28" s="18" t="s">
        <v>193</v>
      </c>
      <c r="C28" s="14">
        <f t="shared" si="1"/>
        <v>17.5</v>
      </c>
      <c r="D28" s="15">
        <f t="shared" si="2"/>
        <v>147</v>
      </c>
      <c r="E28" s="15">
        <v>166</v>
      </c>
      <c r="F28" s="15">
        <v>11</v>
      </c>
      <c r="G28" s="15">
        <v>3</v>
      </c>
      <c r="H28" s="15">
        <v>6</v>
      </c>
      <c r="I28" s="15">
        <v>8</v>
      </c>
      <c r="J28" s="15">
        <v>6</v>
      </c>
      <c r="K28" s="15">
        <v>32</v>
      </c>
      <c r="L28" s="15">
        <v>60</v>
      </c>
      <c r="M28" s="15">
        <v>3</v>
      </c>
      <c r="N28" s="15">
        <v>18</v>
      </c>
      <c r="O28" s="21" t="s">
        <v>196</v>
      </c>
      <c r="P28" s="13"/>
      <c r="Q28" s="13"/>
      <c r="R28" s="13"/>
      <c r="S28" s="13"/>
    </row>
    <row r="29" spans="1:19" ht="12.75" customHeight="1" x14ac:dyDescent="0.15">
      <c r="A29" s="17" t="s">
        <v>197</v>
      </c>
      <c r="B29" s="18" t="s">
        <v>198</v>
      </c>
      <c r="C29" s="14">
        <f t="shared" si="1"/>
        <v>17.5</v>
      </c>
      <c r="D29" s="15">
        <f t="shared" si="2"/>
        <v>146</v>
      </c>
      <c r="E29" s="15">
        <v>166</v>
      </c>
      <c r="F29" s="15">
        <v>12</v>
      </c>
      <c r="G29" s="15">
        <v>4</v>
      </c>
      <c r="H29" s="15">
        <v>6</v>
      </c>
      <c r="I29" s="15">
        <v>12</v>
      </c>
      <c r="J29" s="15">
        <v>6</v>
      </c>
      <c r="K29" s="15">
        <v>24</v>
      </c>
      <c r="L29" s="15">
        <v>60</v>
      </c>
      <c r="M29" s="15">
        <v>4</v>
      </c>
      <c r="N29" s="15">
        <v>18</v>
      </c>
      <c r="O29" s="21" t="s">
        <v>198</v>
      </c>
      <c r="P29" s="13"/>
      <c r="Q29" s="13"/>
      <c r="R29" s="13"/>
      <c r="S29" s="13"/>
    </row>
    <row r="30" spans="1:19" ht="12.75" customHeight="1" x14ac:dyDescent="0.15">
      <c r="A30" s="17" t="s">
        <v>152</v>
      </c>
      <c r="B30" s="18" t="s">
        <v>190</v>
      </c>
      <c r="C30" s="14">
        <f t="shared" si="1"/>
        <v>17.5</v>
      </c>
      <c r="D30" s="15">
        <f t="shared" si="2"/>
        <v>148</v>
      </c>
      <c r="E30" s="15">
        <v>166</v>
      </c>
      <c r="F30" s="15">
        <v>11</v>
      </c>
      <c r="G30" s="15">
        <v>3</v>
      </c>
      <c r="H30" s="15">
        <v>6</v>
      </c>
      <c r="I30" s="15">
        <v>12</v>
      </c>
      <c r="J30" s="15">
        <v>6</v>
      </c>
      <c r="K30" s="15">
        <v>40</v>
      </c>
      <c r="L30" s="15">
        <v>60</v>
      </c>
      <c r="M30" s="15">
        <v>4</v>
      </c>
      <c r="N30" s="15">
        <v>6</v>
      </c>
      <c r="O30" s="21" t="s">
        <v>190</v>
      </c>
      <c r="P30" s="13"/>
      <c r="Q30" s="13"/>
      <c r="R30" s="13"/>
      <c r="S30" s="13"/>
    </row>
    <row r="31" spans="1:19" ht="12.75" customHeight="1" x14ac:dyDescent="0.15">
      <c r="A31" s="17" t="s">
        <v>201</v>
      </c>
      <c r="B31" s="18" t="s">
        <v>202</v>
      </c>
      <c r="C31" s="14">
        <f t="shared" si="1"/>
        <v>17.5</v>
      </c>
      <c r="D31" s="15">
        <f t="shared" si="2"/>
        <v>147</v>
      </c>
      <c r="E31" s="15">
        <v>166</v>
      </c>
      <c r="F31" s="15">
        <v>11</v>
      </c>
      <c r="G31" s="15">
        <v>4</v>
      </c>
      <c r="H31" s="15">
        <v>6</v>
      </c>
      <c r="I31" s="15">
        <v>7</v>
      </c>
      <c r="J31" s="15">
        <v>6</v>
      </c>
      <c r="K31" s="15">
        <v>31</v>
      </c>
      <c r="L31" s="15">
        <v>60</v>
      </c>
      <c r="M31" s="15">
        <v>4</v>
      </c>
      <c r="N31" s="15">
        <v>18</v>
      </c>
      <c r="O31" s="21" t="s">
        <v>202</v>
      </c>
      <c r="P31" s="13"/>
      <c r="Q31" s="13"/>
      <c r="R31" s="13"/>
      <c r="S31" s="13"/>
    </row>
    <row r="32" spans="1:19" ht="12.75" customHeight="1" x14ac:dyDescent="0.15">
      <c r="A32" s="17" t="s">
        <v>189</v>
      </c>
      <c r="B32" s="18" t="s">
        <v>146</v>
      </c>
      <c r="C32" s="14">
        <f t="shared" si="1"/>
        <v>17.5</v>
      </c>
      <c r="D32" s="15">
        <f t="shared" si="2"/>
        <v>149</v>
      </c>
      <c r="E32" s="15">
        <v>166</v>
      </c>
      <c r="F32" s="15">
        <v>12</v>
      </c>
      <c r="G32" s="15">
        <v>8</v>
      </c>
      <c r="H32" s="15">
        <v>6</v>
      </c>
      <c r="I32" s="15">
        <v>3</v>
      </c>
      <c r="J32" s="15">
        <v>6</v>
      </c>
      <c r="K32" s="15">
        <v>32</v>
      </c>
      <c r="L32" s="15">
        <v>60</v>
      </c>
      <c r="M32" s="15">
        <v>4</v>
      </c>
      <c r="N32" s="15">
        <v>18</v>
      </c>
      <c r="O32" s="21" t="s">
        <v>146</v>
      </c>
      <c r="P32" s="13"/>
      <c r="Q32" s="13"/>
      <c r="R32" s="13"/>
      <c r="S32" s="13"/>
    </row>
    <row r="33" spans="1:19" ht="12.75" customHeight="1" x14ac:dyDescent="0.15">
      <c r="A33" s="17" t="s">
        <v>141</v>
      </c>
      <c r="B33" s="18" t="s">
        <v>209</v>
      </c>
      <c r="C33" s="14">
        <f t="shared" si="1"/>
        <v>17.5</v>
      </c>
      <c r="D33" s="15">
        <f t="shared" si="2"/>
        <v>149</v>
      </c>
      <c r="E33" s="15">
        <v>166</v>
      </c>
      <c r="F33" s="15">
        <v>12</v>
      </c>
      <c r="G33" s="15">
        <v>8</v>
      </c>
      <c r="H33" s="15">
        <v>6</v>
      </c>
      <c r="I33" s="15">
        <v>3</v>
      </c>
      <c r="J33" s="15">
        <v>6</v>
      </c>
      <c r="K33" s="15">
        <v>40</v>
      </c>
      <c r="L33" s="15">
        <v>56</v>
      </c>
      <c r="M33" s="15">
        <v>0</v>
      </c>
      <c r="N33" s="15">
        <v>18</v>
      </c>
      <c r="O33" s="21" t="s">
        <v>212</v>
      </c>
      <c r="P33" s="13"/>
      <c r="Q33" s="13"/>
      <c r="R33" s="13"/>
      <c r="S33" s="13"/>
    </row>
    <row r="34" spans="1:19" ht="12.75" customHeight="1" x14ac:dyDescent="0.15">
      <c r="A34" s="17" t="s">
        <v>213</v>
      </c>
      <c r="B34" s="18" t="s">
        <v>214</v>
      </c>
      <c r="C34" s="14">
        <f t="shared" si="1"/>
        <v>18</v>
      </c>
      <c r="D34" s="15">
        <f t="shared" si="2"/>
        <v>153</v>
      </c>
      <c r="E34" s="15">
        <v>166</v>
      </c>
      <c r="F34" s="15">
        <v>12</v>
      </c>
      <c r="G34" s="15">
        <v>0</v>
      </c>
      <c r="H34" s="15">
        <v>6</v>
      </c>
      <c r="I34" s="15">
        <v>7</v>
      </c>
      <c r="J34" s="15">
        <v>6</v>
      </c>
      <c r="K34" s="15">
        <v>40</v>
      </c>
      <c r="L34" s="15">
        <v>60</v>
      </c>
      <c r="M34" s="15">
        <v>4</v>
      </c>
      <c r="N34" s="15">
        <v>18</v>
      </c>
      <c r="O34" s="21" t="s">
        <v>214</v>
      </c>
      <c r="P34" s="13"/>
      <c r="Q34" s="13"/>
      <c r="R34" s="13"/>
      <c r="S34" s="13"/>
    </row>
    <row r="35" spans="1:19" ht="12.75" customHeight="1" x14ac:dyDescent="0.15">
      <c r="A35" s="17" t="s">
        <v>215</v>
      </c>
      <c r="B35" s="18" t="s">
        <v>216</v>
      </c>
      <c r="C35" s="14">
        <f t="shared" si="1"/>
        <v>18</v>
      </c>
      <c r="D35" s="15">
        <f t="shared" si="2"/>
        <v>153</v>
      </c>
      <c r="E35" s="15">
        <v>166</v>
      </c>
      <c r="F35" s="15">
        <v>12</v>
      </c>
      <c r="G35" s="15">
        <v>4</v>
      </c>
      <c r="H35" s="15">
        <v>6</v>
      </c>
      <c r="I35" s="15">
        <v>7</v>
      </c>
      <c r="J35" s="15">
        <v>2</v>
      </c>
      <c r="K35" s="15">
        <v>40</v>
      </c>
      <c r="L35" s="15">
        <v>60</v>
      </c>
      <c r="M35" s="15">
        <v>4</v>
      </c>
      <c r="N35" s="15">
        <v>18</v>
      </c>
      <c r="O35" s="21" t="s">
        <v>216</v>
      </c>
      <c r="P35" s="13"/>
      <c r="Q35" s="13"/>
      <c r="R35" s="13"/>
      <c r="S35" s="13"/>
    </row>
    <row r="36" spans="1:19" ht="12.75" customHeight="1" x14ac:dyDescent="0.15">
      <c r="A36" s="17" t="s">
        <v>219</v>
      </c>
      <c r="B36" s="18" t="s">
        <v>211</v>
      </c>
      <c r="C36" s="14">
        <f t="shared" si="1"/>
        <v>18</v>
      </c>
      <c r="D36" s="15">
        <f t="shared" si="2"/>
        <v>152</v>
      </c>
      <c r="E36" s="15">
        <v>166</v>
      </c>
      <c r="F36" s="15">
        <v>8</v>
      </c>
      <c r="G36" s="15">
        <v>8</v>
      </c>
      <c r="H36" s="15">
        <v>6</v>
      </c>
      <c r="I36" s="15">
        <v>8</v>
      </c>
      <c r="J36" s="15">
        <v>6</v>
      </c>
      <c r="K36" s="15">
        <v>40</v>
      </c>
      <c r="L36" s="15">
        <v>60</v>
      </c>
      <c r="M36" s="15">
        <v>4</v>
      </c>
      <c r="N36" s="15">
        <v>12</v>
      </c>
      <c r="O36" s="21" t="s">
        <v>211</v>
      </c>
      <c r="P36" s="13"/>
      <c r="Q36" s="13"/>
      <c r="R36" s="13"/>
      <c r="S36" s="13"/>
    </row>
    <row r="37" spans="1:19" ht="12.75" customHeight="1" x14ac:dyDescent="0.15">
      <c r="A37" s="17" t="s">
        <v>221</v>
      </c>
      <c r="B37" s="18" t="s">
        <v>204</v>
      </c>
      <c r="C37" s="14">
        <f t="shared" si="1"/>
        <v>18</v>
      </c>
      <c r="D37" s="15">
        <f t="shared" si="2"/>
        <v>150</v>
      </c>
      <c r="E37" s="15">
        <v>166</v>
      </c>
      <c r="F37" s="15">
        <v>12</v>
      </c>
      <c r="G37" s="15">
        <v>8</v>
      </c>
      <c r="H37" s="15">
        <v>6</v>
      </c>
      <c r="I37" s="15">
        <v>12</v>
      </c>
      <c r="J37" s="15">
        <v>6</v>
      </c>
      <c r="K37" s="15">
        <v>40</v>
      </c>
      <c r="L37" s="15">
        <v>56</v>
      </c>
      <c r="M37" s="15">
        <v>4</v>
      </c>
      <c r="N37" s="15">
        <v>6</v>
      </c>
      <c r="O37" s="21" t="s">
        <v>204</v>
      </c>
      <c r="P37" s="13"/>
      <c r="Q37" s="13"/>
      <c r="R37" s="13"/>
      <c r="S37" s="13"/>
    </row>
    <row r="38" spans="1:19" ht="12.75" customHeight="1" x14ac:dyDescent="0.15">
      <c r="A38" s="17" t="s">
        <v>135</v>
      </c>
      <c r="B38" s="18" t="s">
        <v>142</v>
      </c>
      <c r="C38" s="14">
        <f t="shared" si="1"/>
        <v>18</v>
      </c>
      <c r="D38" s="15">
        <f t="shared" si="2"/>
        <v>150</v>
      </c>
      <c r="E38" s="15">
        <v>166</v>
      </c>
      <c r="F38" s="15">
        <v>12</v>
      </c>
      <c r="G38" s="15">
        <v>4</v>
      </c>
      <c r="H38" s="15">
        <v>6</v>
      </c>
      <c r="I38" s="15">
        <v>7</v>
      </c>
      <c r="J38" s="15">
        <v>6</v>
      </c>
      <c r="K38" s="15">
        <v>40</v>
      </c>
      <c r="L38" s="15">
        <v>60</v>
      </c>
      <c r="M38" s="15">
        <v>3</v>
      </c>
      <c r="N38" s="15">
        <v>12</v>
      </c>
      <c r="O38" s="21" t="s">
        <v>142</v>
      </c>
      <c r="P38" s="13"/>
      <c r="Q38" s="13"/>
      <c r="R38" s="13"/>
      <c r="S38" s="13"/>
    </row>
    <row r="39" spans="1:19" ht="12.75" customHeight="1" x14ac:dyDescent="0.15">
      <c r="A39" s="17" t="s">
        <v>225</v>
      </c>
      <c r="B39" s="18" t="s">
        <v>226</v>
      </c>
      <c r="C39" s="14">
        <f t="shared" si="1"/>
        <v>18</v>
      </c>
      <c r="D39" s="15">
        <f t="shared" si="2"/>
        <v>152</v>
      </c>
      <c r="E39" s="15">
        <v>166</v>
      </c>
      <c r="F39" s="15">
        <v>8</v>
      </c>
      <c r="G39" s="15">
        <v>4</v>
      </c>
      <c r="H39" s="15">
        <v>6</v>
      </c>
      <c r="I39" s="15">
        <v>7</v>
      </c>
      <c r="J39" s="15">
        <v>6</v>
      </c>
      <c r="K39" s="15">
        <v>39</v>
      </c>
      <c r="L39" s="15">
        <v>60</v>
      </c>
      <c r="M39" s="15">
        <v>4</v>
      </c>
      <c r="N39" s="15">
        <v>18</v>
      </c>
      <c r="O39" s="21" t="s">
        <v>226</v>
      </c>
      <c r="P39" s="13"/>
      <c r="Q39" s="13"/>
      <c r="R39" s="13"/>
      <c r="S39" s="13"/>
    </row>
    <row r="40" spans="1:19" ht="12.75" customHeight="1" x14ac:dyDescent="0.15">
      <c r="A40" s="17" t="s">
        <v>186</v>
      </c>
      <c r="B40" s="18" t="s">
        <v>228</v>
      </c>
      <c r="C40" s="14">
        <f t="shared" si="1"/>
        <v>18</v>
      </c>
      <c r="D40" s="15">
        <f t="shared" si="2"/>
        <v>150</v>
      </c>
      <c r="E40" s="15">
        <v>166</v>
      </c>
      <c r="F40" s="15">
        <v>12</v>
      </c>
      <c r="G40" s="15">
        <v>4</v>
      </c>
      <c r="H40" s="15">
        <v>6</v>
      </c>
      <c r="I40" s="15">
        <v>7</v>
      </c>
      <c r="J40" s="15">
        <v>6</v>
      </c>
      <c r="K40" s="15">
        <v>40</v>
      </c>
      <c r="L40" s="15">
        <v>54</v>
      </c>
      <c r="M40" s="15">
        <v>3</v>
      </c>
      <c r="N40" s="15">
        <v>18</v>
      </c>
      <c r="O40" s="21" t="s">
        <v>228</v>
      </c>
      <c r="P40" s="13"/>
      <c r="Q40" s="13"/>
      <c r="R40" s="13"/>
      <c r="S40" s="13"/>
    </row>
    <row r="41" spans="1:19" ht="12.75" customHeight="1" x14ac:dyDescent="0.15">
      <c r="A41" s="17" t="s">
        <v>230</v>
      </c>
      <c r="B41" s="18" t="s">
        <v>231</v>
      </c>
      <c r="C41" s="14">
        <f t="shared" si="1"/>
        <v>18.5</v>
      </c>
      <c r="D41" s="15">
        <f t="shared" si="2"/>
        <v>156</v>
      </c>
      <c r="E41" s="15">
        <v>166</v>
      </c>
      <c r="F41" s="15">
        <v>12</v>
      </c>
      <c r="G41" s="15">
        <v>3</v>
      </c>
      <c r="H41" s="15">
        <v>6</v>
      </c>
      <c r="I41" s="15">
        <v>7</v>
      </c>
      <c r="J41" s="15">
        <v>6</v>
      </c>
      <c r="K41" s="15">
        <v>40</v>
      </c>
      <c r="L41" s="15">
        <v>60</v>
      </c>
      <c r="M41" s="15">
        <v>4</v>
      </c>
      <c r="N41" s="15">
        <v>18</v>
      </c>
      <c r="O41" s="21" t="s">
        <v>231</v>
      </c>
      <c r="P41" s="13"/>
      <c r="Q41" s="13"/>
      <c r="R41" s="13"/>
      <c r="S41" s="13"/>
    </row>
    <row r="42" spans="1:19" ht="12.75" customHeight="1" x14ac:dyDescent="0.15">
      <c r="A42" s="17" t="s">
        <v>156</v>
      </c>
      <c r="B42" s="18" t="s">
        <v>234</v>
      </c>
      <c r="C42" s="14">
        <f t="shared" si="1"/>
        <v>18.5</v>
      </c>
      <c r="D42" s="15">
        <f t="shared" si="2"/>
        <v>155</v>
      </c>
      <c r="E42" s="15">
        <v>166</v>
      </c>
      <c r="F42" s="15">
        <v>12</v>
      </c>
      <c r="G42" s="15">
        <v>8</v>
      </c>
      <c r="H42" s="15">
        <v>6</v>
      </c>
      <c r="I42" s="15">
        <v>7</v>
      </c>
      <c r="J42" s="15">
        <v>6</v>
      </c>
      <c r="K42" s="15">
        <v>40</v>
      </c>
      <c r="L42" s="15">
        <v>58</v>
      </c>
      <c r="M42" s="15">
        <v>0</v>
      </c>
      <c r="N42" s="15">
        <v>18</v>
      </c>
      <c r="O42" s="21" t="s">
        <v>234</v>
      </c>
      <c r="P42" s="13"/>
      <c r="Q42" s="13"/>
      <c r="R42" s="13"/>
      <c r="S42" s="13"/>
    </row>
    <row r="43" spans="1:19" ht="12.75" customHeight="1" x14ac:dyDescent="0.15">
      <c r="A43" s="17" t="s">
        <v>238</v>
      </c>
      <c r="B43" s="18" t="s">
        <v>239</v>
      </c>
      <c r="C43" s="14">
        <f t="shared" si="1"/>
        <v>18.5</v>
      </c>
      <c r="D43" s="15">
        <f t="shared" si="2"/>
        <v>156</v>
      </c>
      <c r="E43" s="15">
        <v>166</v>
      </c>
      <c r="F43" s="15">
        <v>8</v>
      </c>
      <c r="G43" s="15">
        <v>3</v>
      </c>
      <c r="H43" s="15">
        <v>6</v>
      </c>
      <c r="I43" s="15">
        <v>12</v>
      </c>
      <c r="J43" s="15">
        <v>6</v>
      </c>
      <c r="K43" s="15">
        <v>40</v>
      </c>
      <c r="L43" s="15">
        <v>59</v>
      </c>
      <c r="M43" s="15">
        <v>4</v>
      </c>
      <c r="N43" s="15">
        <v>18</v>
      </c>
      <c r="O43" s="21" t="s">
        <v>239</v>
      </c>
      <c r="P43" s="13"/>
      <c r="Q43" s="13"/>
      <c r="R43" s="13"/>
      <c r="S43" s="13"/>
    </row>
    <row r="44" spans="1:19" ht="12.75" customHeight="1" x14ac:dyDescent="0.15">
      <c r="A44" s="17" t="s">
        <v>175</v>
      </c>
      <c r="B44" s="18" t="s">
        <v>218</v>
      </c>
      <c r="C44" s="14">
        <f t="shared" si="1"/>
        <v>18.5</v>
      </c>
      <c r="D44" s="15">
        <f t="shared" si="2"/>
        <v>154</v>
      </c>
      <c r="E44" s="15">
        <v>166</v>
      </c>
      <c r="F44" s="15">
        <v>12</v>
      </c>
      <c r="G44" s="15">
        <v>8</v>
      </c>
      <c r="H44" s="15">
        <v>6</v>
      </c>
      <c r="I44" s="15">
        <v>12</v>
      </c>
      <c r="J44" s="15">
        <v>6</v>
      </c>
      <c r="K44" s="15">
        <v>40</v>
      </c>
      <c r="L44" s="15">
        <v>48</v>
      </c>
      <c r="M44" s="15">
        <v>4</v>
      </c>
      <c r="N44" s="15">
        <v>18</v>
      </c>
      <c r="O44" s="21" t="s">
        <v>218</v>
      </c>
      <c r="P44" s="13"/>
      <c r="Q44" s="13"/>
      <c r="R44" s="13"/>
      <c r="S44" s="13"/>
    </row>
    <row r="45" spans="1:19" ht="12.75" customHeight="1" x14ac:dyDescent="0.15">
      <c r="A45" s="17" t="s">
        <v>172</v>
      </c>
      <c r="B45" s="18" t="s">
        <v>115</v>
      </c>
      <c r="C45" s="14">
        <f t="shared" si="1"/>
        <v>18.5</v>
      </c>
      <c r="D45" s="15">
        <f t="shared" si="2"/>
        <v>154</v>
      </c>
      <c r="E45" s="15">
        <v>166</v>
      </c>
      <c r="F45" s="15">
        <v>11</v>
      </c>
      <c r="G45" s="15">
        <v>8</v>
      </c>
      <c r="H45" s="15">
        <v>6</v>
      </c>
      <c r="I45" s="15">
        <v>7</v>
      </c>
      <c r="J45" s="15">
        <v>6</v>
      </c>
      <c r="K45" s="15">
        <v>40</v>
      </c>
      <c r="L45" s="15">
        <v>58</v>
      </c>
      <c r="M45" s="15">
        <v>0</v>
      </c>
      <c r="N45" s="15">
        <v>18</v>
      </c>
      <c r="O45" s="21" t="s">
        <v>115</v>
      </c>
      <c r="P45" s="13"/>
      <c r="Q45" s="13"/>
      <c r="R45" s="13"/>
      <c r="S45" s="13"/>
    </row>
    <row r="46" spans="1:19" ht="12.75" customHeight="1" x14ac:dyDescent="0.15">
      <c r="A46" s="17" t="s">
        <v>245</v>
      </c>
      <c r="B46" s="18" t="s">
        <v>244</v>
      </c>
      <c r="C46" s="14">
        <f t="shared" si="1"/>
        <v>18.5</v>
      </c>
      <c r="D46" s="15">
        <f t="shared" si="2"/>
        <v>155</v>
      </c>
      <c r="E46" s="15">
        <v>166</v>
      </c>
      <c r="F46" s="15">
        <v>9</v>
      </c>
      <c r="G46" s="15">
        <v>8</v>
      </c>
      <c r="H46" s="15">
        <v>6</v>
      </c>
      <c r="I46" s="15">
        <v>12</v>
      </c>
      <c r="J46" s="15">
        <v>6</v>
      </c>
      <c r="K46" s="15">
        <v>32</v>
      </c>
      <c r="L46" s="15">
        <v>60</v>
      </c>
      <c r="M46" s="15">
        <v>4</v>
      </c>
      <c r="N46" s="15">
        <v>18</v>
      </c>
      <c r="O46" s="21" t="s">
        <v>246</v>
      </c>
      <c r="P46" s="13"/>
      <c r="Q46" s="13"/>
      <c r="R46" s="13"/>
      <c r="S46" s="13"/>
    </row>
    <row r="47" spans="1:19" ht="12.75" customHeight="1" x14ac:dyDescent="0.15">
      <c r="A47" s="17" t="s">
        <v>248</v>
      </c>
      <c r="B47" s="18" t="s">
        <v>249</v>
      </c>
      <c r="C47" s="14">
        <f t="shared" si="1"/>
        <v>19</v>
      </c>
      <c r="D47" s="15">
        <f t="shared" si="2"/>
        <v>161</v>
      </c>
      <c r="E47" s="15">
        <v>166</v>
      </c>
      <c r="F47" s="15">
        <v>12</v>
      </c>
      <c r="G47" s="15">
        <v>4</v>
      </c>
      <c r="H47" s="15">
        <v>6</v>
      </c>
      <c r="I47" s="15">
        <v>12</v>
      </c>
      <c r="J47" s="15">
        <v>6</v>
      </c>
      <c r="K47" s="15">
        <v>40</v>
      </c>
      <c r="L47" s="15">
        <v>60</v>
      </c>
      <c r="M47" s="15">
        <v>3</v>
      </c>
      <c r="N47" s="15">
        <v>18</v>
      </c>
      <c r="O47" s="21" t="s">
        <v>249</v>
      </c>
      <c r="P47" s="13"/>
      <c r="Q47" s="13"/>
      <c r="R47" s="13"/>
      <c r="S47" s="13"/>
    </row>
    <row r="48" spans="1:19" ht="12.75" customHeight="1" x14ac:dyDescent="0.15">
      <c r="A48" s="17" t="s">
        <v>114</v>
      </c>
      <c r="B48" s="18" t="s">
        <v>229</v>
      </c>
      <c r="C48" s="14">
        <f t="shared" si="1"/>
        <v>19</v>
      </c>
      <c r="D48" s="15">
        <f t="shared" si="2"/>
        <v>160</v>
      </c>
      <c r="E48" s="15">
        <v>166</v>
      </c>
      <c r="F48" s="15">
        <v>12</v>
      </c>
      <c r="G48" s="15">
        <v>8</v>
      </c>
      <c r="H48" s="15">
        <v>6</v>
      </c>
      <c r="I48" s="15">
        <v>12</v>
      </c>
      <c r="J48" s="15">
        <v>6</v>
      </c>
      <c r="K48" s="15">
        <v>40</v>
      </c>
      <c r="L48" s="15">
        <v>58</v>
      </c>
      <c r="M48" s="15">
        <v>0</v>
      </c>
      <c r="N48" s="15">
        <v>18</v>
      </c>
      <c r="O48" s="21" t="s">
        <v>229</v>
      </c>
      <c r="P48" s="13"/>
      <c r="Q48" s="13"/>
      <c r="R48" s="13"/>
      <c r="S48" s="13"/>
    </row>
    <row r="49" spans="1:19" ht="12.75" customHeight="1" x14ac:dyDescent="0.15">
      <c r="A49" s="17" t="s">
        <v>252</v>
      </c>
      <c r="B49" s="18" t="s">
        <v>250</v>
      </c>
      <c r="C49" s="14">
        <f t="shared" si="1"/>
        <v>19</v>
      </c>
      <c r="D49" s="15">
        <f t="shared" si="2"/>
        <v>160</v>
      </c>
      <c r="E49" s="15">
        <v>166</v>
      </c>
      <c r="F49" s="15">
        <v>12</v>
      </c>
      <c r="G49" s="15">
        <v>8</v>
      </c>
      <c r="H49" s="15">
        <v>6</v>
      </c>
      <c r="I49" s="15">
        <v>12</v>
      </c>
      <c r="J49" s="15">
        <v>6</v>
      </c>
      <c r="K49" s="15">
        <v>40</v>
      </c>
      <c r="L49" s="15">
        <v>60</v>
      </c>
      <c r="M49" s="15">
        <v>4</v>
      </c>
      <c r="N49" s="15">
        <v>12</v>
      </c>
      <c r="O49" s="21" t="s">
        <v>250</v>
      </c>
      <c r="P49" s="13"/>
      <c r="Q49" s="13"/>
      <c r="R49" s="13"/>
      <c r="S49" s="13"/>
    </row>
    <row r="50" spans="1:19" ht="12.75" customHeight="1" x14ac:dyDescent="0.15">
      <c r="A50" s="17" t="s">
        <v>254</v>
      </c>
      <c r="B50" s="18" t="s">
        <v>144</v>
      </c>
      <c r="C50" s="14">
        <f t="shared" si="1"/>
        <v>19</v>
      </c>
      <c r="D50" s="15">
        <f t="shared" si="2"/>
        <v>161</v>
      </c>
      <c r="E50" s="15">
        <v>166</v>
      </c>
      <c r="F50" s="15">
        <v>12</v>
      </c>
      <c r="G50" s="15">
        <v>8</v>
      </c>
      <c r="H50" s="15">
        <v>6</v>
      </c>
      <c r="I50" s="15">
        <v>7</v>
      </c>
      <c r="J50" s="15">
        <v>6</v>
      </c>
      <c r="K50" s="15">
        <v>40</v>
      </c>
      <c r="L50" s="15">
        <v>60</v>
      </c>
      <c r="M50" s="15">
        <v>4</v>
      </c>
      <c r="N50" s="15">
        <v>18</v>
      </c>
      <c r="O50" s="21" t="s">
        <v>144</v>
      </c>
      <c r="P50" s="13"/>
      <c r="Q50" s="13"/>
      <c r="R50" s="13"/>
      <c r="S50" s="13"/>
    </row>
    <row r="51" spans="1:19" ht="12.75" customHeight="1" x14ac:dyDescent="0.15">
      <c r="A51" s="17" t="s">
        <v>255</v>
      </c>
      <c r="B51" s="18" t="s">
        <v>237</v>
      </c>
      <c r="C51" s="14">
        <f t="shared" si="1"/>
        <v>19</v>
      </c>
      <c r="D51" s="15">
        <f t="shared" si="2"/>
        <v>159</v>
      </c>
      <c r="E51" s="15">
        <v>166</v>
      </c>
      <c r="F51" s="15">
        <v>12</v>
      </c>
      <c r="G51" s="15">
        <v>8</v>
      </c>
      <c r="H51" s="15">
        <v>6</v>
      </c>
      <c r="I51" s="15">
        <v>12</v>
      </c>
      <c r="J51" s="15">
        <v>6</v>
      </c>
      <c r="K51" s="15">
        <v>40</v>
      </c>
      <c r="L51" s="15">
        <v>59</v>
      </c>
      <c r="M51" s="15">
        <v>4</v>
      </c>
      <c r="N51" s="15">
        <v>12</v>
      </c>
      <c r="O51" s="21" t="s">
        <v>237</v>
      </c>
      <c r="P51" s="13"/>
      <c r="Q51" s="13"/>
      <c r="R51" s="13"/>
      <c r="S51" s="13"/>
    </row>
    <row r="52" spans="1:19" ht="12.75" customHeight="1" x14ac:dyDescent="0.15">
      <c r="A52" s="17" t="s">
        <v>217</v>
      </c>
      <c r="B52" s="18" t="s">
        <v>251</v>
      </c>
      <c r="C52" s="14">
        <f t="shared" si="1"/>
        <v>19</v>
      </c>
      <c r="D52" s="15">
        <f t="shared" si="2"/>
        <v>161</v>
      </c>
      <c r="E52" s="15">
        <v>166</v>
      </c>
      <c r="F52" s="15">
        <v>12</v>
      </c>
      <c r="G52" s="15">
        <v>8</v>
      </c>
      <c r="H52" s="15">
        <v>6</v>
      </c>
      <c r="I52" s="15">
        <v>7</v>
      </c>
      <c r="J52" s="15">
        <v>6</v>
      </c>
      <c r="K52" s="15">
        <v>40</v>
      </c>
      <c r="L52" s="15">
        <v>60</v>
      </c>
      <c r="M52" s="15">
        <v>4</v>
      </c>
      <c r="N52" s="15">
        <v>18</v>
      </c>
      <c r="O52" s="21" t="s">
        <v>251</v>
      </c>
      <c r="P52" s="13"/>
      <c r="Q52" s="13"/>
      <c r="R52" s="13"/>
      <c r="S52" s="13"/>
    </row>
    <row r="53" spans="1:19" ht="12.75" customHeight="1" x14ac:dyDescent="0.15">
      <c r="A53" s="17" t="s">
        <v>203</v>
      </c>
      <c r="B53" s="18" t="s">
        <v>150</v>
      </c>
      <c r="C53" s="14">
        <f t="shared" si="1"/>
        <v>19</v>
      </c>
      <c r="D53" s="15">
        <f t="shared" si="2"/>
        <v>161</v>
      </c>
      <c r="E53" s="15">
        <v>166</v>
      </c>
      <c r="F53" s="15">
        <v>12</v>
      </c>
      <c r="G53" s="15">
        <v>8</v>
      </c>
      <c r="H53" s="15">
        <v>6</v>
      </c>
      <c r="I53" s="15">
        <v>7</v>
      </c>
      <c r="J53" s="15">
        <v>6</v>
      </c>
      <c r="K53" s="15">
        <v>40</v>
      </c>
      <c r="L53" s="15">
        <v>60</v>
      </c>
      <c r="M53" s="15">
        <v>4</v>
      </c>
      <c r="N53" s="15">
        <v>18</v>
      </c>
      <c r="O53" s="21" t="s">
        <v>150</v>
      </c>
      <c r="P53" s="13"/>
      <c r="Q53" s="13"/>
      <c r="R53" s="13"/>
      <c r="S53" s="13"/>
    </row>
    <row r="54" spans="1:19" ht="12.75" customHeight="1" x14ac:dyDescent="0.15">
      <c r="A54" s="17" t="s">
        <v>257</v>
      </c>
      <c r="B54" s="18" t="s">
        <v>253</v>
      </c>
      <c r="C54" s="14">
        <f t="shared" si="1"/>
        <v>19</v>
      </c>
      <c r="D54" s="15">
        <f t="shared" si="2"/>
        <v>161</v>
      </c>
      <c r="E54" s="15">
        <v>166</v>
      </c>
      <c r="F54" s="15">
        <v>11</v>
      </c>
      <c r="G54" s="15">
        <v>4</v>
      </c>
      <c r="H54" s="15">
        <v>6</v>
      </c>
      <c r="I54" s="15">
        <v>12</v>
      </c>
      <c r="J54" s="15">
        <v>6</v>
      </c>
      <c r="K54" s="15">
        <v>40</v>
      </c>
      <c r="L54" s="15">
        <v>60</v>
      </c>
      <c r="M54" s="15">
        <v>4</v>
      </c>
      <c r="N54" s="15">
        <v>18</v>
      </c>
      <c r="O54" s="21" t="s">
        <v>253</v>
      </c>
      <c r="P54" s="13"/>
      <c r="Q54" s="13"/>
      <c r="R54" s="13"/>
      <c r="S54" s="13"/>
    </row>
    <row r="55" spans="1:19" ht="12.75" customHeight="1" x14ac:dyDescent="0.15">
      <c r="A55" s="17" t="s">
        <v>183</v>
      </c>
      <c r="B55" s="18" t="s">
        <v>242</v>
      </c>
      <c r="C55" s="14">
        <f t="shared" si="1"/>
        <v>19</v>
      </c>
      <c r="D55" s="15">
        <f t="shared" si="2"/>
        <v>160</v>
      </c>
      <c r="E55" s="15">
        <v>166</v>
      </c>
      <c r="F55" s="15">
        <v>12</v>
      </c>
      <c r="G55" s="15">
        <v>8</v>
      </c>
      <c r="H55" s="15">
        <v>6</v>
      </c>
      <c r="I55" s="15">
        <v>12</v>
      </c>
      <c r="J55" s="15">
        <v>6</v>
      </c>
      <c r="K55" s="15">
        <v>40</v>
      </c>
      <c r="L55" s="15">
        <v>60</v>
      </c>
      <c r="M55" s="15">
        <v>4</v>
      </c>
      <c r="N55" s="15">
        <v>12</v>
      </c>
      <c r="O55" s="21" t="s">
        <v>242</v>
      </c>
      <c r="P55" s="13"/>
      <c r="Q55" s="13"/>
      <c r="R55" s="13"/>
      <c r="S55" s="13"/>
    </row>
    <row r="56" spans="1:19" ht="12.75" customHeight="1" x14ac:dyDescent="0.15">
      <c r="A56" s="17" t="s">
        <v>138</v>
      </c>
      <c r="B56" s="18" t="s">
        <v>187</v>
      </c>
      <c r="C56" s="14">
        <f t="shared" si="1"/>
        <v>19</v>
      </c>
      <c r="D56" s="15">
        <f t="shared" si="2"/>
        <v>158</v>
      </c>
      <c r="E56" s="15">
        <v>166</v>
      </c>
      <c r="F56" s="15">
        <v>12</v>
      </c>
      <c r="G56" s="15">
        <v>4</v>
      </c>
      <c r="H56" s="15">
        <v>6</v>
      </c>
      <c r="I56" s="15">
        <v>8</v>
      </c>
      <c r="J56" s="15">
        <v>6</v>
      </c>
      <c r="K56" s="15">
        <v>40</v>
      </c>
      <c r="L56" s="15">
        <v>60</v>
      </c>
      <c r="M56" s="15">
        <v>4</v>
      </c>
      <c r="N56" s="15">
        <v>18</v>
      </c>
      <c r="O56" s="21" t="s">
        <v>187</v>
      </c>
      <c r="P56" s="13"/>
      <c r="Q56" s="13"/>
      <c r="R56" s="13"/>
      <c r="S56" s="13"/>
    </row>
    <row r="57" spans="1:19" ht="12.75" customHeight="1" x14ac:dyDescent="0.15">
      <c r="A57" s="17" t="s">
        <v>240</v>
      </c>
      <c r="B57" s="18" t="s">
        <v>256</v>
      </c>
      <c r="C57" s="14">
        <f t="shared" si="1"/>
        <v>19.5</v>
      </c>
      <c r="D57" s="15">
        <f t="shared" si="2"/>
        <v>165</v>
      </c>
      <c r="E57" s="15">
        <v>166</v>
      </c>
      <c r="F57" s="15">
        <v>11</v>
      </c>
      <c r="G57" s="15">
        <v>8</v>
      </c>
      <c r="H57" s="15">
        <v>6</v>
      </c>
      <c r="I57" s="15">
        <v>12</v>
      </c>
      <c r="J57" s="15">
        <v>6</v>
      </c>
      <c r="K57" s="15">
        <v>40</v>
      </c>
      <c r="L57" s="15">
        <v>60</v>
      </c>
      <c r="M57" s="15">
        <v>4</v>
      </c>
      <c r="N57" s="15">
        <v>18</v>
      </c>
      <c r="O57" s="21" t="s">
        <v>256</v>
      </c>
      <c r="P57" s="13"/>
      <c r="Q57" s="13"/>
      <c r="R57" s="13"/>
      <c r="S57" s="13"/>
    </row>
    <row r="58" spans="1:19" ht="12.75" customHeight="1" x14ac:dyDescent="0.15">
      <c r="A58" s="17" t="s">
        <v>222</v>
      </c>
      <c r="B58" s="18" t="s">
        <v>200</v>
      </c>
      <c r="C58" s="14">
        <f t="shared" si="1"/>
        <v>19.5</v>
      </c>
      <c r="D58" s="15">
        <f t="shared" si="2"/>
        <v>162</v>
      </c>
      <c r="E58" s="15">
        <v>166</v>
      </c>
      <c r="F58" s="15">
        <v>12</v>
      </c>
      <c r="G58" s="15">
        <v>4</v>
      </c>
      <c r="H58" s="15">
        <v>6</v>
      </c>
      <c r="I58" s="15">
        <v>12</v>
      </c>
      <c r="J58" s="15">
        <v>6</v>
      </c>
      <c r="K58" s="15">
        <v>40</v>
      </c>
      <c r="L58" s="15">
        <v>60</v>
      </c>
      <c r="M58" s="15">
        <v>4</v>
      </c>
      <c r="N58" s="15">
        <v>18</v>
      </c>
      <c r="O58" s="21" t="s">
        <v>200</v>
      </c>
      <c r="P58" s="13"/>
      <c r="Q58" s="13"/>
      <c r="R58" s="13"/>
      <c r="S58" s="13"/>
    </row>
    <row r="59" spans="1:19" ht="12.75" customHeight="1" x14ac:dyDescent="0.15">
      <c r="A59" s="17" t="s">
        <v>199</v>
      </c>
      <c r="B59" s="18" t="s">
        <v>224</v>
      </c>
      <c r="C59" s="14">
        <f t="shared" si="1"/>
        <v>19.5</v>
      </c>
      <c r="D59" s="15">
        <f t="shared" si="2"/>
        <v>162</v>
      </c>
      <c r="E59" s="15">
        <v>166</v>
      </c>
      <c r="F59" s="15">
        <v>12</v>
      </c>
      <c r="G59" s="15">
        <v>8</v>
      </c>
      <c r="H59" s="15">
        <v>6</v>
      </c>
      <c r="I59" s="15">
        <v>8</v>
      </c>
      <c r="J59" s="15">
        <v>6</v>
      </c>
      <c r="K59" s="15">
        <v>40</v>
      </c>
      <c r="L59" s="15">
        <v>60</v>
      </c>
      <c r="M59" s="15">
        <v>4</v>
      </c>
      <c r="N59" s="15">
        <v>18</v>
      </c>
      <c r="O59" s="21" t="s">
        <v>224</v>
      </c>
      <c r="P59" s="13"/>
      <c r="Q59" s="13"/>
      <c r="R59" s="13"/>
      <c r="S59" s="13"/>
    </row>
    <row r="60" spans="1:19" ht="12.75" customHeight="1" x14ac:dyDescent="0.15">
      <c r="A60" s="17" t="s">
        <v>145</v>
      </c>
      <c r="B60" s="18" t="s">
        <v>258</v>
      </c>
      <c r="C60" s="14">
        <f t="shared" si="1"/>
        <v>19.5</v>
      </c>
      <c r="D60" s="15">
        <f t="shared" si="2"/>
        <v>162</v>
      </c>
      <c r="E60" s="15">
        <v>166</v>
      </c>
      <c r="F60" s="15">
        <v>12</v>
      </c>
      <c r="G60" s="15">
        <v>4</v>
      </c>
      <c r="H60" s="15">
        <v>6</v>
      </c>
      <c r="I60" s="15">
        <v>12</v>
      </c>
      <c r="J60" s="15">
        <v>6</v>
      </c>
      <c r="K60" s="15">
        <v>40</v>
      </c>
      <c r="L60" s="15">
        <v>60</v>
      </c>
      <c r="M60" s="15">
        <v>4</v>
      </c>
      <c r="N60" s="15">
        <v>18</v>
      </c>
      <c r="O60" s="21" t="s">
        <v>258</v>
      </c>
      <c r="P60" s="13"/>
      <c r="Q60" s="13"/>
      <c r="R60" s="13"/>
      <c r="S60" s="13"/>
    </row>
    <row r="61" spans="1:19" ht="12.75" customHeight="1" x14ac:dyDescent="0.15">
      <c r="A61" s="17" t="s">
        <v>164</v>
      </c>
      <c r="B61" s="18" t="s">
        <v>136</v>
      </c>
      <c r="C61" s="14">
        <f t="shared" si="1"/>
        <v>19.5</v>
      </c>
      <c r="D61" s="15">
        <f t="shared" si="2"/>
        <v>164</v>
      </c>
      <c r="E61" s="15">
        <v>166</v>
      </c>
      <c r="F61" s="15">
        <v>12</v>
      </c>
      <c r="G61" s="15">
        <v>8</v>
      </c>
      <c r="H61" s="15">
        <v>6</v>
      </c>
      <c r="I61" s="15">
        <v>12</v>
      </c>
      <c r="J61" s="15">
        <v>6</v>
      </c>
      <c r="K61" s="15">
        <v>40</v>
      </c>
      <c r="L61" s="15">
        <v>59</v>
      </c>
      <c r="M61" s="15">
        <v>3</v>
      </c>
      <c r="N61" s="15">
        <v>18</v>
      </c>
      <c r="O61" s="21" t="s">
        <v>136</v>
      </c>
      <c r="P61" s="13"/>
      <c r="Q61" s="13"/>
      <c r="R61" s="13"/>
      <c r="S61" s="13"/>
    </row>
    <row r="62" spans="1:19" ht="12.75" customHeight="1" x14ac:dyDescent="0.15">
      <c r="A62" s="17" t="s">
        <v>227</v>
      </c>
      <c r="B62" s="18" t="s">
        <v>259</v>
      </c>
      <c r="C62" s="14">
        <f t="shared" si="1"/>
        <v>19.5</v>
      </c>
      <c r="D62" s="15">
        <f t="shared" si="2"/>
        <v>162</v>
      </c>
      <c r="E62" s="15">
        <v>166</v>
      </c>
      <c r="F62" s="15">
        <v>12</v>
      </c>
      <c r="G62" s="15">
        <v>4</v>
      </c>
      <c r="H62" s="15">
        <v>6</v>
      </c>
      <c r="I62" s="15">
        <v>12</v>
      </c>
      <c r="J62" s="15">
        <v>6</v>
      </c>
      <c r="K62" s="15">
        <v>40</v>
      </c>
      <c r="L62" s="15">
        <v>60</v>
      </c>
      <c r="M62" s="15">
        <v>4</v>
      </c>
      <c r="N62" s="15">
        <v>18</v>
      </c>
      <c r="O62" s="21" t="s">
        <v>259</v>
      </c>
      <c r="P62" s="13"/>
      <c r="Q62" s="13"/>
      <c r="R62" s="13"/>
      <c r="S62" s="13"/>
    </row>
    <row r="63" spans="1:19" ht="12.75" customHeight="1" x14ac:dyDescent="0.15">
      <c r="A63" s="17" t="s">
        <v>195</v>
      </c>
      <c r="B63" s="18" t="s">
        <v>206</v>
      </c>
      <c r="C63" s="14">
        <f t="shared" si="1"/>
        <v>19.5</v>
      </c>
      <c r="D63" s="15">
        <f t="shared" si="2"/>
        <v>162</v>
      </c>
      <c r="E63" s="15">
        <v>166</v>
      </c>
      <c r="F63" s="15">
        <v>12</v>
      </c>
      <c r="G63" s="15">
        <v>8</v>
      </c>
      <c r="H63" s="15">
        <v>6</v>
      </c>
      <c r="I63" s="15">
        <v>12</v>
      </c>
      <c r="J63" s="15">
        <v>6</v>
      </c>
      <c r="K63" s="15">
        <v>40</v>
      </c>
      <c r="L63" s="15">
        <v>56</v>
      </c>
      <c r="M63" s="15">
        <v>4</v>
      </c>
      <c r="N63" s="15">
        <v>18</v>
      </c>
      <c r="O63" s="21" t="s">
        <v>207</v>
      </c>
      <c r="P63" s="13"/>
      <c r="Q63" s="13"/>
      <c r="R63" s="13"/>
      <c r="S63" s="13"/>
    </row>
    <row r="64" spans="1:19" ht="12.75" customHeight="1" x14ac:dyDescent="0.15">
      <c r="A64" s="17" t="s">
        <v>232</v>
      </c>
      <c r="B64" s="18" t="s">
        <v>260</v>
      </c>
      <c r="C64" s="14">
        <f t="shared" si="1"/>
        <v>19.5</v>
      </c>
      <c r="D64" s="15">
        <f t="shared" si="2"/>
        <v>162</v>
      </c>
      <c r="E64" s="15">
        <v>166</v>
      </c>
      <c r="F64" s="15">
        <v>12</v>
      </c>
      <c r="G64" s="15">
        <v>8</v>
      </c>
      <c r="H64" s="15">
        <v>6</v>
      </c>
      <c r="I64" s="15">
        <v>12</v>
      </c>
      <c r="J64" s="15">
        <v>6</v>
      </c>
      <c r="K64" s="15">
        <v>40</v>
      </c>
      <c r="L64" s="15">
        <v>60</v>
      </c>
      <c r="M64" s="15">
        <v>0</v>
      </c>
      <c r="N64" s="15">
        <v>18</v>
      </c>
      <c r="O64" s="21" t="s">
        <v>260</v>
      </c>
      <c r="P64" s="13"/>
      <c r="Q64" s="13"/>
      <c r="R64" s="13"/>
      <c r="S64" s="13"/>
    </row>
    <row r="65" spans="1:19" ht="12.75" customHeight="1" x14ac:dyDescent="0.15">
      <c r="A65" s="17" t="s">
        <v>177</v>
      </c>
      <c r="B65" s="18" t="s">
        <v>180</v>
      </c>
      <c r="C65" s="14">
        <f t="shared" si="1"/>
        <v>19.5</v>
      </c>
      <c r="D65" s="15">
        <f t="shared" si="2"/>
        <v>162</v>
      </c>
      <c r="E65" s="15">
        <v>166</v>
      </c>
      <c r="F65" s="15">
        <v>12</v>
      </c>
      <c r="G65" s="15">
        <v>4</v>
      </c>
      <c r="H65" s="15">
        <v>6</v>
      </c>
      <c r="I65" s="15">
        <v>12</v>
      </c>
      <c r="J65" s="15">
        <v>6</v>
      </c>
      <c r="K65" s="15">
        <v>40</v>
      </c>
      <c r="L65" s="15">
        <v>60</v>
      </c>
      <c r="M65" s="15">
        <v>4</v>
      </c>
      <c r="N65" s="15">
        <v>18</v>
      </c>
      <c r="O65" s="21" t="s">
        <v>180</v>
      </c>
      <c r="P65" s="13"/>
      <c r="Q65" s="13"/>
      <c r="R65" s="13"/>
      <c r="S65" s="13"/>
    </row>
    <row r="66" spans="1:19" ht="12.75" customHeight="1" x14ac:dyDescent="0.15">
      <c r="A66" s="17" t="s">
        <v>205</v>
      </c>
      <c r="B66" s="18" t="s">
        <v>208</v>
      </c>
      <c r="C66" s="14">
        <f t="shared" si="1"/>
        <v>19.5</v>
      </c>
      <c r="D66" s="15">
        <f t="shared" si="2"/>
        <v>162</v>
      </c>
      <c r="E66" s="15">
        <v>166</v>
      </c>
      <c r="F66" s="15">
        <v>12</v>
      </c>
      <c r="G66" s="15">
        <v>4</v>
      </c>
      <c r="H66" s="15">
        <v>6</v>
      </c>
      <c r="I66" s="15">
        <v>12</v>
      </c>
      <c r="J66" s="15">
        <v>6</v>
      </c>
      <c r="K66" s="15">
        <v>40</v>
      </c>
      <c r="L66" s="15">
        <v>60</v>
      </c>
      <c r="M66" s="15">
        <v>4</v>
      </c>
      <c r="N66" s="15">
        <v>18</v>
      </c>
      <c r="O66" s="21" t="s">
        <v>208</v>
      </c>
      <c r="P66" s="13"/>
      <c r="Q66" s="13"/>
      <c r="R66" s="13"/>
      <c r="S66" s="13"/>
    </row>
    <row r="67" spans="1:19" ht="12.75" customHeight="1" x14ac:dyDescent="0.15">
      <c r="A67" s="17" t="s">
        <v>223</v>
      </c>
      <c r="B67" s="18" t="s">
        <v>176</v>
      </c>
      <c r="C67" s="14">
        <f t="shared" si="1"/>
        <v>20</v>
      </c>
      <c r="D67" s="15">
        <f t="shared" si="2"/>
        <v>166</v>
      </c>
      <c r="E67" s="15">
        <v>166</v>
      </c>
      <c r="F67" s="15">
        <v>12</v>
      </c>
      <c r="G67" s="15">
        <v>8</v>
      </c>
      <c r="H67" s="15">
        <v>6</v>
      </c>
      <c r="I67" s="15">
        <v>12</v>
      </c>
      <c r="J67" s="15">
        <v>6</v>
      </c>
      <c r="K67" s="15">
        <v>40</v>
      </c>
      <c r="L67" s="15">
        <v>60</v>
      </c>
      <c r="M67" s="15">
        <v>4</v>
      </c>
      <c r="N67" s="15">
        <v>18</v>
      </c>
      <c r="O67" s="21" t="s">
        <v>176</v>
      </c>
      <c r="P67" s="13"/>
      <c r="Q67" s="13"/>
      <c r="R67" s="13"/>
      <c r="S67" s="13"/>
    </row>
    <row r="68" spans="1:19" ht="12.75" customHeight="1" x14ac:dyDescent="0.15">
      <c r="A68" s="17" t="s">
        <v>194</v>
      </c>
      <c r="B68" s="18" t="s">
        <v>247</v>
      </c>
      <c r="C68" s="14">
        <f t="shared" si="1"/>
        <v>20</v>
      </c>
      <c r="D68" s="15">
        <f t="shared" si="2"/>
        <v>166</v>
      </c>
      <c r="E68" s="15">
        <v>166</v>
      </c>
      <c r="F68" s="15">
        <v>12</v>
      </c>
      <c r="G68" s="15">
        <v>8</v>
      </c>
      <c r="H68" s="15">
        <v>6</v>
      </c>
      <c r="I68" s="15">
        <v>12</v>
      </c>
      <c r="J68" s="15">
        <v>6</v>
      </c>
      <c r="K68" s="15">
        <v>40</v>
      </c>
      <c r="L68" s="15">
        <v>60</v>
      </c>
      <c r="M68" s="15">
        <v>4</v>
      </c>
      <c r="N68" s="15">
        <v>18</v>
      </c>
      <c r="O68" s="21" t="s">
        <v>247</v>
      </c>
      <c r="P68" s="13"/>
      <c r="Q68" s="13"/>
      <c r="R68" s="13"/>
      <c r="S68" s="13"/>
    </row>
    <row r="69" spans="1:19" ht="12.75" customHeight="1" x14ac:dyDescent="0.15">
      <c r="A69" s="17" t="s">
        <v>118</v>
      </c>
      <c r="B69" s="18" t="s">
        <v>153</v>
      </c>
      <c r="C69" s="14">
        <f t="shared" si="1"/>
        <v>20</v>
      </c>
      <c r="D69" s="15">
        <f t="shared" si="2"/>
        <v>166</v>
      </c>
      <c r="E69" s="15">
        <v>166</v>
      </c>
      <c r="F69" s="15">
        <v>12</v>
      </c>
      <c r="G69" s="15">
        <v>8</v>
      </c>
      <c r="H69" s="15">
        <v>6</v>
      </c>
      <c r="I69" s="15">
        <v>12</v>
      </c>
      <c r="J69" s="15">
        <v>6</v>
      </c>
      <c r="K69" s="15">
        <v>40</v>
      </c>
      <c r="L69" s="15">
        <v>60</v>
      </c>
      <c r="M69" s="15">
        <v>4</v>
      </c>
      <c r="N69" s="15">
        <v>18</v>
      </c>
      <c r="O69" s="21" t="s">
        <v>261</v>
      </c>
      <c r="P69" s="13"/>
      <c r="Q69" s="13"/>
      <c r="R69" s="13"/>
      <c r="S69" s="13"/>
    </row>
    <row r="70" spans="1:19" ht="12.75" customHeight="1" x14ac:dyDescent="0.1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</row>
    <row r="71" spans="1:19" ht="12.75" customHeight="1" x14ac:dyDescent="0.1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</row>
    <row r="72" spans="1:19" ht="12.75" customHeight="1" x14ac:dyDescent="0.1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</row>
    <row r="73" spans="1:19" ht="12.75" customHeight="1" x14ac:dyDescent="0.1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</row>
    <row r="74" spans="1:19" ht="12.75" customHeight="1" x14ac:dyDescent="0.1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</row>
    <row r="75" spans="1:19" ht="12.75" customHeight="1" x14ac:dyDescent="0.1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</row>
    <row r="76" spans="1:19" ht="12.75" customHeight="1" x14ac:dyDescent="0.1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</row>
    <row r="77" spans="1:19" ht="12.75" customHeight="1" x14ac:dyDescent="0.1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</row>
    <row r="78" spans="1:19" ht="12.75" customHeight="1" x14ac:dyDescent="0.1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</row>
    <row r="79" spans="1:19" ht="12.75" customHeight="1" x14ac:dyDescent="0.1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</row>
    <row r="80" spans="1:19" ht="12.75" customHeight="1" x14ac:dyDescent="0.1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</row>
    <row r="81" spans="1:19" ht="12.75" customHeight="1" x14ac:dyDescent="0.1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</row>
    <row r="82" spans="1:19" ht="12.75" customHeight="1" x14ac:dyDescent="0.1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</row>
    <row r="83" spans="1:19" ht="12.75" customHeight="1" x14ac:dyDescent="0.1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</row>
    <row r="84" spans="1:19" ht="12.75" customHeight="1" x14ac:dyDescent="0.1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</row>
    <row r="85" spans="1:19" ht="12.75" customHeight="1" x14ac:dyDescent="0.1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</row>
    <row r="86" spans="1:19" ht="12.75" customHeight="1" x14ac:dyDescent="0.1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</row>
    <row r="87" spans="1:19" ht="12.75" customHeight="1" x14ac:dyDescent="0.1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</row>
    <row r="88" spans="1:19" ht="12.75" customHeight="1" x14ac:dyDescent="0.1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</row>
    <row r="89" spans="1:19" ht="12.75" customHeight="1" x14ac:dyDescent="0.1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</row>
    <row r="90" spans="1:19" ht="12.75" customHeight="1" x14ac:dyDescent="0.1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</row>
    <row r="91" spans="1:19" ht="12.75" customHeight="1" x14ac:dyDescent="0.1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</row>
    <row r="92" spans="1:19" ht="12.75" customHeight="1" x14ac:dyDescent="0.1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</row>
    <row r="93" spans="1:19" ht="12.75" customHeight="1" x14ac:dyDescent="0.1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</row>
    <row r="94" spans="1:19" ht="12.75" customHeight="1" x14ac:dyDescent="0.1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</row>
    <row r="95" spans="1:19" ht="12.75" customHeight="1" x14ac:dyDescent="0.1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</row>
    <row r="96" spans="1:19" ht="12.75" customHeight="1" x14ac:dyDescent="0.1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</row>
    <row r="97" spans="1:19" ht="12.75" customHeight="1" x14ac:dyDescent="0.1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</row>
    <row r="98" spans="1:19" ht="12.75" customHeight="1" x14ac:dyDescent="0.1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</row>
    <row r="99" spans="1:19" ht="12.75" customHeight="1" x14ac:dyDescent="0.1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</row>
    <row r="100" spans="1:19" ht="12.75" customHeight="1" x14ac:dyDescent="0.1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</row>
    <row r="101" spans="1:19" ht="12.75" customHeight="1" x14ac:dyDescent="0.1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</row>
    <row r="102" spans="1:19" ht="12.75" customHeight="1" x14ac:dyDescent="0.1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</row>
    <row r="103" spans="1:19" ht="12.75" customHeight="1" x14ac:dyDescent="0.1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</row>
    <row r="104" spans="1:19" ht="12.75" customHeight="1" x14ac:dyDescent="0.1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</row>
    <row r="105" spans="1:19" ht="12.75" customHeight="1" x14ac:dyDescent="0.1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</row>
    <row r="106" spans="1:19" ht="12.75" customHeight="1" x14ac:dyDescent="0.1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</row>
    <row r="107" spans="1:19" ht="12.75" customHeight="1" x14ac:dyDescent="0.1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</row>
    <row r="108" spans="1:19" ht="12.75" customHeight="1" x14ac:dyDescent="0.1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</row>
    <row r="109" spans="1:19" ht="12.75" customHeight="1" x14ac:dyDescent="0.1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</row>
    <row r="110" spans="1:19" ht="12.75" customHeight="1" x14ac:dyDescent="0.1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</row>
    <row r="111" spans="1:19" ht="12.75" customHeight="1" x14ac:dyDescent="0.1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</row>
    <row r="112" spans="1:19" ht="12.75" customHeight="1" x14ac:dyDescent="0.1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</row>
    <row r="113" spans="1:19" ht="12.75" customHeight="1" x14ac:dyDescent="0.1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</row>
    <row r="114" spans="1:19" ht="12.75" customHeight="1" x14ac:dyDescent="0.1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</row>
    <row r="115" spans="1:19" ht="12.75" customHeight="1" x14ac:dyDescent="0.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</row>
    <row r="116" spans="1:19" ht="12.75" customHeight="1" x14ac:dyDescent="0.1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</row>
    <row r="117" spans="1:19" ht="12.75" customHeight="1" x14ac:dyDescent="0.1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</row>
    <row r="118" spans="1:19" ht="12.75" customHeight="1" x14ac:dyDescent="0.1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</row>
    <row r="119" spans="1:19" ht="12.75" customHeight="1" x14ac:dyDescent="0.1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</row>
    <row r="120" spans="1:19" ht="12.75" customHeight="1" x14ac:dyDescent="0.1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</row>
    <row r="121" spans="1:19" ht="12.75" customHeight="1" x14ac:dyDescent="0.1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</row>
    <row r="122" spans="1:19" ht="12.75" customHeight="1" x14ac:dyDescent="0.1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</row>
    <row r="123" spans="1:19" ht="12.75" customHeight="1" x14ac:dyDescent="0.1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</row>
    <row r="124" spans="1:19" ht="12.75" customHeight="1" x14ac:dyDescent="0.1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</row>
    <row r="125" spans="1:19" ht="12.75" customHeight="1" x14ac:dyDescent="0.1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</row>
    <row r="126" spans="1:19" ht="12.75" customHeight="1" x14ac:dyDescent="0.1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</row>
    <row r="127" spans="1:19" ht="12.75" customHeight="1" x14ac:dyDescent="0.1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</row>
    <row r="128" spans="1:19" ht="12.75" customHeight="1" x14ac:dyDescent="0.1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</row>
    <row r="129" spans="1:19" ht="12.75" customHeight="1" x14ac:dyDescent="0.1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</row>
    <row r="130" spans="1:19" ht="12.75" customHeight="1" x14ac:dyDescent="0.1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</row>
    <row r="131" spans="1:19" ht="12.75" customHeight="1" x14ac:dyDescent="0.1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</row>
    <row r="132" spans="1:19" ht="12.75" customHeight="1" x14ac:dyDescent="0.1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</row>
    <row r="133" spans="1:19" ht="12.75" customHeight="1" x14ac:dyDescent="0.1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</row>
    <row r="134" spans="1:19" ht="12.75" customHeight="1" x14ac:dyDescent="0.1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</row>
    <row r="135" spans="1:19" ht="12.75" customHeight="1" x14ac:dyDescent="0.1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</row>
    <row r="136" spans="1:19" ht="12.75" customHeight="1" x14ac:dyDescent="0.1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</row>
    <row r="137" spans="1:19" ht="12.75" customHeight="1" x14ac:dyDescent="0.1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</row>
    <row r="138" spans="1:19" ht="12.75" customHeight="1" x14ac:dyDescent="0.1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</row>
    <row r="139" spans="1:19" ht="12.75" customHeight="1" x14ac:dyDescent="0.1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</row>
    <row r="140" spans="1:19" ht="12.75" customHeight="1" x14ac:dyDescent="0.1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</row>
    <row r="141" spans="1:19" ht="12.75" customHeight="1" x14ac:dyDescent="0.1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</row>
    <row r="142" spans="1:19" ht="12.75" customHeight="1" x14ac:dyDescent="0.1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</row>
    <row r="143" spans="1:19" ht="12.75" customHeight="1" x14ac:dyDescent="0.1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</row>
    <row r="144" spans="1:19" ht="12.75" customHeight="1" x14ac:dyDescent="0.1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</row>
    <row r="145" spans="1:19" ht="12.75" customHeight="1" x14ac:dyDescent="0.1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</row>
    <row r="146" spans="1:19" ht="12.75" customHeight="1" x14ac:dyDescent="0.1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</row>
    <row r="147" spans="1:19" ht="12.75" customHeight="1" x14ac:dyDescent="0.1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</row>
    <row r="148" spans="1:19" ht="12.75" customHeight="1" x14ac:dyDescent="0.1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</row>
    <row r="149" spans="1:19" ht="12.75" customHeight="1" x14ac:dyDescent="0.1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</row>
    <row r="150" spans="1:19" ht="12.75" customHeight="1" x14ac:dyDescent="0.1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</row>
    <row r="151" spans="1:19" ht="12.75" customHeight="1" x14ac:dyDescent="0.1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</row>
    <row r="152" spans="1:19" ht="12.75" customHeight="1" x14ac:dyDescent="0.1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</row>
    <row r="153" spans="1:19" ht="12.75" customHeight="1" x14ac:dyDescent="0.1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</row>
    <row r="154" spans="1:19" ht="12.75" customHeight="1" x14ac:dyDescent="0.1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</row>
    <row r="155" spans="1:19" ht="12.75" customHeight="1" x14ac:dyDescent="0.1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</row>
    <row r="156" spans="1:19" ht="12.75" customHeight="1" x14ac:dyDescent="0.1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</row>
    <row r="157" spans="1:19" ht="12.75" customHeight="1" x14ac:dyDescent="0.1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</row>
    <row r="158" spans="1:19" ht="12.75" customHeight="1" x14ac:dyDescent="0.1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</row>
    <row r="159" spans="1:19" ht="12.75" customHeight="1" x14ac:dyDescent="0.1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</row>
    <row r="160" spans="1:19" ht="12.75" customHeight="1" x14ac:dyDescent="0.1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</row>
    <row r="161" spans="1:19" ht="12.75" customHeight="1" x14ac:dyDescent="0.1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</row>
    <row r="162" spans="1:19" ht="12.75" customHeight="1" x14ac:dyDescent="0.1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</row>
    <row r="163" spans="1:19" ht="12.75" customHeight="1" x14ac:dyDescent="0.1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</row>
    <row r="164" spans="1:19" ht="12.75" customHeight="1" x14ac:dyDescent="0.1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</row>
    <row r="165" spans="1:19" ht="12.75" customHeight="1" x14ac:dyDescent="0.1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</row>
    <row r="166" spans="1:19" ht="12.75" customHeight="1" x14ac:dyDescent="0.1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</row>
    <row r="167" spans="1:19" ht="12.75" customHeight="1" x14ac:dyDescent="0.1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</row>
    <row r="168" spans="1:19" ht="12.75" customHeight="1" x14ac:dyDescent="0.1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</row>
    <row r="169" spans="1:19" ht="12.75" customHeight="1" x14ac:dyDescent="0.1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</row>
    <row r="170" spans="1:19" ht="12.75" customHeight="1" x14ac:dyDescent="0.1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</row>
    <row r="171" spans="1:19" ht="12.75" customHeight="1" x14ac:dyDescent="0.1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</row>
    <row r="172" spans="1:19" ht="12.75" customHeight="1" x14ac:dyDescent="0.1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</row>
    <row r="173" spans="1:19" ht="12.75" customHeight="1" x14ac:dyDescent="0.1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</row>
    <row r="174" spans="1:19" ht="12.75" customHeight="1" x14ac:dyDescent="0.1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</row>
    <row r="175" spans="1:19" ht="12.75" customHeight="1" x14ac:dyDescent="0.1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</row>
    <row r="176" spans="1:19" ht="12.75" customHeight="1" x14ac:dyDescent="0.1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</row>
    <row r="177" spans="1:19" ht="12.75" customHeight="1" x14ac:dyDescent="0.1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</row>
    <row r="178" spans="1:19" ht="12.75" customHeight="1" x14ac:dyDescent="0.1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</row>
    <row r="179" spans="1:19" ht="12.75" customHeight="1" x14ac:dyDescent="0.1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</row>
    <row r="180" spans="1:19" ht="12.75" customHeight="1" x14ac:dyDescent="0.1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</row>
    <row r="181" spans="1:19" ht="12.75" customHeight="1" x14ac:dyDescent="0.1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</row>
    <row r="182" spans="1:19" ht="12.75" customHeight="1" x14ac:dyDescent="0.1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</row>
    <row r="183" spans="1:19" ht="12.75" customHeight="1" x14ac:dyDescent="0.1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</row>
    <row r="184" spans="1:19" ht="12.75" customHeight="1" x14ac:dyDescent="0.1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</row>
    <row r="185" spans="1:19" ht="12.75" customHeight="1" x14ac:dyDescent="0.1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</row>
    <row r="186" spans="1:19" ht="12.75" customHeight="1" x14ac:dyDescent="0.1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</row>
    <row r="187" spans="1:19" ht="12.75" customHeight="1" x14ac:dyDescent="0.1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</row>
    <row r="188" spans="1:19" ht="12.75" customHeight="1" x14ac:dyDescent="0.1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</row>
    <row r="189" spans="1:19" ht="12.75" customHeight="1" x14ac:dyDescent="0.1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</row>
    <row r="190" spans="1:19" ht="12.75" customHeight="1" x14ac:dyDescent="0.1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</row>
    <row r="191" spans="1:19" ht="12.75" customHeight="1" x14ac:dyDescent="0.1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</row>
    <row r="192" spans="1:19" ht="12.75" customHeight="1" x14ac:dyDescent="0.1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</row>
    <row r="193" spans="1:19" ht="12.75" customHeight="1" x14ac:dyDescent="0.1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</row>
    <row r="194" spans="1:19" ht="12.75" customHeight="1" x14ac:dyDescent="0.1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</row>
    <row r="195" spans="1:19" ht="12.75" customHeight="1" x14ac:dyDescent="0.1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</row>
    <row r="196" spans="1:19" ht="12.75" customHeight="1" x14ac:dyDescent="0.1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</row>
    <row r="197" spans="1:19" ht="12.75" customHeight="1" x14ac:dyDescent="0.1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</row>
    <row r="198" spans="1:19" ht="12.75" customHeight="1" x14ac:dyDescent="0.1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</row>
    <row r="199" spans="1:19" ht="12.75" customHeight="1" x14ac:dyDescent="0.1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</row>
    <row r="200" spans="1:19" ht="12.75" customHeight="1" x14ac:dyDescent="0.1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</row>
    <row r="201" spans="1:19" ht="12.75" customHeight="1" x14ac:dyDescent="0.1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</row>
    <row r="202" spans="1:19" ht="12.75" customHeight="1" x14ac:dyDescent="0.1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</row>
    <row r="203" spans="1:19" ht="12.75" customHeight="1" x14ac:dyDescent="0.1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</row>
    <row r="204" spans="1:19" ht="12.75" customHeight="1" x14ac:dyDescent="0.1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</row>
    <row r="205" spans="1:19" ht="12.75" customHeight="1" x14ac:dyDescent="0.1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</row>
    <row r="206" spans="1:19" ht="12.75" customHeight="1" x14ac:dyDescent="0.1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</row>
    <row r="207" spans="1:19" ht="12.75" customHeight="1" x14ac:dyDescent="0.1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</row>
    <row r="208" spans="1:19" ht="12.75" customHeight="1" x14ac:dyDescent="0.1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</row>
    <row r="209" spans="1:19" ht="12.75" customHeight="1" x14ac:dyDescent="0.1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</row>
    <row r="210" spans="1:19" ht="12.75" customHeight="1" x14ac:dyDescent="0.1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</row>
    <row r="211" spans="1:19" ht="12.75" customHeight="1" x14ac:dyDescent="0.1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</row>
    <row r="212" spans="1:19" ht="12.75" customHeight="1" x14ac:dyDescent="0.1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</row>
    <row r="213" spans="1:19" ht="12.75" customHeight="1" x14ac:dyDescent="0.1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</row>
    <row r="214" spans="1:19" ht="12.75" customHeight="1" x14ac:dyDescent="0.1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</row>
    <row r="215" spans="1:19" ht="12.75" customHeight="1" x14ac:dyDescent="0.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</row>
    <row r="216" spans="1:19" ht="12.75" customHeight="1" x14ac:dyDescent="0.1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</row>
    <row r="217" spans="1:19" ht="12.75" customHeight="1" x14ac:dyDescent="0.1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</row>
    <row r="218" spans="1:19" ht="12.75" customHeight="1" x14ac:dyDescent="0.1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</row>
    <row r="219" spans="1:19" ht="12.75" customHeight="1" x14ac:dyDescent="0.1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</row>
    <row r="220" spans="1:19" ht="12.75" customHeight="1" x14ac:dyDescent="0.1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</row>
    <row r="221" spans="1:19" ht="12.75" customHeight="1" x14ac:dyDescent="0.1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</row>
    <row r="222" spans="1:19" ht="12.75" customHeight="1" x14ac:dyDescent="0.1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</row>
    <row r="223" spans="1:19" ht="12.75" customHeight="1" x14ac:dyDescent="0.1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</row>
    <row r="224" spans="1:19" ht="12.75" customHeight="1" x14ac:dyDescent="0.1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</row>
    <row r="225" spans="1:19" ht="12.75" customHeight="1" x14ac:dyDescent="0.1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</row>
    <row r="226" spans="1:19" ht="12.75" customHeight="1" x14ac:dyDescent="0.1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</row>
    <row r="227" spans="1:19" ht="12.75" customHeight="1" x14ac:dyDescent="0.1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</row>
    <row r="228" spans="1:19" ht="12.75" customHeight="1" x14ac:dyDescent="0.1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</row>
    <row r="229" spans="1:19" ht="12.75" customHeight="1" x14ac:dyDescent="0.1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</row>
    <row r="230" spans="1:19" ht="12.75" customHeight="1" x14ac:dyDescent="0.1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</row>
    <row r="231" spans="1:19" ht="12.75" customHeight="1" x14ac:dyDescent="0.1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</row>
    <row r="232" spans="1:19" ht="12.75" customHeight="1" x14ac:dyDescent="0.1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</row>
    <row r="233" spans="1:19" ht="12.75" customHeight="1" x14ac:dyDescent="0.1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</row>
    <row r="234" spans="1:19" ht="12.75" customHeight="1" x14ac:dyDescent="0.1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</row>
    <row r="235" spans="1:19" ht="12.75" customHeight="1" x14ac:dyDescent="0.1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</row>
    <row r="236" spans="1:19" ht="12.75" customHeight="1" x14ac:dyDescent="0.1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</row>
    <row r="237" spans="1:19" ht="12.75" customHeight="1" x14ac:dyDescent="0.1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</row>
    <row r="238" spans="1:19" ht="12.75" customHeight="1" x14ac:dyDescent="0.1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</row>
    <row r="239" spans="1:19" ht="12.75" customHeight="1" x14ac:dyDescent="0.1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</row>
    <row r="240" spans="1:19" ht="12.75" customHeight="1" x14ac:dyDescent="0.1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</row>
    <row r="241" spans="1:19" ht="12.75" customHeight="1" x14ac:dyDescent="0.1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</row>
    <row r="242" spans="1:19" ht="12.75" customHeight="1" x14ac:dyDescent="0.1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</row>
    <row r="243" spans="1:19" ht="12.75" customHeight="1" x14ac:dyDescent="0.1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</row>
    <row r="244" spans="1:19" ht="12.75" customHeight="1" x14ac:dyDescent="0.1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</row>
    <row r="245" spans="1:19" ht="12.75" customHeight="1" x14ac:dyDescent="0.1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</row>
    <row r="246" spans="1:19" ht="12.75" customHeight="1" x14ac:dyDescent="0.1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</row>
    <row r="247" spans="1:19" ht="12.75" customHeight="1" x14ac:dyDescent="0.1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</row>
    <row r="248" spans="1:19" ht="12.75" customHeight="1" x14ac:dyDescent="0.1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</row>
    <row r="249" spans="1:19" ht="12.75" customHeight="1" x14ac:dyDescent="0.1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</row>
    <row r="250" spans="1:19" ht="12.75" customHeight="1" x14ac:dyDescent="0.1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</row>
    <row r="251" spans="1:19" ht="12.75" customHeight="1" x14ac:dyDescent="0.1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</row>
    <row r="252" spans="1:19" ht="12.75" customHeight="1" x14ac:dyDescent="0.1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</row>
    <row r="253" spans="1:19" ht="12.75" customHeight="1" x14ac:dyDescent="0.1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</row>
    <row r="254" spans="1:19" ht="12.75" customHeight="1" x14ac:dyDescent="0.1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</row>
    <row r="255" spans="1:19" ht="12.75" customHeight="1" x14ac:dyDescent="0.1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</row>
    <row r="256" spans="1:19" ht="12.75" customHeight="1" x14ac:dyDescent="0.1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</row>
    <row r="257" spans="1:19" ht="12.75" customHeight="1" x14ac:dyDescent="0.1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</row>
    <row r="258" spans="1:19" ht="12.75" customHeight="1" x14ac:dyDescent="0.1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</row>
    <row r="259" spans="1:19" ht="12.75" customHeight="1" x14ac:dyDescent="0.1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</row>
    <row r="260" spans="1:19" ht="12.75" customHeight="1" x14ac:dyDescent="0.1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</row>
    <row r="261" spans="1:19" ht="12.75" customHeight="1" x14ac:dyDescent="0.1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</row>
    <row r="262" spans="1:19" ht="12.75" customHeight="1" x14ac:dyDescent="0.1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</row>
    <row r="263" spans="1:19" ht="12.75" customHeight="1" x14ac:dyDescent="0.1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</row>
    <row r="264" spans="1:19" ht="12.75" customHeight="1" x14ac:dyDescent="0.1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</row>
    <row r="265" spans="1:19" ht="12.75" customHeight="1" x14ac:dyDescent="0.1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</row>
    <row r="266" spans="1:19" ht="12.75" customHeight="1" x14ac:dyDescent="0.1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</row>
    <row r="267" spans="1:19" ht="12.75" customHeight="1" x14ac:dyDescent="0.1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</row>
    <row r="268" spans="1:19" ht="12.75" customHeight="1" x14ac:dyDescent="0.1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</row>
    <row r="269" spans="1:19" ht="12.75" customHeight="1" x14ac:dyDescent="0.1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</row>
    <row r="270" spans="1:19" ht="12.75" customHeight="1" x14ac:dyDescent="0.1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</row>
    <row r="271" spans="1:19" ht="12.75" customHeight="1" x14ac:dyDescent="0.1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</row>
    <row r="272" spans="1:19" ht="12.75" customHeight="1" x14ac:dyDescent="0.1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</row>
    <row r="273" spans="1:19" ht="12.75" customHeight="1" x14ac:dyDescent="0.1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</row>
    <row r="274" spans="1:19" ht="12.75" customHeight="1" x14ac:dyDescent="0.1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</row>
    <row r="275" spans="1:19" ht="12.75" customHeight="1" x14ac:dyDescent="0.1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</row>
    <row r="276" spans="1:19" ht="12.75" customHeight="1" x14ac:dyDescent="0.1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</row>
    <row r="277" spans="1:19" ht="12.75" customHeight="1" x14ac:dyDescent="0.1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</row>
    <row r="278" spans="1:19" ht="12.75" customHeight="1" x14ac:dyDescent="0.1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</row>
    <row r="279" spans="1:19" ht="12.75" customHeight="1" x14ac:dyDescent="0.1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</row>
    <row r="280" spans="1:19" ht="12.75" customHeight="1" x14ac:dyDescent="0.1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</row>
    <row r="281" spans="1:19" ht="12.75" customHeight="1" x14ac:dyDescent="0.1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</row>
    <row r="282" spans="1:19" ht="12.75" customHeight="1" x14ac:dyDescent="0.1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</row>
    <row r="283" spans="1:19" ht="12.75" customHeight="1" x14ac:dyDescent="0.1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</row>
    <row r="284" spans="1:19" ht="12.75" customHeight="1" x14ac:dyDescent="0.1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</row>
    <row r="285" spans="1:19" ht="12.75" customHeight="1" x14ac:dyDescent="0.1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</row>
    <row r="286" spans="1:19" ht="12.75" customHeight="1" x14ac:dyDescent="0.1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</row>
    <row r="287" spans="1:19" ht="12.75" customHeight="1" x14ac:dyDescent="0.1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</row>
    <row r="288" spans="1:19" ht="12.75" customHeight="1" x14ac:dyDescent="0.1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</row>
    <row r="289" spans="1:19" ht="12.75" customHeight="1" x14ac:dyDescent="0.1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</row>
    <row r="290" spans="1:19" ht="12.75" customHeight="1" x14ac:dyDescent="0.1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</row>
    <row r="291" spans="1:19" ht="12.75" customHeight="1" x14ac:dyDescent="0.1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</row>
    <row r="292" spans="1:19" ht="12.75" customHeight="1" x14ac:dyDescent="0.1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</row>
    <row r="293" spans="1:19" ht="12.75" customHeight="1" x14ac:dyDescent="0.1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</row>
    <row r="294" spans="1:19" ht="12.75" customHeight="1" x14ac:dyDescent="0.1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</row>
    <row r="295" spans="1:19" ht="12.75" customHeight="1" x14ac:dyDescent="0.1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</row>
    <row r="296" spans="1:19" ht="12.75" customHeight="1" x14ac:dyDescent="0.1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</row>
    <row r="297" spans="1:19" ht="12.75" customHeight="1" x14ac:dyDescent="0.1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</row>
    <row r="298" spans="1:19" ht="12.75" customHeight="1" x14ac:dyDescent="0.1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</row>
    <row r="299" spans="1:19" ht="12.75" customHeight="1" x14ac:dyDescent="0.1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</row>
    <row r="300" spans="1:19" ht="12.75" customHeight="1" x14ac:dyDescent="0.1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</row>
    <row r="301" spans="1:19" ht="12.75" customHeight="1" x14ac:dyDescent="0.1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</row>
    <row r="302" spans="1:19" ht="12.75" customHeight="1" x14ac:dyDescent="0.1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</row>
    <row r="303" spans="1:19" ht="12.75" customHeight="1" x14ac:dyDescent="0.1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</row>
    <row r="304" spans="1:19" ht="12.75" customHeight="1" x14ac:dyDescent="0.1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</row>
    <row r="305" spans="1:19" ht="12.75" customHeight="1" x14ac:dyDescent="0.1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</row>
    <row r="306" spans="1:19" ht="12.75" customHeight="1" x14ac:dyDescent="0.1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</row>
    <row r="307" spans="1:19" ht="12.75" customHeight="1" x14ac:dyDescent="0.1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</row>
    <row r="308" spans="1:19" ht="12.75" customHeight="1" x14ac:dyDescent="0.1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</row>
    <row r="309" spans="1:19" ht="12.75" customHeight="1" x14ac:dyDescent="0.1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</row>
    <row r="310" spans="1:19" ht="12.75" customHeight="1" x14ac:dyDescent="0.1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</row>
    <row r="311" spans="1:19" ht="12.75" customHeight="1" x14ac:dyDescent="0.1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</row>
    <row r="312" spans="1:19" ht="12.75" customHeight="1" x14ac:dyDescent="0.1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</row>
    <row r="313" spans="1:19" ht="12.75" customHeight="1" x14ac:dyDescent="0.1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</row>
    <row r="314" spans="1:19" ht="12.75" customHeight="1" x14ac:dyDescent="0.1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</row>
    <row r="315" spans="1:19" ht="12.75" customHeight="1" x14ac:dyDescent="0.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</row>
    <row r="316" spans="1:19" ht="12.75" customHeight="1" x14ac:dyDescent="0.1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</row>
    <row r="317" spans="1:19" ht="12.75" customHeight="1" x14ac:dyDescent="0.1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</row>
    <row r="318" spans="1:19" ht="12.75" customHeight="1" x14ac:dyDescent="0.1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</row>
    <row r="319" spans="1:19" ht="12.75" customHeight="1" x14ac:dyDescent="0.1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</row>
    <row r="320" spans="1:19" ht="12.75" customHeight="1" x14ac:dyDescent="0.1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</row>
    <row r="321" spans="1:19" ht="12.75" customHeight="1" x14ac:dyDescent="0.1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</row>
    <row r="322" spans="1:19" ht="12.75" customHeight="1" x14ac:dyDescent="0.1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</row>
    <row r="323" spans="1:19" ht="12.75" customHeight="1" x14ac:dyDescent="0.1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</row>
    <row r="324" spans="1:19" ht="12.75" customHeight="1" x14ac:dyDescent="0.1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</row>
    <row r="325" spans="1:19" ht="12.75" customHeight="1" x14ac:dyDescent="0.1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</row>
    <row r="326" spans="1:19" ht="12.75" customHeight="1" x14ac:dyDescent="0.1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</row>
    <row r="327" spans="1:19" ht="12.75" customHeight="1" x14ac:dyDescent="0.1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</row>
    <row r="328" spans="1:19" ht="12.75" customHeight="1" x14ac:dyDescent="0.1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</row>
    <row r="329" spans="1:19" ht="12.75" customHeight="1" x14ac:dyDescent="0.1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</row>
    <row r="330" spans="1:19" ht="12.75" customHeight="1" x14ac:dyDescent="0.1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</row>
    <row r="331" spans="1:19" ht="12.75" customHeight="1" x14ac:dyDescent="0.1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</row>
    <row r="332" spans="1:19" ht="12.75" customHeight="1" x14ac:dyDescent="0.1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</row>
    <row r="333" spans="1:19" ht="12.75" customHeight="1" x14ac:dyDescent="0.1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</row>
    <row r="334" spans="1:19" ht="12.75" customHeight="1" x14ac:dyDescent="0.1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</row>
    <row r="335" spans="1:19" ht="12.75" customHeight="1" x14ac:dyDescent="0.1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</row>
    <row r="336" spans="1:19" ht="12.75" customHeight="1" x14ac:dyDescent="0.1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</row>
    <row r="337" spans="1:19" ht="12.75" customHeight="1" x14ac:dyDescent="0.1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</row>
    <row r="338" spans="1:19" ht="12.75" customHeight="1" x14ac:dyDescent="0.1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</row>
    <row r="339" spans="1:19" ht="12.75" customHeight="1" x14ac:dyDescent="0.1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</row>
    <row r="340" spans="1:19" ht="12.75" customHeight="1" x14ac:dyDescent="0.1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</row>
    <row r="341" spans="1:19" ht="12.75" customHeight="1" x14ac:dyDescent="0.1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</row>
    <row r="342" spans="1:19" ht="12.75" customHeight="1" x14ac:dyDescent="0.1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</row>
    <row r="343" spans="1:19" ht="12.75" customHeight="1" x14ac:dyDescent="0.1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</row>
    <row r="344" spans="1:19" ht="12.75" customHeight="1" x14ac:dyDescent="0.1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</row>
    <row r="345" spans="1:19" ht="12.75" customHeight="1" x14ac:dyDescent="0.1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</row>
    <row r="346" spans="1:19" ht="12.75" customHeight="1" x14ac:dyDescent="0.1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</row>
    <row r="347" spans="1:19" ht="12.75" customHeight="1" x14ac:dyDescent="0.1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</row>
    <row r="348" spans="1:19" ht="12.75" customHeight="1" x14ac:dyDescent="0.1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</row>
    <row r="349" spans="1:19" ht="12.75" customHeight="1" x14ac:dyDescent="0.1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</row>
    <row r="350" spans="1:19" ht="12.75" customHeight="1" x14ac:dyDescent="0.1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</row>
    <row r="351" spans="1:19" ht="12.75" customHeight="1" x14ac:dyDescent="0.1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</row>
    <row r="352" spans="1:19" ht="12.75" customHeight="1" x14ac:dyDescent="0.1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</row>
    <row r="353" spans="1:19" ht="12.75" customHeight="1" x14ac:dyDescent="0.1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</row>
    <row r="354" spans="1:19" ht="12.75" customHeight="1" x14ac:dyDescent="0.1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</row>
    <row r="355" spans="1:19" ht="12.75" customHeight="1" x14ac:dyDescent="0.1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</row>
    <row r="356" spans="1:19" ht="12.75" customHeight="1" x14ac:dyDescent="0.1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</row>
    <row r="357" spans="1:19" ht="12.75" customHeight="1" x14ac:dyDescent="0.1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</row>
    <row r="358" spans="1:19" ht="12.75" customHeight="1" x14ac:dyDescent="0.1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</row>
    <row r="359" spans="1:19" ht="12.75" customHeight="1" x14ac:dyDescent="0.1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</row>
    <row r="360" spans="1:19" ht="12.75" customHeight="1" x14ac:dyDescent="0.1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</row>
    <row r="361" spans="1:19" ht="12.75" customHeight="1" x14ac:dyDescent="0.1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</row>
    <row r="362" spans="1:19" ht="12.75" customHeight="1" x14ac:dyDescent="0.1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</row>
    <row r="363" spans="1:19" ht="12.75" customHeight="1" x14ac:dyDescent="0.1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</row>
    <row r="364" spans="1:19" ht="12.75" customHeight="1" x14ac:dyDescent="0.1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</row>
    <row r="365" spans="1:19" ht="12.75" customHeight="1" x14ac:dyDescent="0.1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</row>
    <row r="366" spans="1:19" ht="12.75" customHeight="1" x14ac:dyDescent="0.1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</row>
    <row r="367" spans="1:19" ht="12.75" customHeight="1" x14ac:dyDescent="0.1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</row>
    <row r="368" spans="1:19" ht="12.75" customHeight="1" x14ac:dyDescent="0.1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</row>
    <row r="369" spans="1:19" ht="12.75" customHeight="1" x14ac:dyDescent="0.1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</row>
    <row r="370" spans="1:19" ht="12.75" customHeight="1" x14ac:dyDescent="0.1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</row>
    <row r="371" spans="1:19" ht="12.75" customHeight="1" x14ac:dyDescent="0.1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</row>
    <row r="372" spans="1:19" ht="12.75" customHeight="1" x14ac:dyDescent="0.1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</row>
    <row r="373" spans="1:19" ht="12.75" customHeight="1" x14ac:dyDescent="0.1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</row>
    <row r="374" spans="1:19" ht="12.75" customHeight="1" x14ac:dyDescent="0.1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</row>
    <row r="375" spans="1:19" ht="12.75" customHeight="1" x14ac:dyDescent="0.1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</row>
    <row r="376" spans="1:19" ht="12.75" customHeight="1" x14ac:dyDescent="0.1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</row>
    <row r="377" spans="1:19" ht="12.75" customHeight="1" x14ac:dyDescent="0.1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</row>
    <row r="378" spans="1:19" ht="12.75" customHeight="1" x14ac:dyDescent="0.1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</row>
    <row r="379" spans="1:19" ht="12.75" customHeight="1" x14ac:dyDescent="0.1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</row>
    <row r="380" spans="1:19" ht="12.75" customHeight="1" x14ac:dyDescent="0.1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</row>
    <row r="381" spans="1:19" ht="12.75" customHeight="1" x14ac:dyDescent="0.1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</row>
    <row r="382" spans="1:19" ht="12.75" customHeight="1" x14ac:dyDescent="0.1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</row>
    <row r="383" spans="1:19" ht="12.75" customHeight="1" x14ac:dyDescent="0.1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</row>
    <row r="384" spans="1:19" ht="12.75" customHeight="1" x14ac:dyDescent="0.1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</row>
    <row r="385" spans="1:19" ht="12.75" customHeight="1" x14ac:dyDescent="0.1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</row>
    <row r="386" spans="1:19" ht="12.75" customHeight="1" x14ac:dyDescent="0.1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</row>
    <row r="387" spans="1:19" ht="12.75" customHeight="1" x14ac:dyDescent="0.1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</row>
    <row r="388" spans="1:19" ht="12.75" customHeight="1" x14ac:dyDescent="0.1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</row>
    <row r="389" spans="1:19" ht="12.75" customHeight="1" x14ac:dyDescent="0.1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</row>
    <row r="390" spans="1:19" ht="12.75" customHeight="1" x14ac:dyDescent="0.1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</row>
    <row r="391" spans="1:19" ht="12.75" customHeight="1" x14ac:dyDescent="0.1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</row>
    <row r="392" spans="1:19" ht="12.75" customHeight="1" x14ac:dyDescent="0.1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</row>
    <row r="393" spans="1:19" ht="12.75" customHeight="1" x14ac:dyDescent="0.1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</row>
    <row r="394" spans="1:19" ht="12.75" customHeight="1" x14ac:dyDescent="0.1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</row>
    <row r="395" spans="1:19" ht="12.75" customHeight="1" x14ac:dyDescent="0.1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</row>
    <row r="396" spans="1:19" ht="12.75" customHeight="1" x14ac:dyDescent="0.1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</row>
    <row r="397" spans="1:19" ht="12.75" customHeight="1" x14ac:dyDescent="0.1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</row>
    <row r="398" spans="1:19" ht="12.75" customHeight="1" x14ac:dyDescent="0.1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</row>
    <row r="399" spans="1:19" ht="12.75" customHeight="1" x14ac:dyDescent="0.1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</row>
    <row r="400" spans="1:19" ht="12.75" customHeight="1" x14ac:dyDescent="0.1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</row>
    <row r="401" spans="1:19" ht="12.75" customHeight="1" x14ac:dyDescent="0.1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</row>
    <row r="402" spans="1:19" ht="12.75" customHeight="1" x14ac:dyDescent="0.1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</row>
    <row r="403" spans="1:19" ht="12.75" customHeight="1" x14ac:dyDescent="0.1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</row>
    <row r="404" spans="1:19" ht="12.75" customHeight="1" x14ac:dyDescent="0.1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</row>
    <row r="405" spans="1:19" ht="12.75" customHeight="1" x14ac:dyDescent="0.1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</row>
    <row r="406" spans="1:19" ht="12.75" customHeight="1" x14ac:dyDescent="0.1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</row>
    <row r="407" spans="1:19" ht="12.75" customHeight="1" x14ac:dyDescent="0.1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</row>
    <row r="408" spans="1:19" ht="12.75" customHeight="1" x14ac:dyDescent="0.1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</row>
    <row r="409" spans="1:19" ht="12.75" customHeight="1" x14ac:dyDescent="0.1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</row>
    <row r="410" spans="1:19" ht="12.75" customHeight="1" x14ac:dyDescent="0.1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</row>
    <row r="411" spans="1:19" ht="12.75" customHeight="1" x14ac:dyDescent="0.1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</row>
    <row r="412" spans="1:19" ht="12.75" customHeight="1" x14ac:dyDescent="0.1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</row>
    <row r="413" spans="1:19" ht="12.75" customHeight="1" x14ac:dyDescent="0.1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</row>
    <row r="414" spans="1:19" ht="12.75" customHeight="1" x14ac:dyDescent="0.1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</row>
    <row r="415" spans="1:19" ht="12.75" customHeight="1" x14ac:dyDescent="0.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</row>
    <row r="416" spans="1:19" ht="12.75" customHeight="1" x14ac:dyDescent="0.1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</row>
    <row r="417" spans="1:19" ht="12.75" customHeight="1" x14ac:dyDescent="0.1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</row>
    <row r="418" spans="1:19" ht="12.75" customHeight="1" x14ac:dyDescent="0.1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</row>
    <row r="419" spans="1:19" ht="12.75" customHeight="1" x14ac:dyDescent="0.1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</row>
    <row r="420" spans="1:19" ht="12.75" customHeight="1" x14ac:dyDescent="0.1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</row>
    <row r="421" spans="1:19" ht="12.75" customHeight="1" x14ac:dyDescent="0.1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</row>
    <row r="422" spans="1:19" ht="12.75" customHeight="1" x14ac:dyDescent="0.1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</row>
    <row r="423" spans="1:19" ht="12.75" customHeight="1" x14ac:dyDescent="0.1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</row>
    <row r="424" spans="1:19" ht="12.75" customHeight="1" x14ac:dyDescent="0.1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</row>
    <row r="425" spans="1:19" ht="12.75" customHeight="1" x14ac:dyDescent="0.1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</row>
    <row r="426" spans="1:19" ht="12.75" customHeight="1" x14ac:dyDescent="0.1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</row>
    <row r="427" spans="1:19" ht="12.75" customHeight="1" x14ac:dyDescent="0.1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</row>
    <row r="428" spans="1:19" ht="12.75" customHeight="1" x14ac:dyDescent="0.1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</row>
    <row r="429" spans="1:19" ht="12.75" customHeight="1" x14ac:dyDescent="0.1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</row>
    <row r="430" spans="1:19" ht="12.75" customHeight="1" x14ac:dyDescent="0.1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</row>
    <row r="431" spans="1:19" ht="12.75" customHeight="1" x14ac:dyDescent="0.1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</row>
    <row r="432" spans="1:19" ht="12.75" customHeight="1" x14ac:dyDescent="0.1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</row>
    <row r="433" spans="1:19" ht="12.75" customHeight="1" x14ac:dyDescent="0.1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</row>
    <row r="434" spans="1:19" ht="12.75" customHeight="1" x14ac:dyDescent="0.1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</row>
    <row r="435" spans="1:19" ht="12.75" customHeight="1" x14ac:dyDescent="0.1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</row>
    <row r="436" spans="1:19" ht="12.75" customHeight="1" x14ac:dyDescent="0.1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</row>
    <row r="437" spans="1:19" ht="12.75" customHeight="1" x14ac:dyDescent="0.1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</row>
    <row r="438" spans="1:19" ht="12.75" customHeight="1" x14ac:dyDescent="0.1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</row>
    <row r="439" spans="1:19" ht="12.75" customHeight="1" x14ac:dyDescent="0.1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</row>
    <row r="440" spans="1:19" ht="12.75" customHeight="1" x14ac:dyDescent="0.1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</row>
    <row r="441" spans="1:19" ht="12.75" customHeight="1" x14ac:dyDescent="0.1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</row>
    <row r="442" spans="1:19" ht="12.75" customHeight="1" x14ac:dyDescent="0.1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</row>
    <row r="443" spans="1:19" ht="12.75" customHeight="1" x14ac:dyDescent="0.1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</row>
    <row r="444" spans="1:19" ht="12.75" customHeight="1" x14ac:dyDescent="0.1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</row>
    <row r="445" spans="1:19" ht="12.75" customHeight="1" x14ac:dyDescent="0.1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</row>
    <row r="446" spans="1:19" ht="12.75" customHeight="1" x14ac:dyDescent="0.1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</row>
    <row r="447" spans="1:19" ht="12.75" customHeight="1" x14ac:dyDescent="0.1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</row>
    <row r="448" spans="1:19" ht="12.75" customHeight="1" x14ac:dyDescent="0.1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</row>
    <row r="449" spans="1:19" ht="12.75" customHeight="1" x14ac:dyDescent="0.1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</row>
    <row r="450" spans="1:19" ht="12.75" customHeight="1" x14ac:dyDescent="0.1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</row>
    <row r="451" spans="1:19" ht="12.75" customHeight="1" x14ac:dyDescent="0.1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</row>
    <row r="452" spans="1:19" ht="12.75" customHeight="1" x14ac:dyDescent="0.1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</row>
    <row r="453" spans="1:19" ht="12.75" customHeight="1" x14ac:dyDescent="0.1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</row>
    <row r="454" spans="1:19" ht="12.75" customHeight="1" x14ac:dyDescent="0.1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</row>
    <row r="455" spans="1:19" ht="12.75" customHeight="1" x14ac:dyDescent="0.1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</row>
    <row r="456" spans="1:19" ht="12.75" customHeight="1" x14ac:dyDescent="0.1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</row>
    <row r="457" spans="1:19" ht="12.75" customHeight="1" x14ac:dyDescent="0.1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</row>
    <row r="458" spans="1:19" ht="12.75" customHeight="1" x14ac:dyDescent="0.1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</row>
    <row r="459" spans="1:19" ht="12.75" customHeight="1" x14ac:dyDescent="0.1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</row>
    <row r="460" spans="1:19" ht="12.75" customHeight="1" x14ac:dyDescent="0.1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</row>
    <row r="461" spans="1:19" ht="12.75" customHeight="1" x14ac:dyDescent="0.1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</row>
    <row r="462" spans="1:19" ht="12.75" customHeight="1" x14ac:dyDescent="0.1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</row>
    <row r="463" spans="1:19" ht="12.75" customHeight="1" x14ac:dyDescent="0.1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</row>
    <row r="464" spans="1:19" ht="12.75" customHeight="1" x14ac:dyDescent="0.1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</row>
    <row r="465" spans="1:19" ht="12.75" customHeight="1" x14ac:dyDescent="0.1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</row>
    <row r="466" spans="1:19" ht="12.75" customHeight="1" x14ac:dyDescent="0.1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</row>
    <row r="467" spans="1:19" ht="12.75" customHeight="1" x14ac:dyDescent="0.1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</row>
    <row r="468" spans="1:19" ht="12.75" customHeight="1" x14ac:dyDescent="0.1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</row>
    <row r="469" spans="1:19" ht="12.75" customHeight="1" x14ac:dyDescent="0.1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</row>
    <row r="470" spans="1:19" ht="12.75" customHeight="1" x14ac:dyDescent="0.1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</row>
    <row r="471" spans="1:19" ht="12.75" customHeight="1" x14ac:dyDescent="0.1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</row>
    <row r="472" spans="1:19" ht="12.75" customHeight="1" x14ac:dyDescent="0.1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</row>
    <row r="473" spans="1:19" ht="12.75" customHeight="1" x14ac:dyDescent="0.1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</row>
    <row r="474" spans="1:19" ht="12.75" customHeight="1" x14ac:dyDescent="0.1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</row>
    <row r="475" spans="1:19" ht="12.75" customHeight="1" x14ac:dyDescent="0.1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</row>
    <row r="476" spans="1:19" ht="12.75" customHeight="1" x14ac:dyDescent="0.1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</row>
    <row r="477" spans="1:19" ht="12.75" customHeight="1" x14ac:dyDescent="0.1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</row>
    <row r="478" spans="1:19" ht="12.75" customHeight="1" x14ac:dyDescent="0.1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</row>
    <row r="479" spans="1:19" ht="12.75" customHeight="1" x14ac:dyDescent="0.1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</row>
    <row r="480" spans="1:19" ht="12.75" customHeight="1" x14ac:dyDescent="0.1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</row>
    <row r="481" spans="1:19" ht="12.75" customHeight="1" x14ac:dyDescent="0.1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</row>
    <row r="482" spans="1:19" ht="12.75" customHeight="1" x14ac:dyDescent="0.1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</row>
    <row r="483" spans="1:19" ht="12.75" customHeight="1" x14ac:dyDescent="0.1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</row>
    <row r="484" spans="1:19" ht="12.75" customHeight="1" x14ac:dyDescent="0.1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</row>
    <row r="485" spans="1:19" ht="12.75" customHeight="1" x14ac:dyDescent="0.1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</row>
    <row r="486" spans="1:19" ht="12.75" customHeight="1" x14ac:dyDescent="0.1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</row>
    <row r="487" spans="1:19" ht="12.75" customHeight="1" x14ac:dyDescent="0.1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</row>
    <row r="488" spans="1:19" ht="12.75" customHeight="1" x14ac:dyDescent="0.1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</row>
    <row r="489" spans="1:19" ht="12.75" customHeight="1" x14ac:dyDescent="0.1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</row>
    <row r="490" spans="1:19" ht="12.75" customHeight="1" x14ac:dyDescent="0.1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</row>
    <row r="491" spans="1:19" ht="12.75" customHeight="1" x14ac:dyDescent="0.1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</row>
    <row r="492" spans="1:19" ht="12.75" customHeight="1" x14ac:dyDescent="0.1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</row>
    <row r="493" spans="1:19" ht="12.75" customHeight="1" x14ac:dyDescent="0.1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</row>
    <row r="494" spans="1:19" ht="12.75" customHeight="1" x14ac:dyDescent="0.1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</row>
    <row r="495" spans="1:19" ht="12.75" customHeight="1" x14ac:dyDescent="0.1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</row>
    <row r="496" spans="1:19" ht="12.75" customHeight="1" x14ac:dyDescent="0.1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</row>
    <row r="497" spans="1:19" ht="12.75" customHeight="1" x14ac:dyDescent="0.1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</row>
    <row r="498" spans="1:19" ht="12.75" customHeight="1" x14ac:dyDescent="0.1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</row>
    <row r="499" spans="1:19" ht="12.75" customHeight="1" x14ac:dyDescent="0.1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</row>
    <row r="500" spans="1:19" ht="12.75" customHeight="1" x14ac:dyDescent="0.1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</row>
    <row r="501" spans="1:19" ht="12.75" customHeight="1" x14ac:dyDescent="0.1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</row>
    <row r="502" spans="1:19" ht="12.75" customHeight="1" x14ac:dyDescent="0.1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</row>
    <row r="503" spans="1:19" ht="12.75" customHeight="1" x14ac:dyDescent="0.1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</row>
    <row r="504" spans="1:19" ht="12.75" customHeight="1" x14ac:dyDescent="0.1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</row>
    <row r="505" spans="1:19" ht="12.75" customHeight="1" x14ac:dyDescent="0.1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</row>
    <row r="506" spans="1:19" ht="12.75" customHeight="1" x14ac:dyDescent="0.1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</row>
    <row r="507" spans="1:19" ht="12.75" customHeight="1" x14ac:dyDescent="0.1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</row>
    <row r="508" spans="1:19" ht="12.75" customHeight="1" x14ac:dyDescent="0.1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</row>
    <row r="509" spans="1:19" ht="12.75" customHeight="1" x14ac:dyDescent="0.1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</row>
    <row r="510" spans="1:19" ht="12.75" customHeight="1" x14ac:dyDescent="0.1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</row>
    <row r="511" spans="1:19" ht="12.75" customHeight="1" x14ac:dyDescent="0.1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</row>
    <row r="512" spans="1:19" ht="12.75" customHeight="1" x14ac:dyDescent="0.1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</row>
    <row r="513" spans="1:19" ht="12.75" customHeight="1" x14ac:dyDescent="0.1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</row>
    <row r="514" spans="1:19" ht="12.75" customHeight="1" x14ac:dyDescent="0.1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</row>
    <row r="515" spans="1:19" ht="12.75" customHeight="1" x14ac:dyDescent="0.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</row>
    <row r="516" spans="1:19" ht="12.75" customHeight="1" x14ac:dyDescent="0.1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</row>
    <row r="517" spans="1:19" ht="12.75" customHeight="1" x14ac:dyDescent="0.1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</row>
    <row r="518" spans="1:19" ht="12.75" customHeight="1" x14ac:dyDescent="0.1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</row>
    <row r="519" spans="1:19" ht="12.75" customHeight="1" x14ac:dyDescent="0.1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</row>
    <row r="520" spans="1:19" ht="12.75" customHeight="1" x14ac:dyDescent="0.1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</row>
    <row r="521" spans="1:19" ht="12.75" customHeight="1" x14ac:dyDescent="0.1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</row>
    <row r="522" spans="1:19" ht="12.75" customHeight="1" x14ac:dyDescent="0.1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</row>
    <row r="523" spans="1:19" ht="12.75" customHeight="1" x14ac:dyDescent="0.1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</row>
    <row r="524" spans="1:19" ht="12.75" customHeight="1" x14ac:dyDescent="0.1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</row>
    <row r="525" spans="1:19" ht="12.75" customHeight="1" x14ac:dyDescent="0.1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</row>
    <row r="526" spans="1:19" ht="12.75" customHeight="1" x14ac:dyDescent="0.1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</row>
    <row r="527" spans="1:19" ht="12.75" customHeight="1" x14ac:dyDescent="0.1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</row>
    <row r="528" spans="1:19" ht="12.75" customHeight="1" x14ac:dyDescent="0.1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</row>
    <row r="529" spans="1:19" ht="12.75" customHeight="1" x14ac:dyDescent="0.1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</row>
    <row r="530" spans="1:19" ht="12.75" customHeight="1" x14ac:dyDescent="0.1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</row>
    <row r="531" spans="1:19" ht="12.75" customHeight="1" x14ac:dyDescent="0.1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</row>
    <row r="532" spans="1:19" ht="12.75" customHeight="1" x14ac:dyDescent="0.1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</row>
    <row r="533" spans="1:19" ht="12.75" customHeight="1" x14ac:dyDescent="0.1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</row>
    <row r="534" spans="1:19" ht="12.75" customHeight="1" x14ac:dyDescent="0.1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</row>
    <row r="535" spans="1:19" ht="12.75" customHeight="1" x14ac:dyDescent="0.1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</row>
    <row r="536" spans="1:19" ht="12.75" customHeight="1" x14ac:dyDescent="0.1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</row>
    <row r="537" spans="1:19" ht="12.75" customHeight="1" x14ac:dyDescent="0.1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</row>
    <row r="538" spans="1:19" ht="12.75" customHeight="1" x14ac:dyDescent="0.1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</row>
    <row r="539" spans="1:19" ht="12.75" customHeight="1" x14ac:dyDescent="0.1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</row>
    <row r="540" spans="1:19" ht="12.75" customHeight="1" x14ac:dyDescent="0.1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</row>
    <row r="541" spans="1:19" ht="12.75" customHeight="1" x14ac:dyDescent="0.1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</row>
    <row r="542" spans="1:19" ht="12.75" customHeight="1" x14ac:dyDescent="0.1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</row>
    <row r="543" spans="1:19" ht="12.75" customHeight="1" x14ac:dyDescent="0.1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</row>
    <row r="544" spans="1:19" ht="12.75" customHeight="1" x14ac:dyDescent="0.1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</row>
    <row r="545" spans="1:19" ht="12.75" customHeight="1" x14ac:dyDescent="0.1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</row>
    <row r="546" spans="1:19" ht="12.75" customHeight="1" x14ac:dyDescent="0.1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</row>
    <row r="547" spans="1:19" ht="12.75" customHeight="1" x14ac:dyDescent="0.1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</row>
    <row r="548" spans="1:19" ht="12.75" customHeight="1" x14ac:dyDescent="0.1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</row>
    <row r="549" spans="1:19" ht="12.75" customHeight="1" x14ac:dyDescent="0.1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</row>
    <row r="550" spans="1:19" ht="12.75" customHeight="1" x14ac:dyDescent="0.1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</row>
    <row r="551" spans="1:19" ht="12.75" customHeight="1" x14ac:dyDescent="0.1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</row>
    <row r="552" spans="1:19" ht="12.75" customHeight="1" x14ac:dyDescent="0.1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</row>
    <row r="553" spans="1:19" ht="12.75" customHeight="1" x14ac:dyDescent="0.1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</row>
    <row r="554" spans="1:19" ht="12.75" customHeight="1" x14ac:dyDescent="0.1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</row>
    <row r="555" spans="1:19" ht="12.75" customHeight="1" x14ac:dyDescent="0.1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</row>
    <row r="556" spans="1:19" ht="12.75" customHeight="1" x14ac:dyDescent="0.1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</row>
    <row r="557" spans="1:19" ht="12.75" customHeight="1" x14ac:dyDescent="0.1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</row>
    <row r="558" spans="1:19" ht="12.75" customHeight="1" x14ac:dyDescent="0.1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</row>
    <row r="559" spans="1:19" ht="12.75" customHeight="1" x14ac:dyDescent="0.1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</row>
    <row r="560" spans="1:19" ht="12.75" customHeight="1" x14ac:dyDescent="0.1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</row>
    <row r="561" spans="1:19" ht="12.75" customHeight="1" x14ac:dyDescent="0.1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</row>
    <row r="562" spans="1:19" ht="12.75" customHeight="1" x14ac:dyDescent="0.1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</row>
    <row r="563" spans="1:19" ht="12.75" customHeight="1" x14ac:dyDescent="0.1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</row>
    <row r="564" spans="1:19" ht="12.75" customHeight="1" x14ac:dyDescent="0.1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</row>
    <row r="565" spans="1:19" ht="12.75" customHeight="1" x14ac:dyDescent="0.1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</row>
    <row r="566" spans="1:19" ht="12.75" customHeight="1" x14ac:dyDescent="0.1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</row>
    <row r="567" spans="1:19" ht="12.75" customHeight="1" x14ac:dyDescent="0.1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</row>
    <row r="568" spans="1:19" ht="12.75" customHeight="1" x14ac:dyDescent="0.1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</row>
    <row r="569" spans="1:19" ht="12.75" customHeight="1" x14ac:dyDescent="0.1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</row>
    <row r="570" spans="1:19" ht="12.75" customHeight="1" x14ac:dyDescent="0.1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</row>
    <row r="571" spans="1:19" ht="12.75" customHeight="1" x14ac:dyDescent="0.1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</row>
    <row r="572" spans="1:19" ht="12.75" customHeight="1" x14ac:dyDescent="0.1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</row>
    <row r="573" spans="1:19" ht="12.75" customHeight="1" x14ac:dyDescent="0.1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</row>
    <row r="574" spans="1:19" ht="12.75" customHeight="1" x14ac:dyDescent="0.1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</row>
    <row r="575" spans="1:19" ht="12.75" customHeight="1" x14ac:dyDescent="0.1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</row>
    <row r="576" spans="1:19" ht="12.75" customHeight="1" x14ac:dyDescent="0.1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</row>
    <row r="577" spans="1:19" ht="12.75" customHeight="1" x14ac:dyDescent="0.1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</row>
    <row r="578" spans="1:19" ht="12.75" customHeight="1" x14ac:dyDescent="0.1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</row>
    <row r="579" spans="1:19" ht="12.75" customHeight="1" x14ac:dyDescent="0.1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</row>
    <row r="580" spans="1:19" ht="12.75" customHeight="1" x14ac:dyDescent="0.1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</row>
    <row r="581" spans="1:19" ht="12.75" customHeight="1" x14ac:dyDescent="0.1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</row>
    <row r="582" spans="1:19" ht="12.75" customHeight="1" x14ac:dyDescent="0.1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</row>
    <row r="583" spans="1:19" ht="12.75" customHeight="1" x14ac:dyDescent="0.1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</row>
    <row r="584" spans="1:19" ht="12.75" customHeight="1" x14ac:dyDescent="0.1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</row>
    <row r="585" spans="1:19" ht="12.75" customHeight="1" x14ac:dyDescent="0.1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</row>
    <row r="586" spans="1:19" ht="12.75" customHeight="1" x14ac:dyDescent="0.1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</row>
    <row r="587" spans="1:19" ht="12.75" customHeight="1" x14ac:dyDescent="0.1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</row>
    <row r="588" spans="1:19" ht="12.75" customHeight="1" x14ac:dyDescent="0.1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</row>
    <row r="589" spans="1:19" ht="12.75" customHeight="1" x14ac:dyDescent="0.1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</row>
    <row r="590" spans="1:19" ht="12.75" customHeight="1" x14ac:dyDescent="0.1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</row>
    <row r="591" spans="1:19" ht="12.75" customHeight="1" x14ac:dyDescent="0.1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</row>
    <row r="592" spans="1:19" ht="12.75" customHeight="1" x14ac:dyDescent="0.1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</row>
    <row r="593" spans="1:19" ht="12.75" customHeight="1" x14ac:dyDescent="0.1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</row>
    <row r="594" spans="1:19" ht="12.75" customHeight="1" x14ac:dyDescent="0.1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</row>
    <row r="595" spans="1:19" ht="12.75" customHeight="1" x14ac:dyDescent="0.1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</row>
    <row r="596" spans="1:19" ht="12.75" customHeight="1" x14ac:dyDescent="0.1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</row>
    <row r="597" spans="1:19" ht="12.75" customHeight="1" x14ac:dyDescent="0.1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</row>
    <row r="598" spans="1:19" ht="12.75" customHeight="1" x14ac:dyDescent="0.1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</row>
    <row r="599" spans="1:19" ht="12.75" customHeight="1" x14ac:dyDescent="0.1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</row>
    <row r="600" spans="1:19" ht="12.75" customHeight="1" x14ac:dyDescent="0.1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</row>
    <row r="601" spans="1:19" ht="12.75" customHeight="1" x14ac:dyDescent="0.1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</row>
    <row r="602" spans="1:19" ht="12.75" customHeight="1" x14ac:dyDescent="0.1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</row>
    <row r="603" spans="1:19" ht="12.75" customHeight="1" x14ac:dyDescent="0.1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</row>
    <row r="604" spans="1:19" ht="12.75" customHeight="1" x14ac:dyDescent="0.1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</row>
    <row r="605" spans="1:19" ht="12.75" customHeight="1" x14ac:dyDescent="0.1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</row>
    <row r="606" spans="1:19" ht="12.75" customHeight="1" x14ac:dyDescent="0.1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</row>
    <row r="607" spans="1:19" ht="12.75" customHeight="1" x14ac:dyDescent="0.1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</row>
    <row r="608" spans="1:19" ht="12.75" customHeight="1" x14ac:dyDescent="0.1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</row>
    <row r="609" spans="1:19" ht="12.75" customHeight="1" x14ac:dyDescent="0.1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</row>
    <row r="610" spans="1:19" ht="12.75" customHeight="1" x14ac:dyDescent="0.1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</row>
    <row r="611" spans="1:19" ht="12.75" customHeight="1" x14ac:dyDescent="0.1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</row>
    <row r="612" spans="1:19" ht="12.75" customHeight="1" x14ac:dyDescent="0.1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</row>
    <row r="613" spans="1:19" ht="12.75" customHeight="1" x14ac:dyDescent="0.1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</row>
    <row r="614" spans="1:19" ht="12.75" customHeight="1" x14ac:dyDescent="0.1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</row>
    <row r="615" spans="1:19" ht="12.75" customHeight="1" x14ac:dyDescent="0.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</row>
    <row r="616" spans="1:19" ht="12.75" customHeight="1" x14ac:dyDescent="0.1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</row>
    <row r="617" spans="1:19" ht="12.75" customHeight="1" x14ac:dyDescent="0.1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</row>
    <row r="618" spans="1:19" ht="12.75" customHeight="1" x14ac:dyDescent="0.1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</row>
    <row r="619" spans="1:19" ht="12.75" customHeight="1" x14ac:dyDescent="0.1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</row>
    <row r="620" spans="1:19" ht="12.75" customHeight="1" x14ac:dyDescent="0.1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</row>
    <row r="621" spans="1:19" ht="12.75" customHeight="1" x14ac:dyDescent="0.1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</row>
    <row r="622" spans="1:19" ht="12.75" customHeight="1" x14ac:dyDescent="0.1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</row>
    <row r="623" spans="1:19" ht="12.75" customHeight="1" x14ac:dyDescent="0.1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</row>
    <row r="624" spans="1:19" ht="12.75" customHeight="1" x14ac:dyDescent="0.1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</row>
    <row r="625" spans="1:19" ht="12.75" customHeight="1" x14ac:dyDescent="0.1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</row>
    <row r="626" spans="1:19" ht="12.75" customHeight="1" x14ac:dyDescent="0.1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</row>
    <row r="627" spans="1:19" ht="12.75" customHeight="1" x14ac:dyDescent="0.1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</row>
    <row r="628" spans="1:19" ht="12.75" customHeight="1" x14ac:dyDescent="0.1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</row>
    <row r="629" spans="1:19" ht="12.75" customHeight="1" x14ac:dyDescent="0.1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</row>
    <row r="630" spans="1:19" ht="12.75" customHeight="1" x14ac:dyDescent="0.1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</row>
    <row r="631" spans="1:19" ht="12.75" customHeight="1" x14ac:dyDescent="0.1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</row>
    <row r="632" spans="1:19" ht="12.75" customHeight="1" x14ac:dyDescent="0.1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</row>
    <row r="633" spans="1:19" ht="12.75" customHeight="1" x14ac:dyDescent="0.1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</row>
    <row r="634" spans="1:19" ht="12.75" customHeight="1" x14ac:dyDescent="0.1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</row>
    <row r="635" spans="1:19" ht="12.75" customHeight="1" x14ac:dyDescent="0.1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</row>
    <row r="636" spans="1:19" ht="12.75" customHeight="1" x14ac:dyDescent="0.1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</row>
    <row r="637" spans="1:19" ht="12.75" customHeight="1" x14ac:dyDescent="0.1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</row>
    <row r="638" spans="1:19" ht="12.75" customHeight="1" x14ac:dyDescent="0.1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</row>
    <row r="639" spans="1:19" ht="12.75" customHeight="1" x14ac:dyDescent="0.1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</row>
    <row r="640" spans="1:19" ht="12.75" customHeight="1" x14ac:dyDescent="0.1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</row>
    <row r="641" spans="1:19" ht="12.75" customHeight="1" x14ac:dyDescent="0.1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</row>
    <row r="642" spans="1:19" ht="12.75" customHeight="1" x14ac:dyDescent="0.1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</row>
    <row r="643" spans="1:19" ht="12.75" customHeight="1" x14ac:dyDescent="0.1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</row>
    <row r="644" spans="1:19" ht="12.75" customHeight="1" x14ac:dyDescent="0.1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</row>
    <row r="645" spans="1:19" ht="12.75" customHeight="1" x14ac:dyDescent="0.1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</row>
    <row r="646" spans="1:19" ht="12.75" customHeight="1" x14ac:dyDescent="0.1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</row>
    <row r="647" spans="1:19" ht="12.75" customHeight="1" x14ac:dyDescent="0.1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</row>
    <row r="648" spans="1:19" ht="12.75" customHeight="1" x14ac:dyDescent="0.1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</row>
    <row r="649" spans="1:19" ht="12.75" customHeight="1" x14ac:dyDescent="0.1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</row>
    <row r="650" spans="1:19" ht="12.75" customHeight="1" x14ac:dyDescent="0.1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</row>
    <row r="651" spans="1:19" ht="12.75" customHeight="1" x14ac:dyDescent="0.1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</row>
    <row r="652" spans="1:19" ht="12.75" customHeight="1" x14ac:dyDescent="0.1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</row>
    <row r="653" spans="1:19" ht="12.75" customHeight="1" x14ac:dyDescent="0.1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</row>
    <row r="654" spans="1:19" ht="12.75" customHeight="1" x14ac:dyDescent="0.1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</row>
    <row r="655" spans="1:19" ht="12.75" customHeight="1" x14ac:dyDescent="0.1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</row>
    <row r="656" spans="1:19" ht="12.75" customHeight="1" x14ac:dyDescent="0.1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</row>
    <row r="657" spans="1:19" ht="12.75" customHeight="1" x14ac:dyDescent="0.1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</row>
    <row r="658" spans="1:19" ht="12.75" customHeight="1" x14ac:dyDescent="0.1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</row>
    <row r="659" spans="1:19" ht="12.75" customHeight="1" x14ac:dyDescent="0.1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</row>
    <row r="660" spans="1:19" ht="12.75" customHeight="1" x14ac:dyDescent="0.1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</row>
    <row r="661" spans="1:19" ht="12.75" customHeight="1" x14ac:dyDescent="0.1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</row>
    <row r="662" spans="1:19" ht="12.75" customHeight="1" x14ac:dyDescent="0.1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</row>
    <row r="663" spans="1:19" ht="12.75" customHeight="1" x14ac:dyDescent="0.1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</row>
    <row r="664" spans="1:19" ht="12.75" customHeight="1" x14ac:dyDescent="0.1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</row>
    <row r="665" spans="1:19" ht="12.75" customHeight="1" x14ac:dyDescent="0.1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</row>
    <row r="666" spans="1:19" ht="12.75" customHeight="1" x14ac:dyDescent="0.1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</row>
    <row r="667" spans="1:19" ht="12.75" customHeight="1" x14ac:dyDescent="0.1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</row>
    <row r="668" spans="1:19" ht="12.75" customHeight="1" x14ac:dyDescent="0.1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</row>
    <row r="669" spans="1:19" ht="12.75" customHeight="1" x14ac:dyDescent="0.1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</row>
    <row r="670" spans="1:19" ht="12.75" customHeight="1" x14ac:dyDescent="0.1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</row>
    <row r="671" spans="1:19" ht="12.75" customHeight="1" x14ac:dyDescent="0.1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</row>
    <row r="672" spans="1:19" ht="12.75" customHeight="1" x14ac:dyDescent="0.1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</row>
    <row r="673" spans="1:19" ht="12.75" customHeight="1" x14ac:dyDescent="0.1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</row>
    <row r="674" spans="1:19" ht="12.75" customHeight="1" x14ac:dyDescent="0.1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</row>
    <row r="675" spans="1:19" ht="12.75" customHeight="1" x14ac:dyDescent="0.1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</row>
    <row r="676" spans="1:19" ht="12.75" customHeight="1" x14ac:dyDescent="0.1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</row>
    <row r="677" spans="1:19" ht="12.75" customHeight="1" x14ac:dyDescent="0.1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</row>
    <row r="678" spans="1:19" ht="12.75" customHeight="1" x14ac:dyDescent="0.1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</row>
    <row r="679" spans="1:19" ht="12.75" customHeight="1" x14ac:dyDescent="0.1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</row>
    <row r="680" spans="1:19" ht="12.75" customHeight="1" x14ac:dyDescent="0.1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</row>
    <row r="681" spans="1:19" ht="12.75" customHeight="1" x14ac:dyDescent="0.1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</row>
    <row r="682" spans="1:19" ht="12.75" customHeight="1" x14ac:dyDescent="0.1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</row>
    <row r="683" spans="1:19" ht="12.75" customHeight="1" x14ac:dyDescent="0.1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</row>
    <row r="684" spans="1:19" ht="12.75" customHeight="1" x14ac:dyDescent="0.1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</row>
    <row r="685" spans="1:19" ht="12.75" customHeight="1" x14ac:dyDescent="0.1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</row>
    <row r="686" spans="1:19" ht="12.75" customHeight="1" x14ac:dyDescent="0.1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</row>
    <row r="687" spans="1:19" ht="12.75" customHeight="1" x14ac:dyDescent="0.1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</row>
    <row r="688" spans="1:19" ht="12.75" customHeight="1" x14ac:dyDescent="0.1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</row>
    <row r="689" spans="1:19" ht="12.75" customHeight="1" x14ac:dyDescent="0.1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</row>
    <row r="690" spans="1:19" ht="12.75" customHeight="1" x14ac:dyDescent="0.1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</row>
    <row r="691" spans="1:19" ht="12.75" customHeight="1" x14ac:dyDescent="0.1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</row>
    <row r="692" spans="1:19" ht="12.75" customHeight="1" x14ac:dyDescent="0.1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</row>
    <row r="693" spans="1:19" ht="12.75" customHeight="1" x14ac:dyDescent="0.1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</row>
    <row r="694" spans="1:19" ht="12.75" customHeight="1" x14ac:dyDescent="0.1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</row>
    <row r="695" spans="1:19" ht="12.75" customHeight="1" x14ac:dyDescent="0.1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</row>
    <row r="696" spans="1:19" ht="12.75" customHeight="1" x14ac:dyDescent="0.1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</row>
    <row r="697" spans="1:19" ht="12.75" customHeight="1" x14ac:dyDescent="0.1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</row>
    <row r="698" spans="1:19" ht="12.75" customHeight="1" x14ac:dyDescent="0.1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</row>
    <row r="699" spans="1:19" ht="12.75" customHeight="1" x14ac:dyDescent="0.1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</row>
    <row r="700" spans="1:19" ht="12.75" customHeight="1" x14ac:dyDescent="0.1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</row>
    <row r="701" spans="1:19" ht="12.75" customHeight="1" x14ac:dyDescent="0.1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</row>
    <row r="702" spans="1:19" ht="12.75" customHeight="1" x14ac:dyDescent="0.1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</row>
    <row r="703" spans="1:19" ht="12.75" customHeight="1" x14ac:dyDescent="0.1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</row>
    <row r="704" spans="1:19" ht="12.75" customHeight="1" x14ac:dyDescent="0.1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</row>
    <row r="705" spans="1:19" ht="12.75" customHeight="1" x14ac:dyDescent="0.1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</row>
    <row r="706" spans="1:19" ht="12.75" customHeight="1" x14ac:dyDescent="0.1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</row>
    <row r="707" spans="1:19" ht="12.75" customHeight="1" x14ac:dyDescent="0.1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</row>
    <row r="708" spans="1:19" ht="12.75" customHeight="1" x14ac:dyDescent="0.1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</row>
    <row r="709" spans="1:19" ht="12.75" customHeight="1" x14ac:dyDescent="0.1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</row>
    <row r="710" spans="1:19" ht="12.75" customHeight="1" x14ac:dyDescent="0.1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</row>
    <row r="711" spans="1:19" ht="12.75" customHeight="1" x14ac:dyDescent="0.1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</row>
    <row r="712" spans="1:19" ht="12.75" customHeight="1" x14ac:dyDescent="0.1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</row>
    <row r="713" spans="1:19" ht="12.75" customHeight="1" x14ac:dyDescent="0.1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</row>
    <row r="714" spans="1:19" ht="12.75" customHeight="1" x14ac:dyDescent="0.1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</row>
    <row r="715" spans="1:19" ht="12.75" customHeight="1" x14ac:dyDescent="0.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</row>
    <row r="716" spans="1:19" ht="12.75" customHeight="1" x14ac:dyDescent="0.1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</row>
    <row r="717" spans="1:19" ht="12.75" customHeight="1" x14ac:dyDescent="0.1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</row>
    <row r="718" spans="1:19" ht="12.75" customHeight="1" x14ac:dyDescent="0.1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</row>
    <row r="719" spans="1:19" ht="12.75" customHeight="1" x14ac:dyDescent="0.1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</row>
    <row r="720" spans="1:19" ht="12.75" customHeight="1" x14ac:dyDescent="0.1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</row>
    <row r="721" spans="1:19" ht="12.75" customHeight="1" x14ac:dyDescent="0.1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</row>
    <row r="722" spans="1:19" ht="12.75" customHeight="1" x14ac:dyDescent="0.1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</row>
    <row r="723" spans="1:19" ht="12.75" customHeight="1" x14ac:dyDescent="0.1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</row>
    <row r="724" spans="1:19" ht="12.75" customHeight="1" x14ac:dyDescent="0.1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</row>
    <row r="725" spans="1:19" ht="12.75" customHeight="1" x14ac:dyDescent="0.1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</row>
    <row r="726" spans="1:19" ht="12.75" customHeight="1" x14ac:dyDescent="0.1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</row>
    <row r="727" spans="1:19" ht="12.75" customHeight="1" x14ac:dyDescent="0.1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</row>
    <row r="728" spans="1:19" ht="12.75" customHeight="1" x14ac:dyDescent="0.1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</row>
    <row r="729" spans="1:19" ht="12.75" customHeight="1" x14ac:dyDescent="0.1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</row>
    <row r="730" spans="1:19" ht="12.75" customHeight="1" x14ac:dyDescent="0.1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</row>
    <row r="731" spans="1:19" ht="12.75" customHeight="1" x14ac:dyDescent="0.1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</row>
    <row r="732" spans="1:19" ht="12.75" customHeight="1" x14ac:dyDescent="0.1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</row>
    <row r="733" spans="1:19" ht="12.75" customHeight="1" x14ac:dyDescent="0.1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</row>
    <row r="734" spans="1:19" ht="12.75" customHeight="1" x14ac:dyDescent="0.1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</row>
    <row r="735" spans="1:19" ht="12.75" customHeight="1" x14ac:dyDescent="0.1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</row>
    <row r="736" spans="1:19" ht="12.75" customHeight="1" x14ac:dyDescent="0.1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</row>
    <row r="737" spans="1:19" ht="12.75" customHeight="1" x14ac:dyDescent="0.1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</row>
    <row r="738" spans="1:19" ht="12.75" customHeight="1" x14ac:dyDescent="0.1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</row>
    <row r="739" spans="1:19" ht="12.75" customHeight="1" x14ac:dyDescent="0.1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</row>
    <row r="740" spans="1:19" ht="12.75" customHeight="1" x14ac:dyDescent="0.1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</row>
    <row r="741" spans="1:19" ht="12.75" customHeight="1" x14ac:dyDescent="0.1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</row>
    <row r="742" spans="1:19" ht="12.75" customHeight="1" x14ac:dyDescent="0.1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</row>
    <row r="743" spans="1:19" ht="12.75" customHeight="1" x14ac:dyDescent="0.1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</row>
    <row r="744" spans="1:19" ht="12.75" customHeight="1" x14ac:dyDescent="0.1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</row>
    <row r="745" spans="1:19" ht="12.75" customHeight="1" x14ac:dyDescent="0.1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</row>
    <row r="746" spans="1:19" ht="12.75" customHeight="1" x14ac:dyDescent="0.1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</row>
    <row r="747" spans="1:19" ht="12.75" customHeight="1" x14ac:dyDescent="0.1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</row>
    <row r="748" spans="1:19" ht="12.75" customHeight="1" x14ac:dyDescent="0.1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</row>
    <row r="749" spans="1:19" ht="12.75" customHeight="1" x14ac:dyDescent="0.1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</row>
    <row r="750" spans="1:19" ht="12.75" customHeight="1" x14ac:dyDescent="0.1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</row>
    <row r="751" spans="1:19" ht="12.75" customHeight="1" x14ac:dyDescent="0.1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</row>
    <row r="752" spans="1:19" ht="12.75" customHeight="1" x14ac:dyDescent="0.1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</row>
    <row r="753" spans="1:19" ht="12.75" customHeight="1" x14ac:dyDescent="0.1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</row>
    <row r="754" spans="1:19" ht="12.75" customHeight="1" x14ac:dyDescent="0.1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</row>
    <row r="755" spans="1:19" ht="12.75" customHeight="1" x14ac:dyDescent="0.1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</row>
    <row r="756" spans="1:19" ht="12.75" customHeight="1" x14ac:dyDescent="0.1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</row>
    <row r="757" spans="1:19" ht="12.75" customHeight="1" x14ac:dyDescent="0.1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</row>
    <row r="758" spans="1:19" ht="12.75" customHeight="1" x14ac:dyDescent="0.1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</row>
    <row r="759" spans="1:19" ht="12.75" customHeight="1" x14ac:dyDescent="0.1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</row>
    <row r="760" spans="1:19" ht="12.75" customHeight="1" x14ac:dyDescent="0.1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</row>
    <row r="761" spans="1:19" ht="12.75" customHeight="1" x14ac:dyDescent="0.1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</row>
    <row r="762" spans="1:19" ht="12.75" customHeight="1" x14ac:dyDescent="0.1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</row>
    <row r="763" spans="1:19" ht="12.75" customHeight="1" x14ac:dyDescent="0.1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</row>
    <row r="764" spans="1:19" ht="12.75" customHeight="1" x14ac:dyDescent="0.1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</row>
    <row r="765" spans="1:19" ht="12.75" customHeight="1" x14ac:dyDescent="0.1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</row>
    <row r="766" spans="1:19" ht="12.75" customHeight="1" x14ac:dyDescent="0.1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</row>
    <row r="767" spans="1:19" ht="12.75" customHeight="1" x14ac:dyDescent="0.1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</row>
    <row r="768" spans="1:19" ht="12.75" customHeight="1" x14ac:dyDescent="0.1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</row>
    <row r="769" spans="1:19" ht="12.75" customHeight="1" x14ac:dyDescent="0.1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</row>
    <row r="770" spans="1:19" ht="12.75" customHeight="1" x14ac:dyDescent="0.1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</row>
    <row r="771" spans="1:19" ht="12.75" customHeight="1" x14ac:dyDescent="0.1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</row>
    <row r="772" spans="1:19" ht="12.75" customHeight="1" x14ac:dyDescent="0.1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</row>
    <row r="773" spans="1:19" ht="12.75" customHeight="1" x14ac:dyDescent="0.1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</row>
    <row r="774" spans="1:19" ht="12.75" customHeight="1" x14ac:dyDescent="0.1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</row>
    <row r="775" spans="1:19" ht="12.75" customHeight="1" x14ac:dyDescent="0.1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</row>
    <row r="776" spans="1:19" ht="12.75" customHeight="1" x14ac:dyDescent="0.1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</row>
    <row r="777" spans="1:19" ht="12.75" customHeight="1" x14ac:dyDescent="0.1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</row>
    <row r="778" spans="1:19" ht="12.75" customHeight="1" x14ac:dyDescent="0.1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</row>
    <row r="779" spans="1:19" ht="12.75" customHeight="1" x14ac:dyDescent="0.1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</row>
    <row r="780" spans="1:19" ht="12.75" customHeight="1" x14ac:dyDescent="0.1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</row>
    <row r="781" spans="1:19" ht="12.75" customHeight="1" x14ac:dyDescent="0.1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</row>
    <row r="782" spans="1:19" ht="12.75" customHeight="1" x14ac:dyDescent="0.1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</row>
    <row r="783" spans="1:19" ht="12.75" customHeight="1" x14ac:dyDescent="0.1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</row>
    <row r="784" spans="1:19" ht="12.75" customHeight="1" x14ac:dyDescent="0.1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</row>
    <row r="785" spans="1:19" ht="12.75" customHeight="1" x14ac:dyDescent="0.1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</row>
    <row r="786" spans="1:19" ht="12.75" customHeight="1" x14ac:dyDescent="0.1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</row>
    <row r="787" spans="1:19" ht="12.75" customHeight="1" x14ac:dyDescent="0.1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</row>
    <row r="788" spans="1:19" ht="12.75" customHeight="1" x14ac:dyDescent="0.1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</row>
    <row r="789" spans="1:19" ht="12.75" customHeight="1" x14ac:dyDescent="0.1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</row>
    <row r="790" spans="1:19" ht="12.75" customHeight="1" x14ac:dyDescent="0.1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</row>
    <row r="791" spans="1:19" ht="12.75" customHeight="1" x14ac:dyDescent="0.1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</row>
    <row r="792" spans="1:19" ht="12.75" customHeight="1" x14ac:dyDescent="0.1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</row>
    <row r="793" spans="1:19" ht="12.75" customHeight="1" x14ac:dyDescent="0.1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</row>
    <row r="794" spans="1:19" ht="12.75" customHeight="1" x14ac:dyDescent="0.1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</row>
    <row r="795" spans="1:19" ht="12.75" customHeight="1" x14ac:dyDescent="0.1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</row>
    <row r="796" spans="1:19" ht="12.75" customHeight="1" x14ac:dyDescent="0.1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</row>
    <row r="797" spans="1:19" ht="12.75" customHeight="1" x14ac:dyDescent="0.1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</row>
    <row r="798" spans="1:19" ht="12.75" customHeight="1" x14ac:dyDescent="0.1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</row>
    <row r="799" spans="1:19" ht="12.75" customHeight="1" x14ac:dyDescent="0.1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</row>
    <row r="800" spans="1:19" ht="12.75" customHeight="1" x14ac:dyDescent="0.1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</row>
    <row r="801" spans="1:19" ht="12.75" customHeight="1" x14ac:dyDescent="0.1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</row>
    <row r="802" spans="1:19" ht="12.75" customHeight="1" x14ac:dyDescent="0.1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</row>
    <row r="803" spans="1:19" ht="12.75" customHeight="1" x14ac:dyDescent="0.1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</row>
    <row r="804" spans="1:19" ht="12.75" customHeight="1" x14ac:dyDescent="0.1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</row>
    <row r="805" spans="1:19" ht="12.75" customHeight="1" x14ac:dyDescent="0.1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</row>
    <row r="806" spans="1:19" ht="12.75" customHeight="1" x14ac:dyDescent="0.1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</row>
    <row r="807" spans="1:19" ht="12.75" customHeight="1" x14ac:dyDescent="0.1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</row>
    <row r="808" spans="1:19" ht="12.75" customHeight="1" x14ac:dyDescent="0.1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</row>
    <row r="809" spans="1:19" ht="12.75" customHeight="1" x14ac:dyDescent="0.1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</row>
    <row r="810" spans="1:19" ht="12.75" customHeight="1" x14ac:dyDescent="0.1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</row>
    <row r="811" spans="1:19" ht="12.75" customHeight="1" x14ac:dyDescent="0.1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</row>
    <row r="812" spans="1:19" ht="12.75" customHeight="1" x14ac:dyDescent="0.1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</row>
    <row r="813" spans="1:19" ht="12.75" customHeight="1" x14ac:dyDescent="0.1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</row>
    <row r="814" spans="1:19" ht="12.75" customHeight="1" x14ac:dyDescent="0.1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</row>
    <row r="815" spans="1:19" ht="12.75" customHeight="1" x14ac:dyDescent="0.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</row>
    <row r="816" spans="1:19" ht="12.75" customHeight="1" x14ac:dyDescent="0.1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</row>
    <row r="817" spans="1:19" ht="12.75" customHeight="1" x14ac:dyDescent="0.1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</row>
    <row r="818" spans="1:19" ht="12.75" customHeight="1" x14ac:dyDescent="0.1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</row>
    <row r="819" spans="1:19" ht="12.75" customHeight="1" x14ac:dyDescent="0.1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</row>
    <row r="820" spans="1:19" ht="12.75" customHeight="1" x14ac:dyDescent="0.1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</row>
    <row r="821" spans="1:19" ht="12.75" customHeight="1" x14ac:dyDescent="0.1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</row>
    <row r="822" spans="1:19" ht="12.75" customHeight="1" x14ac:dyDescent="0.1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</row>
    <row r="823" spans="1:19" ht="12.75" customHeight="1" x14ac:dyDescent="0.1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</row>
    <row r="824" spans="1:19" ht="12.75" customHeight="1" x14ac:dyDescent="0.1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</row>
    <row r="825" spans="1:19" ht="12.75" customHeight="1" x14ac:dyDescent="0.1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</row>
    <row r="826" spans="1:19" ht="12.75" customHeight="1" x14ac:dyDescent="0.1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</row>
    <row r="827" spans="1:19" ht="12.75" customHeight="1" x14ac:dyDescent="0.1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</row>
    <row r="828" spans="1:19" ht="12.75" customHeight="1" x14ac:dyDescent="0.1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</row>
    <row r="829" spans="1:19" ht="12.75" customHeight="1" x14ac:dyDescent="0.1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</row>
    <row r="830" spans="1:19" ht="12.75" customHeight="1" x14ac:dyDescent="0.1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</row>
    <row r="831" spans="1:19" ht="12.75" customHeight="1" x14ac:dyDescent="0.1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</row>
    <row r="832" spans="1:19" ht="12.75" customHeight="1" x14ac:dyDescent="0.1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</row>
    <row r="833" spans="1:19" ht="12.75" customHeight="1" x14ac:dyDescent="0.1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</row>
    <row r="834" spans="1:19" ht="12.75" customHeight="1" x14ac:dyDescent="0.1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</row>
    <row r="835" spans="1:19" ht="12.75" customHeight="1" x14ac:dyDescent="0.1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</row>
    <row r="836" spans="1:19" ht="12.75" customHeight="1" x14ac:dyDescent="0.1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</row>
    <row r="837" spans="1:19" ht="12.75" customHeight="1" x14ac:dyDescent="0.1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</row>
    <row r="838" spans="1:19" ht="12.75" customHeight="1" x14ac:dyDescent="0.1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</row>
    <row r="839" spans="1:19" ht="12.75" customHeight="1" x14ac:dyDescent="0.1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</row>
    <row r="840" spans="1:19" ht="12.75" customHeight="1" x14ac:dyDescent="0.1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</row>
    <row r="841" spans="1:19" ht="12.75" customHeight="1" x14ac:dyDescent="0.1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</row>
    <row r="842" spans="1:19" ht="12.75" customHeight="1" x14ac:dyDescent="0.1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</row>
    <row r="843" spans="1:19" ht="12.75" customHeight="1" x14ac:dyDescent="0.1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</row>
    <row r="844" spans="1:19" ht="12.75" customHeight="1" x14ac:dyDescent="0.1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</row>
    <row r="845" spans="1:19" ht="12.75" customHeight="1" x14ac:dyDescent="0.1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</row>
    <row r="846" spans="1:19" ht="12.75" customHeight="1" x14ac:dyDescent="0.1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</row>
    <row r="847" spans="1:19" ht="12.75" customHeight="1" x14ac:dyDescent="0.1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</row>
    <row r="848" spans="1:19" ht="12.75" customHeight="1" x14ac:dyDescent="0.1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</row>
    <row r="849" spans="1:19" ht="12.75" customHeight="1" x14ac:dyDescent="0.1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</row>
    <row r="850" spans="1:19" ht="12.75" customHeight="1" x14ac:dyDescent="0.1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</row>
    <row r="851" spans="1:19" ht="12.75" customHeight="1" x14ac:dyDescent="0.1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</row>
    <row r="852" spans="1:19" ht="12.75" customHeight="1" x14ac:dyDescent="0.1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</row>
    <row r="853" spans="1:19" ht="12.75" customHeight="1" x14ac:dyDescent="0.1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</row>
    <row r="854" spans="1:19" ht="12.75" customHeight="1" x14ac:dyDescent="0.1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</row>
    <row r="855" spans="1:19" ht="12.75" customHeight="1" x14ac:dyDescent="0.1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</row>
    <row r="856" spans="1:19" ht="12.75" customHeight="1" x14ac:dyDescent="0.1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</row>
    <row r="857" spans="1:19" ht="12.75" customHeight="1" x14ac:dyDescent="0.1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</row>
    <row r="858" spans="1:19" ht="12.75" customHeight="1" x14ac:dyDescent="0.1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</row>
    <row r="859" spans="1:19" ht="12.75" customHeight="1" x14ac:dyDescent="0.1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</row>
    <row r="860" spans="1:19" ht="12.75" customHeight="1" x14ac:dyDescent="0.1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</row>
    <row r="861" spans="1:19" ht="12.75" customHeight="1" x14ac:dyDescent="0.1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</row>
    <row r="862" spans="1:19" ht="12.75" customHeight="1" x14ac:dyDescent="0.1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</row>
    <row r="863" spans="1:19" ht="12.75" customHeight="1" x14ac:dyDescent="0.1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</row>
    <row r="864" spans="1:19" ht="12.75" customHeight="1" x14ac:dyDescent="0.1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</row>
    <row r="865" spans="1:19" ht="12.75" customHeight="1" x14ac:dyDescent="0.1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</row>
    <row r="866" spans="1:19" ht="12.75" customHeight="1" x14ac:dyDescent="0.1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</row>
    <row r="867" spans="1:19" ht="12.75" customHeight="1" x14ac:dyDescent="0.1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</row>
    <row r="868" spans="1:19" ht="12.75" customHeight="1" x14ac:dyDescent="0.1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</row>
    <row r="869" spans="1:19" ht="12.75" customHeight="1" x14ac:dyDescent="0.1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</row>
    <row r="870" spans="1:19" ht="12.75" customHeight="1" x14ac:dyDescent="0.1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</row>
    <row r="871" spans="1:19" ht="12.75" customHeight="1" x14ac:dyDescent="0.1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</row>
    <row r="872" spans="1:19" ht="12.75" customHeight="1" x14ac:dyDescent="0.1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</row>
    <row r="873" spans="1:19" ht="12.75" customHeight="1" x14ac:dyDescent="0.1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</row>
    <row r="874" spans="1:19" ht="12.75" customHeight="1" x14ac:dyDescent="0.1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</row>
    <row r="875" spans="1:19" ht="12.75" customHeight="1" x14ac:dyDescent="0.1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</row>
    <row r="876" spans="1:19" ht="12.75" customHeight="1" x14ac:dyDescent="0.1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</row>
    <row r="877" spans="1:19" ht="12.75" customHeight="1" x14ac:dyDescent="0.1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</row>
    <row r="878" spans="1:19" ht="12.75" customHeight="1" x14ac:dyDescent="0.1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</row>
    <row r="879" spans="1:19" ht="12.75" customHeight="1" x14ac:dyDescent="0.1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</row>
    <row r="880" spans="1:19" ht="12.75" customHeight="1" x14ac:dyDescent="0.1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</row>
    <row r="881" spans="1:19" ht="12.75" customHeight="1" x14ac:dyDescent="0.1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</row>
    <row r="882" spans="1:19" ht="12.75" customHeight="1" x14ac:dyDescent="0.1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</row>
    <row r="883" spans="1:19" ht="12.75" customHeight="1" x14ac:dyDescent="0.1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</row>
    <row r="884" spans="1:19" ht="12.75" customHeight="1" x14ac:dyDescent="0.1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</row>
    <row r="885" spans="1:19" ht="12.75" customHeight="1" x14ac:dyDescent="0.1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</row>
    <row r="886" spans="1:19" ht="12.75" customHeight="1" x14ac:dyDescent="0.1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</row>
    <row r="887" spans="1:19" ht="12.75" customHeight="1" x14ac:dyDescent="0.1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</row>
    <row r="888" spans="1:19" ht="12.75" customHeight="1" x14ac:dyDescent="0.1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</row>
    <row r="889" spans="1:19" ht="12.75" customHeight="1" x14ac:dyDescent="0.1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</row>
    <row r="890" spans="1:19" ht="12.75" customHeight="1" x14ac:dyDescent="0.1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</row>
    <row r="891" spans="1:19" ht="12.75" customHeight="1" x14ac:dyDescent="0.1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</row>
    <row r="892" spans="1:19" ht="12.75" customHeight="1" x14ac:dyDescent="0.1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</row>
    <row r="893" spans="1:19" ht="12.75" customHeight="1" x14ac:dyDescent="0.1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</row>
    <row r="894" spans="1:19" ht="12.75" customHeight="1" x14ac:dyDescent="0.1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</row>
    <row r="895" spans="1:19" ht="12.75" customHeight="1" x14ac:dyDescent="0.1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</row>
    <row r="896" spans="1:19" ht="12.75" customHeight="1" x14ac:dyDescent="0.1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</row>
    <row r="897" spans="1:19" ht="12.75" customHeight="1" x14ac:dyDescent="0.1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</row>
    <row r="898" spans="1:19" ht="12.75" customHeight="1" x14ac:dyDescent="0.1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</row>
    <row r="899" spans="1:19" ht="12.75" customHeight="1" x14ac:dyDescent="0.1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</row>
    <row r="900" spans="1:19" ht="12.75" customHeight="1" x14ac:dyDescent="0.1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</row>
    <row r="901" spans="1:19" ht="12.75" customHeight="1" x14ac:dyDescent="0.1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</row>
    <row r="902" spans="1:19" ht="12.75" customHeight="1" x14ac:dyDescent="0.1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</row>
    <row r="903" spans="1:19" ht="12.75" customHeight="1" x14ac:dyDescent="0.1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</row>
    <row r="904" spans="1:19" ht="12.75" customHeight="1" x14ac:dyDescent="0.1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</row>
    <row r="905" spans="1:19" ht="12.75" customHeight="1" x14ac:dyDescent="0.1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</row>
    <row r="906" spans="1:19" ht="12.75" customHeight="1" x14ac:dyDescent="0.1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</row>
    <row r="907" spans="1:19" ht="12.75" customHeight="1" x14ac:dyDescent="0.1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</row>
    <row r="908" spans="1:19" ht="12.75" customHeight="1" x14ac:dyDescent="0.1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</row>
    <row r="909" spans="1:19" ht="12.75" customHeight="1" x14ac:dyDescent="0.1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</row>
    <row r="910" spans="1:19" ht="12.75" customHeight="1" x14ac:dyDescent="0.1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</row>
    <row r="911" spans="1:19" ht="12.75" customHeight="1" x14ac:dyDescent="0.1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</row>
    <row r="912" spans="1:19" ht="12.75" customHeight="1" x14ac:dyDescent="0.1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</row>
    <row r="913" spans="1:19" ht="12.75" customHeight="1" x14ac:dyDescent="0.1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</row>
    <row r="914" spans="1:19" ht="12.75" customHeight="1" x14ac:dyDescent="0.1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</row>
    <row r="915" spans="1:19" ht="12.75" customHeight="1" x14ac:dyDescent="0.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</row>
    <row r="916" spans="1:19" ht="12.75" customHeight="1" x14ac:dyDescent="0.1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</row>
    <row r="917" spans="1:19" ht="12.75" customHeight="1" x14ac:dyDescent="0.1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</row>
    <row r="918" spans="1:19" ht="12.75" customHeight="1" x14ac:dyDescent="0.1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</row>
    <row r="919" spans="1:19" ht="12.75" customHeight="1" x14ac:dyDescent="0.1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</row>
    <row r="920" spans="1:19" ht="12.75" customHeight="1" x14ac:dyDescent="0.1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</row>
    <row r="921" spans="1:19" ht="12.75" customHeight="1" x14ac:dyDescent="0.1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</row>
    <row r="922" spans="1:19" ht="12.75" customHeight="1" x14ac:dyDescent="0.1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</row>
    <row r="923" spans="1:19" ht="12.75" customHeight="1" x14ac:dyDescent="0.1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</row>
    <row r="924" spans="1:19" ht="12.75" customHeight="1" x14ac:dyDescent="0.1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</row>
    <row r="925" spans="1:19" ht="12.75" customHeight="1" x14ac:dyDescent="0.1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</row>
    <row r="926" spans="1:19" ht="12.75" customHeight="1" x14ac:dyDescent="0.1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</row>
    <row r="927" spans="1:19" ht="12.75" customHeight="1" x14ac:dyDescent="0.1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</row>
    <row r="928" spans="1:19" ht="12.75" customHeight="1" x14ac:dyDescent="0.1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</row>
    <row r="929" spans="1:19" ht="12.75" customHeight="1" x14ac:dyDescent="0.1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</row>
    <row r="930" spans="1:19" ht="12.75" customHeight="1" x14ac:dyDescent="0.1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</row>
    <row r="931" spans="1:19" ht="12.75" customHeight="1" x14ac:dyDescent="0.1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</row>
    <row r="932" spans="1:19" ht="12.75" customHeight="1" x14ac:dyDescent="0.1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</row>
    <row r="933" spans="1:19" ht="12.75" customHeight="1" x14ac:dyDescent="0.1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</row>
    <row r="934" spans="1:19" ht="12.75" customHeight="1" x14ac:dyDescent="0.1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</row>
    <row r="935" spans="1:19" ht="12.75" customHeight="1" x14ac:dyDescent="0.1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</row>
    <row r="936" spans="1:19" ht="12.75" customHeight="1" x14ac:dyDescent="0.1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</row>
    <row r="937" spans="1:19" ht="12.75" customHeight="1" x14ac:dyDescent="0.1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</row>
    <row r="938" spans="1:19" ht="12.75" customHeight="1" x14ac:dyDescent="0.1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</row>
    <row r="939" spans="1:19" ht="12.75" customHeight="1" x14ac:dyDescent="0.1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</row>
    <row r="940" spans="1:19" ht="12.75" customHeight="1" x14ac:dyDescent="0.1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</row>
    <row r="941" spans="1:19" ht="12.75" customHeight="1" x14ac:dyDescent="0.1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</row>
    <row r="942" spans="1:19" ht="12.75" customHeight="1" x14ac:dyDescent="0.1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</row>
    <row r="943" spans="1:19" ht="12.75" customHeight="1" x14ac:dyDescent="0.1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</row>
    <row r="944" spans="1:19" ht="12.75" customHeight="1" x14ac:dyDescent="0.1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</row>
    <row r="945" spans="1:19" ht="12.75" customHeight="1" x14ac:dyDescent="0.1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</row>
    <row r="946" spans="1:19" ht="12.75" customHeight="1" x14ac:dyDescent="0.1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</row>
    <row r="947" spans="1:19" ht="12.75" customHeight="1" x14ac:dyDescent="0.1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</row>
    <row r="948" spans="1:19" ht="12.75" customHeight="1" x14ac:dyDescent="0.1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</row>
    <row r="949" spans="1:19" ht="12.75" customHeight="1" x14ac:dyDescent="0.1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</row>
    <row r="950" spans="1:19" ht="12.75" customHeight="1" x14ac:dyDescent="0.1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</row>
    <row r="951" spans="1:19" ht="12.75" customHeight="1" x14ac:dyDescent="0.1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</row>
    <row r="952" spans="1:19" ht="12.75" customHeight="1" x14ac:dyDescent="0.1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</row>
    <row r="953" spans="1:19" ht="12.75" customHeight="1" x14ac:dyDescent="0.1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</row>
    <row r="954" spans="1:19" ht="12.75" customHeight="1" x14ac:dyDescent="0.1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</row>
    <row r="955" spans="1:19" ht="12.75" customHeight="1" x14ac:dyDescent="0.1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</row>
    <row r="956" spans="1:19" ht="12.75" customHeight="1" x14ac:dyDescent="0.1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</row>
    <row r="957" spans="1:19" ht="12.75" customHeight="1" x14ac:dyDescent="0.1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</row>
    <row r="958" spans="1:19" ht="12.75" customHeight="1" x14ac:dyDescent="0.1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</row>
    <row r="959" spans="1:19" ht="12.75" customHeight="1" x14ac:dyDescent="0.1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</row>
    <row r="960" spans="1:19" ht="12.75" customHeight="1" x14ac:dyDescent="0.1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</row>
    <row r="961" spans="1:19" ht="12.75" customHeight="1" x14ac:dyDescent="0.1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</row>
    <row r="962" spans="1:19" ht="12.75" customHeight="1" x14ac:dyDescent="0.1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</row>
    <row r="963" spans="1:19" ht="12.75" customHeight="1" x14ac:dyDescent="0.1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</row>
    <row r="964" spans="1:19" ht="12.75" customHeight="1" x14ac:dyDescent="0.1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</row>
    <row r="965" spans="1:19" ht="12.75" customHeight="1" x14ac:dyDescent="0.1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</row>
    <row r="966" spans="1:19" ht="12.75" customHeight="1" x14ac:dyDescent="0.1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</row>
    <row r="967" spans="1:19" ht="12.75" customHeight="1" x14ac:dyDescent="0.1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</row>
    <row r="968" spans="1:19" ht="12.75" customHeight="1" x14ac:dyDescent="0.1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</row>
    <row r="969" spans="1:19" ht="12.75" customHeight="1" x14ac:dyDescent="0.1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</row>
    <row r="970" spans="1:19" ht="12.75" customHeight="1" x14ac:dyDescent="0.1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</row>
    <row r="971" spans="1:19" ht="12.75" customHeight="1" x14ac:dyDescent="0.1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</row>
    <row r="972" spans="1:19" ht="12.75" customHeight="1" x14ac:dyDescent="0.1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</row>
    <row r="973" spans="1:19" ht="12.75" customHeight="1" x14ac:dyDescent="0.1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</row>
    <row r="974" spans="1:19" ht="12.75" customHeight="1" x14ac:dyDescent="0.1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</row>
    <row r="975" spans="1:19" ht="12.75" customHeight="1" x14ac:dyDescent="0.1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</row>
    <row r="976" spans="1:19" ht="12.75" customHeight="1" x14ac:dyDescent="0.1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</row>
    <row r="977" spans="1:19" ht="12.75" customHeight="1" x14ac:dyDescent="0.1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</row>
    <row r="978" spans="1:19" ht="12.75" customHeight="1" x14ac:dyDescent="0.1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</row>
    <row r="979" spans="1:19" ht="12.75" customHeight="1" x14ac:dyDescent="0.1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</row>
    <row r="980" spans="1:19" ht="12.75" customHeight="1" x14ac:dyDescent="0.1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</row>
    <row r="981" spans="1:19" ht="12.75" customHeight="1" x14ac:dyDescent="0.1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</row>
    <row r="982" spans="1:19" ht="12.75" customHeight="1" x14ac:dyDescent="0.1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</row>
    <row r="983" spans="1:19" ht="12.75" customHeight="1" x14ac:dyDescent="0.1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</row>
    <row r="984" spans="1:19" ht="12.75" customHeight="1" x14ac:dyDescent="0.1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</row>
    <row r="985" spans="1:19" ht="12.75" customHeight="1" x14ac:dyDescent="0.1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</row>
    <row r="986" spans="1:19" ht="12.75" customHeight="1" x14ac:dyDescent="0.1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</row>
    <row r="987" spans="1:19" ht="12.75" customHeight="1" x14ac:dyDescent="0.1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</row>
    <row r="988" spans="1:19" ht="12.75" customHeight="1" x14ac:dyDescent="0.1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</row>
    <row r="989" spans="1:19" ht="12.75" customHeight="1" x14ac:dyDescent="0.1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</row>
    <row r="990" spans="1:19" ht="12.75" customHeight="1" x14ac:dyDescent="0.1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</row>
    <row r="991" spans="1:19" ht="12.75" customHeight="1" x14ac:dyDescent="0.1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</row>
    <row r="992" spans="1:19" ht="12.75" customHeight="1" x14ac:dyDescent="0.1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</row>
    <row r="993" spans="1:19" ht="12.75" customHeight="1" x14ac:dyDescent="0.1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</row>
    <row r="994" spans="1:19" ht="12.75" customHeight="1" x14ac:dyDescent="0.1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</row>
    <row r="995" spans="1:19" ht="12.75" customHeight="1" x14ac:dyDescent="0.1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</row>
    <row r="996" spans="1:19" ht="12.75" customHeight="1" x14ac:dyDescent="0.1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</row>
    <row r="997" spans="1:19" ht="12.75" customHeight="1" x14ac:dyDescent="0.1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</row>
    <row r="998" spans="1:19" ht="12.75" customHeight="1" x14ac:dyDescent="0.1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</row>
  </sheetData>
  <mergeCells count="2">
    <mergeCell ref="D2:E2"/>
    <mergeCell ref="D3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8"/>
  <sheetViews>
    <sheetView workbookViewId="0">
      <selection activeCell="O24" sqref="O24"/>
    </sheetView>
  </sheetViews>
  <sheetFormatPr baseColWidth="10" defaultColWidth="14.5" defaultRowHeight="15.75" customHeight="1" x14ac:dyDescent="0.15"/>
  <cols>
    <col min="1" max="1" width="6.33203125" customWidth="1"/>
    <col min="2" max="2" width="15.1640625" customWidth="1"/>
    <col min="3" max="5" width="10.83203125" customWidth="1"/>
    <col min="6" max="6" width="4.83203125" customWidth="1"/>
    <col min="7" max="7" width="10.83203125" customWidth="1"/>
    <col min="8" max="19" width="8.6640625" customWidth="1"/>
  </cols>
  <sheetData>
    <row r="1" spans="1:19" ht="12.75" customHeight="1" x14ac:dyDescent="0.15">
      <c r="A1" s="9" t="s">
        <v>94</v>
      </c>
      <c r="B1" s="10" t="s">
        <v>95</v>
      </c>
      <c r="C1" s="9" t="s">
        <v>96</v>
      </c>
      <c r="D1" s="9" t="s">
        <v>97</v>
      </c>
      <c r="E1" s="9" t="s">
        <v>98</v>
      </c>
      <c r="F1" s="11" t="s">
        <v>263</v>
      </c>
      <c r="G1" s="12" t="s">
        <v>108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ht="12.75" customHeight="1" x14ac:dyDescent="0.15">
      <c r="A2" s="13"/>
      <c r="B2" s="13"/>
      <c r="C2" s="14">
        <v>20</v>
      </c>
      <c r="D2" s="24" t="s">
        <v>98</v>
      </c>
      <c r="E2" s="25"/>
      <c r="F2" s="15">
        <v>16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ht="12.75" customHeight="1" x14ac:dyDescent="0.15">
      <c r="A3" s="13"/>
      <c r="B3" s="13"/>
      <c r="C3" s="14">
        <f>AVERAGE(C6,C10:C69)</f>
        <v>17.393442622950818</v>
      </c>
      <c r="D3" s="24" t="s">
        <v>109</v>
      </c>
      <c r="E3" s="25"/>
      <c r="F3" s="16">
        <f>AVERAGE(F6,F10:F69)/F2</f>
        <v>0.87295081967213117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ht="12.75" customHeight="1" x14ac:dyDescent="0.15">
      <c r="A4" s="17"/>
      <c r="B4" s="18" t="s">
        <v>256</v>
      </c>
      <c r="C4" s="19" t="s">
        <v>111</v>
      </c>
      <c r="D4" s="20">
        <f>SUM(A4)</f>
        <v>0</v>
      </c>
      <c r="E4" s="20"/>
      <c r="F4" s="20"/>
      <c r="G4" s="21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 ht="12.75" customHeight="1" x14ac:dyDescent="0.15">
      <c r="A5" s="17"/>
      <c r="B5" s="18" t="s">
        <v>132</v>
      </c>
      <c r="C5" s="19" t="s">
        <v>111</v>
      </c>
      <c r="D5" s="20">
        <f>SUM(A5)</f>
        <v>0</v>
      </c>
      <c r="E5" s="20"/>
      <c r="F5" s="20"/>
      <c r="G5" s="21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19" ht="12.75" customHeight="1" x14ac:dyDescent="0.15">
      <c r="A6" s="17" t="s">
        <v>158</v>
      </c>
      <c r="B6" s="18" t="s">
        <v>119</v>
      </c>
      <c r="C6" s="14">
        <f>IF($C$2&gt;0,MIN($C$2,ROUNDDOWN(D6/E6*$C$2/0.5,0)*0.5),ROUNDDOWN(D6/0.5,0)*0.5)</f>
        <v>0</v>
      </c>
      <c r="D6" s="15">
        <f>SUM(F6)</f>
        <v>0</v>
      </c>
      <c r="E6" s="15">
        <v>16</v>
      </c>
      <c r="F6" s="15">
        <v>0</v>
      </c>
      <c r="G6" s="21" t="s">
        <v>120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ht="12.75" customHeight="1" x14ac:dyDescent="0.15">
      <c r="A7" s="17"/>
      <c r="B7" s="18" t="s">
        <v>110</v>
      </c>
      <c r="C7" s="19" t="s">
        <v>111</v>
      </c>
      <c r="D7" s="20">
        <f>SUM(A7)</f>
        <v>0</v>
      </c>
      <c r="E7" s="20"/>
      <c r="F7" s="20"/>
      <c r="G7" s="21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</row>
    <row r="8" spans="1:19" ht="12.75" customHeight="1" x14ac:dyDescent="0.15">
      <c r="A8" s="17"/>
      <c r="B8" s="18" t="s">
        <v>112</v>
      </c>
      <c r="C8" s="19" t="s">
        <v>111</v>
      </c>
      <c r="D8" s="20">
        <f>SUM(A8)</f>
        <v>0</v>
      </c>
      <c r="E8" s="20"/>
      <c r="F8" s="20"/>
      <c r="G8" s="21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9" spans="1:19" ht="12.75" customHeight="1" x14ac:dyDescent="0.15">
      <c r="A9" s="17"/>
      <c r="B9" s="18" t="s">
        <v>113</v>
      </c>
      <c r="C9" s="19" t="s">
        <v>111</v>
      </c>
      <c r="D9" s="20">
        <f>SUM(A9)</f>
        <v>0</v>
      </c>
      <c r="E9" s="20"/>
      <c r="F9" s="20"/>
      <c r="G9" s="21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  <row r="10" spans="1:19" ht="12.75" customHeight="1" x14ac:dyDescent="0.15">
      <c r="A10" s="17" t="s">
        <v>131</v>
      </c>
      <c r="B10" s="18" t="s">
        <v>157</v>
      </c>
      <c r="C10" s="14">
        <f t="shared" ref="C10:C69" si="0">IF($C$2&gt;0,MIN($C$2,ROUNDDOWN(D10/E10*$C$2/0.5,0)*0.5),ROUNDDOWN(D10/0.5,0)*0.5)</f>
        <v>6</v>
      </c>
      <c r="D10" s="15">
        <f t="shared" ref="D10:D69" si="1">SUM(F10)</f>
        <v>5</v>
      </c>
      <c r="E10" s="15">
        <v>16</v>
      </c>
      <c r="F10" s="15">
        <v>5</v>
      </c>
      <c r="G10" s="21" t="s">
        <v>155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</row>
    <row r="11" spans="1:19" ht="12.75" customHeight="1" x14ac:dyDescent="0.15">
      <c r="A11" s="17" t="s">
        <v>169</v>
      </c>
      <c r="B11" s="18" t="s">
        <v>142</v>
      </c>
      <c r="C11" s="14">
        <f t="shared" si="0"/>
        <v>7.5</v>
      </c>
      <c r="D11" s="15">
        <f t="shared" si="1"/>
        <v>6</v>
      </c>
      <c r="E11" s="15">
        <v>16</v>
      </c>
      <c r="F11" s="15">
        <v>6</v>
      </c>
      <c r="G11" s="21" t="s">
        <v>142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</row>
    <row r="12" spans="1:19" ht="12.75" customHeight="1" x14ac:dyDescent="0.15">
      <c r="A12" s="17" t="s">
        <v>201</v>
      </c>
      <c r="B12" s="18" t="s">
        <v>214</v>
      </c>
      <c r="C12" s="14">
        <f t="shared" si="0"/>
        <v>8.5</v>
      </c>
      <c r="D12" s="15">
        <f t="shared" si="1"/>
        <v>7</v>
      </c>
      <c r="E12" s="15">
        <v>16</v>
      </c>
      <c r="F12" s="15">
        <v>7</v>
      </c>
      <c r="G12" s="21" t="s">
        <v>214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1:19" ht="12.75" customHeight="1" x14ac:dyDescent="0.15">
      <c r="A13" s="17" t="s">
        <v>141</v>
      </c>
      <c r="B13" s="18" t="s">
        <v>136</v>
      </c>
      <c r="C13" s="14">
        <f t="shared" si="0"/>
        <v>8.5</v>
      </c>
      <c r="D13" s="15">
        <f t="shared" si="1"/>
        <v>7</v>
      </c>
      <c r="E13" s="15">
        <v>16</v>
      </c>
      <c r="F13" s="15">
        <v>7</v>
      </c>
      <c r="G13" s="21" t="s">
        <v>136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spans="1:19" ht="12.75" customHeight="1" x14ac:dyDescent="0.15">
      <c r="A14" s="17" t="s">
        <v>188</v>
      </c>
      <c r="B14" s="18" t="s">
        <v>121</v>
      </c>
      <c r="C14" s="14">
        <f t="shared" si="0"/>
        <v>8.5</v>
      </c>
      <c r="D14" s="15">
        <f t="shared" si="1"/>
        <v>7</v>
      </c>
      <c r="E14" s="15">
        <v>16</v>
      </c>
      <c r="F14" s="15">
        <v>7</v>
      </c>
      <c r="G14" s="21" t="s">
        <v>264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</row>
    <row r="15" spans="1:19" ht="12.75" customHeight="1" x14ac:dyDescent="0.15">
      <c r="A15" s="17" t="s">
        <v>194</v>
      </c>
      <c r="B15" s="18" t="s">
        <v>167</v>
      </c>
      <c r="C15" s="14">
        <f t="shared" si="0"/>
        <v>8.5</v>
      </c>
      <c r="D15" s="15">
        <f t="shared" si="1"/>
        <v>7</v>
      </c>
      <c r="E15" s="15">
        <v>16</v>
      </c>
      <c r="F15" s="15">
        <v>7</v>
      </c>
      <c r="G15" s="21" t="s">
        <v>265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</row>
    <row r="16" spans="1:19" ht="12.75" customHeight="1" x14ac:dyDescent="0.15">
      <c r="A16" s="17" t="s">
        <v>245</v>
      </c>
      <c r="B16" s="18" t="s">
        <v>253</v>
      </c>
      <c r="C16" s="14">
        <f t="shared" si="0"/>
        <v>8.5</v>
      </c>
      <c r="D16" s="15">
        <f t="shared" si="1"/>
        <v>7</v>
      </c>
      <c r="E16" s="15">
        <v>16</v>
      </c>
      <c r="F16" s="15">
        <v>7</v>
      </c>
      <c r="G16" s="21" t="s">
        <v>253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</row>
    <row r="17" spans="1:19" ht="12.75" customHeight="1" x14ac:dyDescent="0.15">
      <c r="A17" s="17" t="s">
        <v>138</v>
      </c>
      <c r="B17" s="18" t="s">
        <v>193</v>
      </c>
      <c r="C17" s="14">
        <f t="shared" si="0"/>
        <v>10</v>
      </c>
      <c r="D17" s="15">
        <f t="shared" si="1"/>
        <v>8</v>
      </c>
      <c r="E17" s="15">
        <v>16</v>
      </c>
      <c r="F17" s="15">
        <v>8</v>
      </c>
      <c r="G17" s="21" t="s">
        <v>193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</row>
    <row r="18" spans="1:19" ht="12.75" customHeight="1" x14ac:dyDescent="0.15">
      <c r="A18" s="17" t="s">
        <v>254</v>
      </c>
      <c r="B18" s="18" t="s">
        <v>148</v>
      </c>
      <c r="C18" s="14">
        <f t="shared" si="0"/>
        <v>10</v>
      </c>
      <c r="D18" s="15">
        <f t="shared" si="1"/>
        <v>8</v>
      </c>
      <c r="E18" s="15">
        <v>16</v>
      </c>
      <c r="F18" s="15">
        <v>8</v>
      </c>
      <c r="G18" s="21" t="s">
        <v>266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spans="1:19" ht="12.75" customHeight="1" x14ac:dyDescent="0.15">
      <c r="A19" s="17" t="s">
        <v>179</v>
      </c>
      <c r="B19" s="18" t="s">
        <v>133</v>
      </c>
      <c r="C19" s="14">
        <f t="shared" si="0"/>
        <v>10</v>
      </c>
      <c r="D19" s="15">
        <f t="shared" si="1"/>
        <v>8</v>
      </c>
      <c r="E19" s="15">
        <v>16</v>
      </c>
      <c r="F19" s="15">
        <v>8</v>
      </c>
      <c r="G19" s="21" t="s">
        <v>133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</row>
    <row r="20" spans="1:19" ht="12.75" customHeight="1" x14ac:dyDescent="0.15">
      <c r="A20" s="17" t="s">
        <v>178</v>
      </c>
      <c r="B20" s="18" t="s">
        <v>259</v>
      </c>
      <c r="C20" s="14">
        <f t="shared" si="0"/>
        <v>16</v>
      </c>
      <c r="D20" s="15">
        <f t="shared" si="1"/>
        <v>13</v>
      </c>
      <c r="E20" s="15">
        <v>16</v>
      </c>
      <c r="F20" s="15">
        <v>13</v>
      </c>
      <c r="G20" s="21" t="s">
        <v>259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</row>
    <row r="21" spans="1:19" ht="12.75" customHeight="1" x14ac:dyDescent="0.15">
      <c r="A21" s="17" t="s">
        <v>145</v>
      </c>
      <c r="B21" s="18" t="s">
        <v>216</v>
      </c>
      <c r="C21" s="14">
        <f t="shared" si="0"/>
        <v>17.5</v>
      </c>
      <c r="D21" s="15">
        <f t="shared" si="1"/>
        <v>14</v>
      </c>
      <c r="E21" s="15">
        <v>16</v>
      </c>
      <c r="F21" s="15">
        <v>14</v>
      </c>
      <c r="G21" s="21" t="s">
        <v>216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</row>
    <row r="22" spans="1:19" ht="12.75" customHeight="1" x14ac:dyDescent="0.15">
      <c r="A22" s="17" t="s">
        <v>143</v>
      </c>
      <c r="B22" s="18" t="s">
        <v>123</v>
      </c>
      <c r="C22" s="14">
        <f t="shared" si="0"/>
        <v>17.5</v>
      </c>
      <c r="D22" s="15">
        <f t="shared" si="1"/>
        <v>14</v>
      </c>
      <c r="E22" s="15">
        <v>16</v>
      </c>
      <c r="F22" s="15">
        <v>14</v>
      </c>
      <c r="G22" s="21" t="s">
        <v>267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</row>
    <row r="23" spans="1:19" ht="12.75" customHeight="1" x14ac:dyDescent="0.15">
      <c r="A23" s="17" t="s">
        <v>238</v>
      </c>
      <c r="B23" s="18" t="s">
        <v>151</v>
      </c>
      <c r="C23" s="14">
        <f t="shared" si="0"/>
        <v>17.5</v>
      </c>
      <c r="D23" s="15">
        <f t="shared" si="1"/>
        <v>14</v>
      </c>
      <c r="E23" s="15">
        <v>16</v>
      </c>
      <c r="F23" s="15">
        <v>14</v>
      </c>
      <c r="G23" s="21" t="s">
        <v>151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</row>
    <row r="24" spans="1:19" ht="12.75" customHeight="1" x14ac:dyDescent="0.15">
      <c r="A24" s="17" t="s">
        <v>203</v>
      </c>
      <c r="B24" s="18" t="s">
        <v>165</v>
      </c>
      <c r="C24" s="14">
        <f t="shared" si="0"/>
        <v>18.5</v>
      </c>
      <c r="D24" s="15">
        <f t="shared" si="1"/>
        <v>15</v>
      </c>
      <c r="E24" s="15">
        <v>16</v>
      </c>
      <c r="F24" s="15">
        <v>15</v>
      </c>
      <c r="G24" s="21" t="s">
        <v>165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</row>
    <row r="25" spans="1:19" ht="12.75" customHeight="1" x14ac:dyDescent="0.15">
      <c r="A25" s="17" t="s">
        <v>174</v>
      </c>
      <c r="B25" s="18" t="s">
        <v>173</v>
      </c>
      <c r="C25" s="14">
        <f t="shared" si="0"/>
        <v>18.5</v>
      </c>
      <c r="D25" s="15">
        <f t="shared" si="1"/>
        <v>15</v>
      </c>
      <c r="E25" s="15">
        <v>16</v>
      </c>
      <c r="F25" s="15">
        <v>15</v>
      </c>
      <c r="G25" s="21" t="s">
        <v>268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pans="1:19" ht="12.75" customHeight="1" x14ac:dyDescent="0.15">
      <c r="A26" s="17" t="s">
        <v>175</v>
      </c>
      <c r="B26" s="18" t="s">
        <v>202</v>
      </c>
      <c r="C26" s="14">
        <f t="shared" si="0"/>
        <v>18.5</v>
      </c>
      <c r="D26" s="15">
        <f t="shared" si="1"/>
        <v>15</v>
      </c>
      <c r="E26" s="15">
        <v>16</v>
      </c>
      <c r="F26" s="15">
        <v>15</v>
      </c>
      <c r="G26" s="21" t="s">
        <v>202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</row>
    <row r="27" spans="1:19" ht="12.75" customHeight="1" x14ac:dyDescent="0.15">
      <c r="A27" s="17" t="s">
        <v>127</v>
      </c>
      <c r="B27" s="18" t="s">
        <v>146</v>
      </c>
      <c r="C27" s="14">
        <f t="shared" si="0"/>
        <v>18.5</v>
      </c>
      <c r="D27" s="15">
        <f t="shared" si="1"/>
        <v>15</v>
      </c>
      <c r="E27" s="15">
        <v>16</v>
      </c>
      <c r="F27" s="15">
        <v>15</v>
      </c>
      <c r="G27" s="21" t="s">
        <v>155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</row>
    <row r="28" spans="1:19" ht="12.75" customHeight="1" x14ac:dyDescent="0.15">
      <c r="A28" s="17" t="s">
        <v>184</v>
      </c>
      <c r="B28" s="18" t="s">
        <v>206</v>
      </c>
      <c r="C28" s="14">
        <f t="shared" si="0"/>
        <v>18.5</v>
      </c>
      <c r="D28" s="15">
        <f t="shared" si="1"/>
        <v>15</v>
      </c>
      <c r="E28" s="15">
        <v>16</v>
      </c>
      <c r="F28" s="15">
        <v>15</v>
      </c>
      <c r="G28" s="21" t="s">
        <v>269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</row>
    <row r="29" spans="1:19" ht="12.75" customHeight="1" x14ac:dyDescent="0.15">
      <c r="A29" s="17" t="s">
        <v>222</v>
      </c>
      <c r="B29" s="18" t="s">
        <v>260</v>
      </c>
      <c r="C29" s="14">
        <f t="shared" si="0"/>
        <v>18.5</v>
      </c>
      <c r="D29" s="15">
        <f t="shared" si="1"/>
        <v>15</v>
      </c>
      <c r="E29" s="15">
        <v>16</v>
      </c>
      <c r="F29" s="15">
        <v>15</v>
      </c>
      <c r="G29" s="21" t="s">
        <v>260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</row>
    <row r="30" spans="1:19" ht="12.75" customHeight="1" x14ac:dyDescent="0.15">
      <c r="A30" s="17" t="s">
        <v>210</v>
      </c>
      <c r="B30" s="18" t="s">
        <v>209</v>
      </c>
      <c r="C30" s="14">
        <f t="shared" si="0"/>
        <v>18.5</v>
      </c>
      <c r="D30" s="15">
        <f t="shared" si="1"/>
        <v>15</v>
      </c>
      <c r="E30" s="15">
        <v>16</v>
      </c>
      <c r="F30" s="15">
        <v>15</v>
      </c>
      <c r="G30" s="21" t="s">
        <v>155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</row>
    <row r="31" spans="1:19" ht="12.75" customHeight="1" x14ac:dyDescent="0.15">
      <c r="A31" s="17" t="s">
        <v>139</v>
      </c>
      <c r="B31" s="18" t="s">
        <v>208</v>
      </c>
      <c r="C31" s="14">
        <f t="shared" si="0"/>
        <v>18.5</v>
      </c>
      <c r="D31" s="15">
        <f t="shared" si="1"/>
        <v>15</v>
      </c>
      <c r="E31" s="15">
        <v>16</v>
      </c>
      <c r="F31" s="15">
        <v>15</v>
      </c>
      <c r="G31" s="21" t="s">
        <v>208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</row>
    <row r="32" spans="1:19" ht="12.75" customHeight="1" x14ac:dyDescent="0.15">
      <c r="A32" s="17" t="s">
        <v>219</v>
      </c>
      <c r="B32" s="18" t="s">
        <v>185</v>
      </c>
      <c r="C32" s="14">
        <f t="shared" si="0"/>
        <v>18.5</v>
      </c>
      <c r="D32" s="15">
        <f t="shared" si="1"/>
        <v>15</v>
      </c>
      <c r="E32" s="15">
        <v>16</v>
      </c>
      <c r="F32" s="15">
        <v>15</v>
      </c>
      <c r="G32" s="21" t="s">
        <v>185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</row>
    <row r="33" spans="1:19" ht="12.75" customHeight="1" x14ac:dyDescent="0.15">
      <c r="A33" s="17" t="s">
        <v>217</v>
      </c>
      <c r="B33" s="18" t="s">
        <v>200</v>
      </c>
      <c r="C33" s="14">
        <f t="shared" si="0"/>
        <v>20</v>
      </c>
      <c r="D33" s="15">
        <f t="shared" si="1"/>
        <v>16</v>
      </c>
      <c r="E33" s="15">
        <v>16</v>
      </c>
      <c r="F33" s="15">
        <v>16</v>
      </c>
      <c r="G33" s="21" t="s">
        <v>200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</row>
    <row r="34" spans="1:19" ht="12.75" customHeight="1" x14ac:dyDescent="0.15">
      <c r="A34" s="17" t="s">
        <v>182</v>
      </c>
      <c r="B34" s="18" t="s">
        <v>224</v>
      </c>
      <c r="C34" s="14">
        <f t="shared" si="0"/>
        <v>20</v>
      </c>
      <c r="D34" s="15">
        <f t="shared" si="1"/>
        <v>16</v>
      </c>
      <c r="E34" s="15">
        <v>16</v>
      </c>
      <c r="F34" s="15">
        <v>16</v>
      </c>
      <c r="G34" s="21" t="s">
        <v>224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</row>
    <row r="35" spans="1:19" ht="12.75" customHeight="1" x14ac:dyDescent="0.15">
      <c r="A35" s="17" t="s">
        <v>199</v>
      </c>
      <c r="B35" s="18" t="s">
        <v>249</v>
      </c>
      <c r="C35" s="14">
        <f t="shared" si="0"/>
        <v>20</v>
      </c>
      <c r="D35" s="15">
        <f t="shared" si="1"/>
        <v>16</v>
      </c>
      <c r="E35" s="15">
        <v>16</v>
      </c>
      <c r="F35" s="15">
        <v>16</v>
      </c>
      <c r="G35" s="21" t="s">
        <v>249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</row>
    <row r="36" spans="1:19" ht="12.75" customHeight="1" x14ac:dyDescent="0.15">
      <c r="A36" s="17" t="s">
        <v>152</v>
      </c>
      <c r="B36" s="18" t="s">
        <v>176</v>
      </c>
      <c r="C36" s="14">
        <f t="shared" si="0"/>
        <v>20</v>
      </c>
      <c r="D36" s="15">
        <f t="shared" si="1"/>
        <v>16</v>
      </c>
      <c r="E36" s="15">
        <v>16</v>
      </c>
      <c r="F36" s="15">
        <v>16</v>
      </c>
      <c r="G36" s="21" t="s">
        <v>176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</row>
    <row r="37" spans="1:19" ht="12.75" customHeight="1" x14ac:dyDescent="0.15">
      <c r="A37" s="17" t="s">
        <v>125</v>
      </c>
      <c r="B37" s="18" t="s">
        <v>211</v>
      </c>
      <c r="C37" s="14">
        <f t="shared" si="0"/>
        <v>20</v>
      </c>
      <c r="D37" s="15">
        <f t="shared" si="1"/>
        <v>16</v>
      </c>
      <c r="E37" s="15">
        <v>16</v>
      </c>
      <c r="F37" s="15">
        <v>16</v>
      </c>
      <c r="G37" s="21" t="s">
        <v>211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</row>
    <row r="38" spans="1:19" ht="12.75" customHeight="1" x14ac:dyDescent="0.15">
      <c r="A38" s="17" t="s">
        <v>197</v>
      </c>
      <c r="B38" s="18" t="s">
        <v>247</v>
      </c>
      <c r="C38" s="14">
        <f t="shared" si="0"/>
        <v>20</v>
      </c>
      <c r="D38" s="15">
        <f t="shared" si="1"/>
        <v>16</v>
      </c>
      <c r="E38" s="15">
        <v>16</v>
      </c>
      <c r="F38" s="15">
        <v>16</v>
      </c>
      <c r="G38" s="21" t="s">
        <v>247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</row>
    <row r="39" spans="1:19" ht="12.75" customHeight="1" x14ac:dyDescent="0.15">
      <c r="A39" s="17" t="s">
        <v>205</v>
      </c>
      <c r="B39" s="18" t="s">
        <v>204</v>
      </c>
      <c r="C39" s="14">
        <f t="shared" si="0"/>
        <v>20</v>
      </c>
      <c r="D39" s="15">
        <f t="shared" si="1"/>
        <v>16</v>
      </c>
      <c r="E39" s="15">
        <v>16</v>
      </c>
      <c r="F39" s="15">
        <v>16</v>
      </c>
      <c r="G39" s="21" t="s">
        <v>204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</row>
    <row r="40" spans="1:19" ht="12.75" customHeight="1" x14ac:dyDescent="0.15">
      <c r="A40" s="17" t="s">
        <v>252</v>
      </c>
      <c r="B40" s="18" t="s">
        <v>198</v>
      </c>
      <c r="C40" s="14">
        <f t="shared" si="0"/>
        <v>20</v>
      </c>
      <c r="D40" s="15">
        <f t="shared" si="1"/>
        <v>16</v>
      </c>
      <c r="E40" s="15">
        <v>16</v>
      </c>
      <c r="F40" s="15">
        <v>16</v>
      </c>
      <c r="G40" s="21" t="s">
        <v>198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</row>
    <row r="41" spans="1:19" ht="12.75" customHeight="1" x14ac:dyDescent="0.15">
      <c r="A41" s="17" t="s">
        <v>230</v>
      </c>
      <c r="B41" s="18" t="s">
        <v>258</v>
      </c>
      <c r="C41" s="14">
        <f t="shared" si="0"/>
        <v>20</v>
      </c>
      <c r="D41" s="15">
        <f t="shared" si="1"/>
        <v>16</v>
      </c>
      <c r="E41" s="15">
        <v>16</v>
      </c>
      <c r="F41" s="15">
        <v>16</v>
      </c>
      <c r="G41" s="21" t="s">
        <v>258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spans="1:19" ht="12.75" customHeight="1" x14ac:dyDescent="0.15">
      <c r="A42" s="17" t="s">
        <v>215</v>
      </c>
      <c r="B42" s="18" t="s">
        <v>117</v>
      </c>
      <c r="C42" s="14">
        <f t="shared" si="0"/>
        <v>20</v>
      </c>
      <c r="D42" s="15">
        <f t="shared" si="1"/>
        <v>16</v>
      </c>
      <c r="E42" s="15">
        <v>16</v>
      </c>
      <c r="F42" s="15">
        <v>16</v>
      </c>
      <c r="G42" s="21" t="s">
        <v>270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1:19" ht="12.75" customHeight="1" x14ac:dyDescent="0.15">
      <c r="A43" s="17" t="s">
        <v>195</v>
      </c>
      <c r="B43" s="18" t="s">
        <v>163</v>
      </c>
      <c r="C43" s="14">
        <f t="shared" si="0"/>
        <v>20</v>
      </c>
      <c r="D43" s="15">
        <f t="shared" si="1"/>
        <v>16</v>
      </c>
      <c r="E43" s="15">
        <v>16</v>
      </c>
      <c r="F43" s="15">
        <v>16</v>
      </c>
      <c r="G43" s="21" t="s">
        <v>163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1:19" ht="12.75" customHeight="1" x14ac:dyDescent="0.15">
      <c r="A44" s="17" t="s">
        <v>189</v>
      </c>
      <c r="B44" s="18" t="s">
        <v>190</v>
      </c>
      <c r="C44" s="14">
        <f t="shared" si="0"/>
        <v>20</v>
      </c>
      <c r="D44" s="15">
        <f t="shared" si="1"/>
        <v>16</v>
      </c>
      <c r="E44" s="15">
        <v>16</v>
      </c>
      <c r="F44" s="15">
        <v>16</v>
      </c>
      <c r="G44" s="21" t="s">
        <v>271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</row>
    <row r="45" spans="1:19" ht="12.75" customHeight="1" x14ac:dyDescent="0.15">
      <c r="A45" s="17" t="s">
        <v>248</v>
      </c>
      <c r="B45" s="18" t="s">
        <v>229</v>
      </c>
      <c r="C45" s="14">
        <f t="shared" si="0"/>
        <v>20</v>
      </c>
      <c r="D45" s="15">
        <f t="shared" si="1"/>
        <v>16</v>
      </c>
      <c r="E45" s="15">
        <v>16</v>
      </c>
      <c r="F45" s="15">
        <v>16</v>
      </c>
      <c r="G45" s="21" t="s">
        <v>229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</row>
    <row r="46" spans="1:19" ht="12.75" customHeight="1" x14ac:dyDescent="0.15">
      <c r="A46" s="17" t="s">
        <v>213</v>
      </c>
      <c r="B46" s="18" t="s">
        <v>154</v>
      </c>
      <c r="C46" s="14">
        <f t="shared" si="0"/>
        <v>20</v>
      </c>
      <c r="D46" s="15">
        <f t="shared" si="1"/>
        <v>16</v>
      </c>
      <c r="E46" s="15">
        <v>16</v>
      </c>
      <c r="F46" s="15">
        <v>16</v>
      </c>
      <c r="G46" s="21" t="s">
        <v>154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1:19" ht="12.75" customHeight="1" x14ac:dyDescent="0.15">
      <c r="A47" s="17" t="s">
        <v>225</v>
      </c>
      <c r="B47" s="18" t="s">
        <v>231</v>
      </c>
      <c r="C47" s="14">
        <f t="shared" si="0"/>
        <v>20</v>
      </c>
      <c r="D47" s="15">
        <f t="shared" si="1"/>
        <v>16</v>
      </c>
      <c r="E47" s="15">
        <v>16</v>
      </c>
      <c r="F47" s="15">
        <v>16</v>
      </c>
      <c r="G47" s="21" t="s">
        <v>231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1:19" ht="12.75" customHeight="1" x14ac:dyDescent="0.15">
      <c r="A48" s="17" t="s">
        <v>164</v>
      </c>
      <c r="B48" s="18" t="s">
        <v>250</v>
      </c>
      <c r="C48" s="14">
        <f t="shared" si="0"/>
        <v>20</v>
      </c>
      <c r="D48" s="15">
        <f t="shared" si="1"/>
        <v>16</v>
      </c>
      <c r="E48" s="15">
        <v>16</v>
      </c>
      <c r="F48" s="15">
        <v>16</v>
      </c>
      <c r="G48" s="21" t="s">
        <v>250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1:19" ht="12.75" customHeight="1" x14ac:dyDescent="0.15">
      <c r="A49" s="17" t="s">
        <v>192</v>
      </c>
      <c r="B49" s="18" t="s">
        <v>234</v>
      </c>
      <c r="C49" s="14">
        <f t="shared" si="0"/>
        <v>20</v>
      </c>
      <c r="D49" s="15">
        <f t="shared" si="1"/>
        <v>16</v>
      </c>
      <c r="E49" s="15">
        <v>16</v>
      </c>
      <c r="F49" s="15">
        <v>16</v>
      </c>
      <c r="G49" s="21" t="s">
        <v>234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 spans="1:19" ht="12.75" customHeight="1" x14ac:dyDescent="0.15">
      <c r="A50" s="17" t="s">
        <v>240</v>
      </c>
      <c r="B50" s="18" t="s">
        <v>144</v>
      </c>
      <c r="C50" s="14">
        <f t="shared" si="0"/>
        <v>20</v>
      </c>
      <c r="D50" s="15">
        <f t="shared" si="1"/>
        <v>16</v>
      </c>
      <c r="E50" s="15">
        <v>16</v>
      </c>
      <c r="F50" s="15">
        <v>16</v>
      </c>
      <c r="G50" s="21" t="s">
        <v>155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</row>
    <row r="51" spans="1:19" ht="12.75" customHeight="1" x14ac:dyDescent="0.15">
      <c r="A51" s="17" t="s">
        <v>118</v>
      </c>
      <c r="B51" s="18" t="s">
        <v>237</v>
      </c>
      <c r="C51" s="14">
        <f t="shared" si="0"/>
        <v>20</v>
      </c>
      <c r="D51" s="15">
        <f t="shared" si="1"/>
        <v>16</v>
      </c>
      <c r="E51" s="15">
        <v>16</v>
      </c>
      <c r="F51" s="15">
        <v>16</v>
      </c>
      <c r="G51" s="21" t="s">
        <v>155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</row>
    <row r="52" spans="1:19" ht="12.75" customHeight="1" x14ac:dyDescent="0.15">
      <c r="A52" s="17" t="s">
        <v>257</v>
      </c>
      <c r="B52" s="18" t="s">
        <v>251</v>
      </c>
      <c r="C52" s="14">
        <f t="shared" si="0"/>
        <v>20</v>
      </c>
      <c r="D52" s="15">
        <f t="shared" si="1"/>
        <v>16</v>
      </c>
      <c r="E52" s="15">
        <v>16</v>
      </c>
      <c r="F52" s="15">
        <v>16</v>
      </c>
      <c r="G52" s="21" t="s">
        <v>251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</row>
    <row r="53" spans="1:19" ht="12.75" customHeight="1" x14ac:dyDescent="0.15">
      <c r="A53" s="17" t="s">
        <v>161</v>
      </c>
      <c r="B53" s="18" t="s">
        <v>150</v>
      </c>
      <c r="C53" s="14">
        <f t="shared" si="0"/>
        <v>20</v>
      </c>
      <c r="D53" s="15">
        <f t="shared" si="1"/>
        <v>16</v>
      </c>
      <c r="E53" s="15">
        <v>16</v>
      </c>
      <c r="F53" s="15">
        <v>16</v>
      </c>
      <c r="G53" s="21" t="s">
        <v>150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</row>
    <row r="54" spans="1:19" ht="12.75" customHeight="1" x14ac:dyDescent="0.15">
      <c r="A54" s="17" t="s">
        <v>186</v>
      </c>
      <c r="B54" s="18" t="s">
        <v>239</v>
      </c>
      <c r="C54" s="14">
        <f t="shared" si="0"/>
        <v>20</v>
      </c>
      <c r="D54" s="15">
        <f t="shared" si="1"/>
        <v>16</v>
      </c>
      <c r="E54" s="15">
        <v>16</v>
      </c>
      <c r="F54" s="15">
        <v>16</v>
      </c>
      <c r="G54" s="21" t="s">
        <v>239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</row>
    <row r="55" spans="1:19" ht="12.75" customHeight="1" x14ac:dyDescent="0.15">
      <c r="A55" s="17" t="s">
        <v>232</v>
      </c>
      <c r="B55" s="18" t="s">
        <v>126</v>
      </c>
      <c r="C55" s="14">
        <f t="shared" si="0"/>
        <v>20</v>
      </c>
      <c r="D55" s="15">
        <f t="shared" si="1"/>
        <v>16</v>
      </c>
      <c r="E55" s="15">
        <v>16</v>
      </c>
      <c r="F55" s="15">
        <v>16</v>
      </c>
      <c r="G55" s="21" t="s">
        <v>126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</row>
    <row r="56" spans="1:19" ht="12.75" customHeight="1" x14ac:dyDescent="0.15">
      <c r="A56" s="17" t="s">
        <v>183</v>
      </c>
      <c r="B56" s="18" t="s">
        <v>170</v>
      </c>
      <c r="C56" s="14">
        <f t="shared" si="0"/>
        <v>20</v>
      </c>
      <c r="D56" s="15">
        <f t="shared" si="1"/>
        <v>16</v>
      </c>
      <c r="E56" s="15">
        <v>16</v>
      </c>
      <c r="F56" s="15">
        <v>16</v>
      </c>
      <c r="G56" s="21" t="s">
        <v>170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</row>
    <row r="57" spans="1:19" ht="12.75" customHeight="1" x14ac:dyDescent="0.15">
      <c r="A57" s="17" t="s">
        <v>255</v>
      </c>
      <c r="B57" s="18" t="s">
        <v>180</v>
      </c>
      <c r="C57" s="14">
        <f t="shared" si="0"/>
        <v>20</v>
      </c>
      <c r="D57" s="15">
        <f t="shared" si="1"/>
        <v>16</v>
      </c>
      <c r="E57" s="15">
        <v>16</v>
      </c>
      <c r="F57" s="15">
        <v>16</v>
      </c>
      <c r="G57" s="21" t="s">
        <v>180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</row>
    <row r="58" spans="1:19" ht="12.75" customHeight="1" x14ac:dyDescent="0.15">
      <c r="A58" s="17" t="s">
        <v>162</v>
      </c>
      <c r="B58" s="18" t="s">
        <v>242</v>
      </c>
      <c r="C58" s="14">
        <f t="shared" si="0"/>
        <v>20</v>
      </c>
      <c r="D58" s="15">
        <f t="shared" si="1"/>
        <v>16</v>
      </c>
      <c r="E58" s="15">
        <v>16</v>
      </c>
      <c r="F58" s="15">
        <v>16</v>
      </c>
      <c r="G58" s="21" t="s">
        <v>242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</row>
    <row r="59" spans="1:19" ht="12.75" customHeight="1" x14ac:dyDescent="0.15">
      <c r="A59" s="17" t="s">
        <v>227</v>
      </c>
      <c r="B59" s="18" t="s">
        <v>218</v>
      </c>
      <c r="C59" s="14">
        <f t="shared" si="0"/>
        <v>20</v>
      </c>
      <c r="D59" s="15">
        <f t="shared" si="1"/>
        <v>16</v>
      </c>
      <c r="E59" s="15">
        <v>16</v>
      </c>
      <c r="F59" s="15">
        <v>16</v>
      </c>
      <c r="G59" s="21" t="s">
        <v>218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</row>
    <row r="60" spans="1:19" ht="12.75" customHeight="1" x14ac:dyDescent="0.15">
      <c r="A60" s="17" t="s">
        <v>172</v>
      </c>
      <c r="B60" s="18" t="s">
        <v>226</v>
      </c>
      <c r="C60" s="14">
        <f t="shared" si="0"/>
        <v>20</v>
      </c>
      <c r="D60" s="15">
        <f t="shared" si="1"/>
        <v>16</v>
      </c>
      <c r="E60" s="15">
        <v>16</v>
      </c>
      <c r="F60" s="15">
        <v>16</v>
      </c>
      <c r="G60" s="21" t="s">
        <v>226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</row>
    <row r="61" spans="1:19" ht="12.75" customHeight="1" x14ac:dyDescent="0.15">
      <c r="A61" s="17" t="s">
        <v>177</v>
      </c>
      <c r="B61" s="18" t="s">
        <v>129</v>
      </c>
      <c r="C61" s="14">
        <f t="shared" si="0"/>
        <v>20</v>
      </c>
      <c r="D61" s="15">
        <f t="shared" si="1"/>
        <v>16</v>
      </c>
      <c r="E61" s="15">
        <v>16</v>
      </c>
      <c r="F61" s="15">
        <v>16</v>
      </c>
      <c r="G61" s="21" t="s">
        <v>129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</row>
    <row r="62" spans="1:19" ht="12.75" customHeight="1" x14ac:dyDescent="0.15">
      <c r="A62" s="17" t="s">
        <v>156</v>
      </c>
      <c r="B62" s="18" t="s">
        <v>153</v>
      </c>
      <c r="C62" s="14">
        <f t="shared" si="0"/>
        <v>20</v>
      </c>
      <c r="D62" s="15">
        <f t="shared" si="1"/>
        <v>16</v>
      </c>
      <c r="E62" s="15">
        <v>16</v>
      </c>
      <c r="F62" s="15">
        <v>16</v>
      </c>
      <c r="G62" s="21" t="s">
        <v>272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</row>
    <row r="63" spans="1:19" ht="12.75" customHeight="1" x14ac:dyDescent="0.15">
      <c r="A63" s="17" t="s">
        <v>220</v>
      </c>
      <c r="B63" s="18" t="s">
        <v>228</v>
      </c>
      <c r="C63" s="14">
        <f t="shared" si="0"/>
        <v>20</v>
      </c>
      <c r="D63" s="15">
        <f t="shared" si="1"/>
        <v>16</v>
      </c>
      <c r="E63" s="15">
        <v>16</v>
      </c>
      <c r="F63" s="15">
        <v>16</v>
      </c>
      <c r="G63" s="21" t="s">
        <v>228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</row>
    <row r="64" spans="1:19" ht="12.75" customHeight="1" x14ac:dyDescent="0.15">
      <c r="A64" s="17" t="s">
        <v>122</v>
      </c>
      <c r="B64" s="18" t="s">
        <v>115</v>
      </c>
      <c r="C64" s="14">
        <f t="shared" si="0"/>
        <v>20</v>
      </c>
      <c r="D64" s="15">
        <f t="shared" si="1"/>
        <v>16</v>
      </c>
      <c r="E64" s="15">
        <v>16</v>
      </c>
      <c r="F64" s="15">
        <v>16</v>
      </c>
      <c r="G64" s="21" t="s">
        <v>155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</row>
    <row r="65" spans="1:19" ht="12.75" customHeight="1" x14ac:dyDescent="0.15">
      <c r="A65" s="17" t="s">
        <v>135</v>
      </c>
      <c r="B65" s="18" t="s">
        <v>187</v>
      </c>
      <c r="C65" s="14">
        <f t="shared" si="0"/>
        <v>20</v>
      </c>
      <c r="D65" s="15">
        <f t="shared" si="1"/>
        <v>16</v>
      </c>
      <c r="E65" s="15">
        <v>16</v>
      </c>
      <c r="F65" s="15">
        <v>16</v>
      </c>
      <c r="G65" s="21" t="s">
        <v>187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</row>
    <row r="66" spans="1:19" ht="12.75" customHeight="1" x14ac:dyDescent="0.15">
      <c r="A66" s="17" t="s">
        <v>114</v>
      </c>
      <c r="B66" s="18" t="s">
        <v>137</v>
      </c>
      <c r="C66" s="14">
        <f t="shared" si="0"/>
        <v>20</v>
      </c>
      <c r="D66" s="15">
        <f t="shared" si="1"/>
        <v>16</v>
      </c>
      <c r="E66" s="15">
        <v>16</v>
      </c>
      <c r="F66" s="15">
        <v>16</v>
      </c>
      <c r="G66" s="21" t="s">
        <v>273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</row>
    <row r="67" spans="1:19" ht="12.75" customHeight="1" x14ac:dyDescent="0.15">
      <c r="A67" s="17" t="s">
        <v>221</v>
      </c>
      <c r="B67" s="18" t="s">
        <v>159</v>
      </c>
      <c r="C67" s="14">
        <f t="shared" si="0"/>
        <v>20</v>
      </c>
      <c r="D67" s="15">
        <f t="shared" si="1"/>
        <v>16</v>
      </c>
      <c r="E67" s="15">
        <v>16</v>
      </c>
      <c r="F67" s="15">
        <v>16</v>
      </c>
      <c r="G67" s="21" t="s">
        <v>159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</row>
    <row r="68" spans="1:19" ht="12.75" customHeight="1" x14ac:dyDescent="0.15">
      <c r="A68" s="17" t="s">
        <v>166</v>
      </c>
      <c r="B68" s="18" t="s">
        <v>128</v>
      </c>
      <c r="C68" s="14">
        <f t="shared" si="0"/>
        <v>20</v>
      </c>
      <c r="D68" s="15">
        <f t="shared" si="1"/>
        <v>16</v>
      </c>
      <c r="E68" s="15">
        <v>16</v>
      </c>
      <c r="F68" s="15">
        <v>16</v>
      </c>
      <c r="G68" s="21" t="s">
        <v>274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</row>
    <row r="69" spans="1:19" ht="12.75" customHeight="1" x14ac:dyDescent="0.15">
      <c r="A69" s="17" t="s">
        <v>223</v>
      </c>
      <c r="B69" s="18" t="s">
        <v>244</v>
      </c>
      <c r="C69" s="14">
        <f t="shared" si="0"/>
        <v>20</v>
      </c>
      <c r="D69" s="15">
        <f t="shared" si="1"/>
        <v>16</v>
      </c>
      <c r="E69" s="15">
        <v>16</v>
      </c>
      <c r="F69" s="15">
        <v>16</v>
      </c>
      <c r="G69" s="21" t="s">
        <v>246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</row>
    <row r="70" spans="1:19" ht="12.75" customHeight="1" x14ac:dyDescent="0.1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</row>
    <row r="71" spans="1:19" ht="12.75" customHeight="1" x14ac:dyDescent="0.1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</row>
    <row r="72" spans="1:19" ht="12.75" customHeight="1" x14ac:dyDescent="0.1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</row>
    <row r="73" spans="1:19" ht="12.75" customHeight="1" x14ac:dyDescent="0.1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</row>
    <row r="74" spans="1:19" ht="12.75" customHeight="1" x14ac:dyDescent="0.1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</row>
    <row r="75" spans="1:19" ht="12.75" customHeight="1" x14ac:dyDescent="0.1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</row>
    <row r="76" spans="1:19" ht="12.75" customHeight="1" x14ac:dyDescent="0.1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</row>
    <row r="77" spans="1:19" ht="12.75" customHeight="1" x14ac:dyDescent="0.1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</row>
    <row r="78" spans="1:19" ht="12.75" customHeight="1" x14ac:dyDescent="0.1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</row>
    <row r="79" spans="1:19" ht="12.75" customHeight="1" x14ac:dyDescent="0.1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</row>
    <row r="80" spans="1:19" ht="12.75" customHeight="1" x14ac:dyDescent="0.1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</row>
    <row r="81" spans="1:19" ht="12.75" customHeight="1" x14ac:dyDescent="0.1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</row>
    <row r="82" spans="1:19" ht="12.75" customHeight="1" x14ac:dyDescent="0.1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</row>
    <row r="83" spans="1:19" ht="12.75" customHeight="1" x14ac:dyDescent="0.1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</row>
    <row r="84" spans="1:19" ht="12.75" customHeight="1" x14ac:dyDescent="0.1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</row>
    <row r="85" spans="1:19" ht="12.75" customHeight="1" x14ac:dyDescent="0.1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</row>
    <row r="86" spans="1:19" ht="12.75" customHeight="1" x14ac:dyDescent="0.1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</row>
    <row r="87" spans="1:19" ht="12.75" customHeight="1" x14ac:dyDescent="0.1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</row>
    <row r="88" spans="1:19" ht="12.75" customHeight="1" x14ac:dyDescent="0.1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</row>
    <row r="89" spans="1:19" ht="12.75" customHeight="1" x14ac:dyDescent="0.1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</row>
    <row r="90" spans="1:19" ht="12.75" customHeight="1" x14ac:dyDescent="0.1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</row>
    <row r="91" spans="1:19" ht="12.75" customHeight="1" x14ac:dyDescent="0.1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</row>
    <row r="92" spans="1:19" ht="12.75" customHeight="1" x14ac:dyDescent="0.1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</row>
    <row r="93" spans="1:19" ht="12.75" customHeight="1" x14ac:dyDescent="0.1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</row>
    <row r="94" spans="1:19" ht="12.75" customHeight="1" x14ac:dyDescent="0.1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</row>
    <row r="95" spans="1:19" ht="12.75" customHeight="1" x14ac:dyDescent="0.1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</row>
    <row r="96" spans="1:19" ht="12.75" customHeight="1" x14ac:dyDescent="0.1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</row>
    <row r="97" spans="1:19" ht="12.75" customHeight="1" x14ac:dyDescent="0.1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</row>
    <row r="98" spans="1:19" ht="12.75" customHeight="1" x14ac:dyDescent="0.1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</row>
    <row r="99" spans="1:19" ht="12.75" customHeight="1" x14ac:dyDescent="0.1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</row>
    <row r="100" spans="1:19" ht="12.75" customHeight="1" x14ac:dyDescent="0.1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</row>
    <row r="101" spans="1:19" ht="12.75" customHeight="1" x14ac:dyDescent="0.1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</row>
    <row r="102" spans="1:19" ht="12.75" customHeight="1" x14ac:dyDescent="0.1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</row>
    <row r="103" spans="1:19" ht="12.75" customHeight="1" x14ac:dyDescent="0.1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</row>
    <row r="104" spans="1:19" ht="12.75" customHeight="1" x14ac:dyDescent="0.1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</row>
    <row r="105" spans="1:19" ht="12.75" customHeight="1" x14ac:dyDescent="0.1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</row>
    <row r="106" spans="1:19" ht="12.75" customHeight="1" x14ac:dyDescent="0.1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</row>
    <row r="107" spans="1:19" ht="12.75" customHeight="1" x14ac:dyDescent="0.1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</row>
    <row r="108" spans="1:19" ht="12.75" customHeight="1" x14ac:dyDescent="0.1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</row>
    <row r="109" spans="1:19" ht="12.75" customHeight="1" x14ac:dyDescent="0.1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</row>
    <row r="110" spans="1:19" ht="12.75" customHeight="1" x14ac:dyDescent="0.1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</row>
    <row r="111" spans="1:19" ht="12.75" customHeight="1" x14ac:dyDescent="0.1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</row>
    <row r="112" spans="1:19" ht="12.75" customHeight="1" x14ac:dyDescent="0.1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</row>
    <row r="113" spans="1:19" ht="12.75" customHeight="1" x14ac:dyDescent="0.1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</row>
    <row r="114" spans="1:19" ht="12.75" customHeight="1" x14ac:dyDescent="0.1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</row>
    <row r="115" spans="1:19" ht="12.75" customHeight="1" x14ac:dyDescent="0.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</row>
    <row r="116" spans="1:19" ht="12.75" customHeight="1" x14ac:dyDescent="0.1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</row>
    <row r="117" spans="1:19" ht="12.75" customHeight="1" x14ac:dyDescent="0.1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</row>
    <row r="118" spans="1:19" ht="12.75" customHeight="1" x14ac:dyDescent="0.1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</row>
    <row r="119" spans="1:19" ht="12.75" customHeight="1" x14ac:dyDescent="0.1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</row>
    <row r="120" spans="1:19" ht="12.75" customHeight="1" x14ac:dyDescent="0.1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</row>
    <row r="121" spans="1:19" ht="12.75" customHeight="1" x14ac:dyDescent="0.1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</row>
    <row r="122" spans="1:19" ht="12.75" customHeight="1" x14ac:dyDescent="0.1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</row>
    <row r="123" spans="1:19" ht="12.75" customHeight="1" x14ac:dyDescent="0.1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</row>
    <row r="124" spans="1:19" ht="12.75" customHeight="1" x14ac:dyDescent="0.1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</row>
    <row r="125" spans="1:19" ht="12.75" customHeight="1" x14ac:dyDescent="0.1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</row>
    <row r="126" spans="1:19" ht="12.75" customHeight="1" x14ac:dyDescent="0.1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</row>
    <row r="127" spans="1:19" ht="12.75" customHeight="1" x14ac:dyDescent="0.1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</row>
    <row r="128" spans="1:19" ht="12.75" customHeight="1" x14ac:dyDescent="0.1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</row>
    <row r="129" spans="1:19" ht="12.75" customHeight="1" x14ac:dyDescent="0.1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</row>
    <row r="130" spans="1:19" ht="12.75" customHeight="1" x14ac:dyDescent="0.1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</row>
    <row r="131" spans="1:19" ht="12.75" customHeight="1" x14ac:dyDescent="0.1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</row>
    <row r="132" spans="1:19" ht="12.75" customHeight="1" x14ac:dyDescent="0.1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</row>
    <row r="133" spans="1:19" ht="12.75" customHeight="1" x14ac:dyDescent="0.1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</row>
    <row r="134" spans="1:19" ht="12.75" customHeight="1" x14ac:dyDescent="0.1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</row>
    <row r="135" spans="1:19" ht="12.75" customHeight="1" x14ac:dyDescent="0.1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</row>
    <row r="136" spans="1:19" ht="12.75" customHeight="1" x14ac:dyDescent="0.1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</row>
    <row r="137" spans="1:19" ht="12.75" customHeight="1" x14ac:dyDescent="0.1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</row>
    <row r="138" spans="1:19" ht="12.75" customHeight="1" x14ac:dyDescent="0.1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</row>
    <row r="139" spans="1:19" ht="12.75" customHeight="1" x14ac:dyDescent="0.1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</row>
    <row r="140" spans="1:19" ht="12.75" customHeight="1" x14ac:dyDescent="0.1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</row>
    <row r="141" spans="1:19" ht="12.75" customHeight="1" x14ac:dyDescent="0.1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</row>
    <row r="142" spans="1:19" ht="12.75" customHeight="1" x14ac:dyDescent="0.1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</row>
    <row r="143" spans="1:19" ht="12.75" customHeight="1" x14ac:dyDescent="0.1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</row>
    <row r="144" spans="1:19" ht="12.75" customHeight="1" x14ac:dyDescent="0.1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</row>
    <row r="145" spans="1:19" ht="12.75" customHeight="1" x14ac:dyDescent="0.1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</row>
    <row r="146" spans="1:19" ht="12.75" customHeight="1" x14ac:dyDescent="0.1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</row>
    <row r="147" spans="1:19" ht="12.75" customHeight="1" x14ac:dyDescent="0.1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</row>
    <row r="148" spans="1:19" ht="12.75" customHeight="1" x14ac:dyDescent="0.1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</row>
    <row r="149" spans="1:19" ht="12.75" customHeight="1" x14ac:dyDescent="0.1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</row>
    <row r="150" spans="1:19" ht="12.75" customHeight="1" x14ac:dyDescent="0.1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</row>
    <row r="151" spans="1:19" ht="12.75" customHeight="1" x14ac:dyDescent="0.1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</row>
    <row r="152" spans="1:19" ht="12.75" customHeight="1" x14ac:dyDescent="0.1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</row>
    <row r="153" spans="1:19" ht="12.75" customHeight="1" x14ac:dyDescent="0.1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</row>
    <row r="154" spans="1:19" ht="12.75" customHeight="1" x14ac:dyDescent="0.1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</row>
    <row r="155" spans="1:19" ht="12.75" customHeight="1" x14ac:dyDescent="0.1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</row>
    <row r="156" spans="1:19" ht="12.75" customHeight="1" x14ac:dyDescent="0.1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</row>
    <row r="157" spans="1:19" ht="12.75" customHeight="1" x14ac:dyDescent="0.1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</row>
    <row r="158" spans="1:19" ht="12.75" customHeight="1" x14ac:dyDescent="0.1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</row>
    <row r="159" spans="1:19" ht="12.75" customHeight="1" x14ac:dyDescent="0.1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</row>
    <row r="160" spans="1:19" ht="12.75" customHeight="1" x14ac:dyDescent="0.1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</row>
    <row r="161" spans="1:19" ht="12.75" customHeight="1" x14ac:dyDescent="0.1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</row>
    <row r="162" spans="1:19" ht="12.75" customHeight="1" x14ac:dyDescent="0.1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</row>
    <row r="163" spans="1:19" ht="12.75" customHeight="1" x14ac:dyDescent="0.1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</row>
    <row r="164" spans="1:19" ht="12.75" customHeight="1" x14ac:dyDescent="0.1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</row>
    <row r="165" spans="1:19" ht="12.75" customHeight="1" x14ac:dyDescent="0.1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</row>
    <row r="166" spans="1:19" ht="12.75" customHeight="1" x14ac:dyDescent="0.1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</row>
    <row r="167" spans="1:19" ht="12.75" customHeight="1" x14ac:dyDescent="0.1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</row>
    <row r="168" spans="1:19" ht="12.75" customHeight="1" x14ac:dyDescent="0.1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</row>
    <row r="169" spans="1:19" ht="12.75" customHeight="1" x14ac:dyDescent="0.1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</row>
    <row r="170" spans="1:19" ht="12.75" customHeight="1" x14ac:dyDescent="0.1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</row>
    <row r="171" spans="1:19" ht="12.75" customHeight="1" x14ac:dyDescent="0.1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</row>
    <row r="172" spans="1:19" ht="12.75" customHeight="1" x14ac:dyDescent="0.1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</row>
    <row r="173" spans="1:19" ht="12.75" customHeight="1" x14ac:dyDescent="0.1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</row>
    <row r="174" spans="1:19" ht="12.75" customHeight="1" x14ac:dyDescent="0.1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</row>
    <row r="175" spans="1:19" ht="12.75" customHeight="1" x14ac:dyDescent="0.1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</row>
    <row r="176" spans="1:19" ht="12.75" customHeight="1" x14ac:dyDescent="0.1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</row>
    <row r="177" spans="1:19" ht="12.75" customHeight="1" x14ac:dyDescent="0.1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</row>
    <row r="178" spans="1:19" ht="12.75" customHeight="1" x14ac:dyDescent="0.1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</row>
    <row r="179" spans="1:19" ht="12.75" customHeight="1" x14ac:dyDescent="0.1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</row>
    <row r="180" spans="1:19" ht="12.75" customHeight="1" x14ac:dyDescent="0.1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</row>
    <row r="181" spans="1:19" ht="12.75" customHeight="1" x14ac:dyDescent="0.1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</row>
    <row r="182" spans="1:19" ht="12.75" customHeight="1" x14ac:dyDescent="0.1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</row>
    <row r="183" spans="1:19" ht="12.75" customHeight="1" x14ac:dyDescent="0.1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</row>
    <row r="184" spans="1:19" ht="12.75" customHeight="1" x14ac:dyDescent="0.1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</row>
    <row r="185" spans="1:19" ht="12.75" customHeight="1" x14ac:dyDescent="0.1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</row>
    <row r="186" spans="1:19" ht="12.75" customHeight="1" x14ac:dyDescent="0.1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</row>
    <row r="187" spans="1:19" ht="12.75" customHeight="1" x14ac:dyDescent="0.1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</row>
    <row r="188" spans="1:19" ht="12.75" customHeight="1" x14ac:dyDescent="0.1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</row>
    <row r="189" spans="1:19" ht="12.75" customHeight="1" x14ac:dyDescent="0.1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</row>
    <row r="190" spans="1:19" ht="12.75" customHeight="1" x14ac:dyDescent="0.1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</row>
    <row r="191" spans="1:19" ht="12.75" customHeight="1" x14ac:dyDescent="0.1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</row>
    <row r="192" spans="1:19" ht="12.75" customHeight="1" x14ac:dyDescent="0.1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</row>
    <row r="193" spans="1:19" ht="12.75" customHeight="1" x14ac:dyDescent="0.1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</row>
    <row r="194" spans="1:19" ht="12.75" customHeight="1" x14ac:dyDescent="0.1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</row>
    <row r="195" spans="1:19" ht="12.75" customHeight="1" x14ac:dyDescent="0.1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</row>
    <row r="196" spans="1:19" ht="12.75" customHeight="1" x14ac:dyDescent="0.1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</row>
    <row r="197" spans="1:19" ht="12.75" customHeight="1" x14ac:dyDescent="0.1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</row>
    <row r="198" spans="1:19" ht="12.75" customHeight="1" x14ac:dyDescent="0.1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</row>
    <row r="199" spans="1:19" ht="12.75" customHeight="1" x14ac:dyDescent="0.1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</row>
    <row r="200" spans="1:19" ht="12.75" customHeight="1" x14ac:dyDescent="0.1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</row>
    <row r="201" spans="1:19" ht="12.75" customHeight="1" x14ac:dyDescent="0.1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</row>
    <row r="202" spans="1:19" ht="12.75" customHeight="1" x14ac:dyDescent="0.1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</row>
    <row r="203" spans="1:19" ht="12.75" customHeight="1" x14ac:dyDescent="0.1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</row>
    <row r="204" spans="1:19" ht="12.75" customHeight="1" x14ac:dyDescent="0.1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</row>
    <row r="205" spans="1:19" ht="12.75" customHeight="1" x14ac:dyDescent="0.1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</row>
    <row r="206" spans="1:19" ht="12.75" customHeight="1" x14ac:dyDescent="0.1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</row>
    <row r="207" spans="1:19" ht="12.75" customHeight="1" x14ac:dyDescent="0.1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</row>
    <row r="208" spans="1:19" ht="12.75" customHeight="1" x14ac:dyDescent="0.1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</row>
    <row r="209" spans="1:19" ht="12.75" customHeight="1" x14ac:dyDescent="0.1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</row>
    <row r="210" spans="1:19" ht="12.75" customHeight="1" x14ac:dyDescent="0.1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</row>
    <row r="211" spans="1:19" ht="12.75" customHeight="1" x14ac:dyDescent="0.1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</row>
    <row r="212" spans="1:19" ht="12.75" customHeight="1" x14ac:dyDescent="0.1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</row>
    <row r="213" spans="1:19" ht="12.75" customHeight="1" x14ac:dyDescent="0.1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</row>
    <row r="214" spans="1:19" ht="12.75" customHeight="1" x14ac:dyDescent="0.1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</row>
    <row r="215" spans="1:19" ht="12.75" customHeight="1" x14ac:dyDescent="0.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</row>
    <row r="216" spans="1:19" ht="12.75" customHeight="1" x14ac:dyDescent="0.1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</row>
    <row r="217" spans="1:19" ht="12.75" customHeight="1" x14ac:dyDescent="0.1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</row>
    <row r="218" spans="1:19" ht="12.75" customHeight="1" x14ac:dyDescent="0.1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</row>
    <row r="219" spans="1:19" ht="12.75" customHeight="1" x14ac:dyDescent="0.1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</row>
    <row r="220" spans="1:19" ht="12.75" customHeight="1" x14ac:dyDescent="0.1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</row>
    <row r="221" spans="1:19" ht="12.75" customHeight="1" x14ac:dyDescent="0.1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</row>
    <row r="222" spans="1:19" ht="12.75" customHeight="1" x14ac:dyDescent="0.1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</row>
    <row r="223" spans="1:19" ht="12.75" customHeight="1" x14ac:dyDescent="0.1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</row>
    <row r="224" spans="1:19" ht="12.75" customHeight="1" x14ac:dyDescent="0.1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</row>
    <row r="225" spans="1:19" ht="12.75" customHeight="1" x14ac:dyDescent="0.1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</row>
    <row r="226" spans="1:19" ht="12.75" customHeight="1" x14ac:dyDescent="0.1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</row>
    <row r="227" spans="1:19" ht="12.75" customHeight="1" x14ac:dyDescent="0.1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</row>
    <row r="228" spans="1:19" ht="12.75" customHeight="1" x14ac:dyDescent="0.1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</row>
    <row r="229" spans="1:19" ht="12.75" customHeight="1" x14ac:dyDescent="0.1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</row>
    <row r="230" spans="1:19" ht="12.75" customHeight="1" x14ac:dyDescent="0.1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</row>
    <row r="231" spans="1:19" ht="12.75" customHeight="1" x14ac:dyDescent="0.1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</row>
    <row r="232" spans="1:19" ht="12.75" customHeight="1" x14ac:dyDescent="0.1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</row>
    <row r="233" spans="1:19" ht="12.75" customHeight="1" x14ac:dyDescent="0.1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</row>
    <row r="234" spans="1:19" ht="12.75" customHeight="1" x14ac:dyDescent="0.1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</row>
    <row r="235" spans="1:19" ht="12.75" customHeight="1" x14ac:dyDescent="0.1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</row>
    <row r="236" spans="1:19" ht="12.75" customHeight="1" x14ac:dyDescent="0.1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</row>
    <row r="237" spans="1:19" ht="12.75" customHeight="1" x14ac:dyDescent="0.1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</row>
    <row r="238" spans="1:19" ht="12.75" customHeight="1" x14ac:dyDescent="0.1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</row>
    <row r="239" spans="1:19" ht="12.75" customHeight="1" x14ac:dyDescent="0.1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</row>
    <row r="240" spans="1:19" ht="12.75" customHeight="1" x14ac:dyDescent="0.1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</row>
    <row r="241" spans="1:19" ht="12.75" customHeight="1" x14ac:dyDescent="0.1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</row>
    <row r="242" spans="1:19" ht="12.75" customHeight="1" x14ac:dyDescent="0.1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</row>
    <row r="243" spans="1:19" ht="12.75" customHeight="1" x14ac:dyDescent="0.1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</row>
    <row r="244" spans="1:19" ht="12.75" customHeight="1" x14ac:dyDescent="0.1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</row>
    <row r="245" spans="1:19" ht="12.75" customHeight="1" x14ac:dyDescent="0.1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</row>
    <row r="246" spans="1:19" ht="12.75" customHeight="1" x14ac:dyDescent="0.1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</row>
    <row r="247" spans="1:19" ht="12.75" customHeight="1" x14ac:dyDescent="0.1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</row>
    <row r="248" spans="1:19" ht="12.75" customHeight="1" x14ac:dyDescent="0.1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</row>
    <row r="249" spans="1:19" ht="12.75" customHeight="1" x14ac:dyDescent="0.1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</row>
    <row r="250" spans="1:19" ht="12.75" customHeight="1" x14ac:dyDescent="0.1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</row>
    <row r="251" spans="1:19" ht="12.75" customHeight="1" x14ac:dyDescent="0.1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</row>
    <row r="252" spans="1:19" ht="12.75" customHeight="1" x14ac:dyDescent="0.1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</row>
    <row r="253" spans="1:19" ht="12.75" customHeight="1" x14ac:dyDescent="0.1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</row>
    <row r="254" spans="1:19" ht="12.75" customHeight="1" x14ac:dyDescent="0.1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</row>
    <row r="255" spans="1:19" ht="12.75" customHeight="1" x14ac:dyDescent="0.1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</row>
    <row r="256" spans="1:19" ht="12.75" customHeight="1" x14ac:dyDescent="0.1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</row>
    <row r="257" spans="1:19" ht="12.75" customHeight="1" x14ac:dyDescent="0.1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</row>
    <row r="258" spans="1:19" ht="12.75" customHeight="1" x14ac:dyDescent="0.1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</row>
    <row r="259" spans="1:19" ht="12.75" customHeight="1" x14ac:dyDescent="0.1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</row>
    <row r="260" spans="1:19" ht="12.75" customHeight="1" x14ac:dyDescent="0.1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</row>
    <row r="261" spans="1:19" ht="12.75" customHeight="1" x14ac:dyDescent="0.1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</row>
    <row r="262" spans="1:19" ht="12.75" customHeight="1" x14ac:dyDescent="0.1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</row>
    <row r="263" spans="1:19" ht="12.75" customHeight="1" x14ac:dyDescent="0.1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</row>
    <row r="264" spans="1:19" ht="12.75" customHeight="1" x14ac:dyDescent="0.1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</row>
    <row r="265" spans="1:19" ht="12.75" customHeight="1" x14ac:dyDescent="0.1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</row>
    <row r="266" spans="1:19" ht="12.75" customHeight="1" x14ac:dyDescent="0.1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</row>
    <row r="267" spans="1:19" ht="12.75" customHeight="1" x14ac:dyDescent="0.1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</row>
    <row r="268" spans="1:19" ht="12.75" customHeight="1" x14ac:dyDescent="0.1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</row>
    <row r="269" spans="1:19" ht="12.75" customHeight="1" x14ac:dyDescent="0.1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</row>
    <row r="270" spans="1:19" ht="12.75" customHeight="1" x14ac:dyDescent="0.1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</row>
    <row r="271" spans="1:19" ht="12.75" customHeight="1" x14ac:dyDescent="0.1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</row>
    <row r="272" spans="1:19" ht="12.75" customHeight="1" x14ac:dyDescent="0.1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</row>
    <row r="273" spans="1:19" ht="12.75" customHeight="1" x14ac:dyDescent="0.1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</row>
    <row r="274" spans="1:19" ht="12.75" customHeight="1" x14ac:dyDescent="0.1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</row>
    <row r="275" spans="1:19" ht="12.75" customHeight="1" x14ac:dyDescent="0.1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</row>
    <row r="276" spans="1:19" ht="12.75" customHeight="1" x14ac:dyDescent="0.1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</row>
    <row r="277" spans="1:19" ht="12.75" customHeight="1" x14ac:dyDescent="0.1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</row>
    <row r="278" spans="1:19" ht="12.75" customHeight="1" x14ac:dyDescent="0.1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</row>
    <row r="279" spans="1:19" ht="12.75" customHeight="1" x14ac:dyDescent="0.1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</row>
    <row r="280" spans="1:19" ht="12.75" customHeight="1" x14ac:dyDescent="0.1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</row>
    <row r="281" spans="1:19" ht="12.75" customHeight="1" x14ac:dyDescent="0.1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</row>
    <row r="282" spans="1:19" ht="12.75" customHeight="1" x14ac:dyDescent="0.1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</row>
    <row r="283" spans="1:19" ht="12.75" customHeight="1" x14ac:dyDescent="0.1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</row>
    <row r="284" spans="1:19" ht="12.75" customHeight="1" x14ac:dyDescent="0.1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</row>
    <row r="285" spans="1:19" ht="12.75" customHeight="1" x14ac:dyDescent="0.1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</row>
    <row r="286" spans="1:19" ht="12.75" customHeight="1" x14ac:dyDescent="0.1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</row>
    <row r="287" spans="1:19" ht="12.75" customHeight="1" x14ac:dyDescent="0.1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</row>
    <row r="288" spans="1:19" ht="12.75" customHeight="1" x14ac:dyDescent="0.1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</row>
    <row r="289" spans="1:19" ht="12.75" customHeight="1" x14ac:dyDescent="0.1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</row>
    <row r="290" spans="1:19" ht="12.75" customHeight="1" x14ac:dyDescent="0.1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</row>
    <row r="291" spans="1:19" ht="12.75" customHeight="1" x14ac:dyDescent="0.1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</row>
    <row r="292" spans="1:19" ht="12.75" customHeight="1" x14ac:dyDescent="0.1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</row>
    <row r="293" spans="1:19" ht="12.75" customHeight="1" x14ac:dyDescent="0.1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</row>
    <row r="294" spans="1:19" ht="12.75" customHeight="1" x14ac:dyDescent="0.1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</row>
    <row r="295" spans="1:19" ht="12.75" customHeight="1" x14ac:dyDescent="0.1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</row>
    <row r="296" spans="1:19" ht="12.75" customHeight="1" x14ac:dyDescent="0.1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</row>
    <row r="297" spans="1:19" ht="12.75" customHeight="1" x14ac:dyDescent="0.1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</row>
    <row r="298" spans="1:19" ht="12.75" customHeight="1" x14ac:dyDescent="0.1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</row>
    <row r="299" spans="1:19" ht="12.75" customHeight="1" x14ac:dyDescent="0.1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</row>
    <row r="300" spans="1:19" ht="12.75" customHeight="1" x14ac:dyDescent="0.1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</row>
    <row r="301" spans="1:19" ht="12.75" customHeight="1" x14ac:dyDescent="0.1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</row>
    <row r="302" spans="1:19" ht="12.75" customHeight="1" x14ac:dyDescent="0.1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</row>
    <row r="303" spans="1:19" ht="12.75" customHeight="1" x14ac:dyDescent="0.1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</row>
    <row r="304" spans="1:19" ht="12.75" customHeight="1" x14ac:dyDescent="0.1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</row>
    <row r="305" spans="1:19" ht="12.75" customHeight="1" x14ac:dyDescent="0.1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</row>
    <row r="306" spans="1:19" ht="12.75" customHeight="1" x14ac:dyDescent="0.1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</row>
    <row r="307" spans="1:19" ht="12.75" customHeight="1" x14ac:dyDescent="0.1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</row>
    <row r="308" spans="1:19" ht="12.75" customHeight="1" x14ac:dyDescent="0.1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</row>
    <row r="309" spans="1:19" ht="12.75" customHeight="1" x14ac:dyDescent="0.1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</row>
    <row r="310" spans="1:19" ht="12.75" customHeight="1" x14ac:dyDescent="0.1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</row>
    <row r="311" spans="1:19" ht="12.75" customHeight="1" x14ac:dyDescent="0.1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</row>
    <row r="312" spans="1:19" ht="12.75" customHeight="1" x14ac:dyDescent="0.1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</row>
    <row r="313" spans="1:19" ht="12.75" customHeight="1" x14ac:dyDescent="0.1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</row>
    <row r="314" spans="1:19" ht="12.75" customHeight="1" x14ac:dyDescent="0.1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</row>
    <row r="315" spans="1:19" ht="12.75" customHeight="1" x14ac:dyDescent="0.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</row>
    <row r="316" spans="1:19" ht="12.75" customHeight="1" x14ac:dyDescent="0.1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</row>
    <row r="317" spans="1:19" ht="12.75" customHeight="1" x14ac:dyDescent="0.1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</row>
    <row r="318" spans="1:19" ht="12.75" customHeight="1" x14ac:dyDescent="0.1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</row>
    <row r="319" spans="1:19" ht="12.75" customHeight="1" x14ac:dyDescent="0.1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</row>
    <row r="320" spans="1:19" ht="12.75" customHeight="1" x14ac:dyDescent="0.1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</row>
    <row r="321" spans="1:19" ht="12.75" customHeight="1" x14ac:dyDescent="0.1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</row>
    <row r="322" spans="1:19" ht="12.75" customHeight="1" x14ac:dyDescent="0.1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</row>
    <row r="323" spans="1:19" ht="12.75" customHeight="1" x14ac:dyDescent="0.1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</row>
    <row r="324" spans="1:19" ht="12.75" customHeight="1" x14ac:dyDescent="0.1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</row>
    <row r="325" spans="1:19" ht="12.75" customHeight="1" x14ac:dyDescent="0.1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</row>
    <row r="326" spans="1:19" ht="12.75" customHeight="1" x14ac:dyDescent="0.1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</row>
    <row r="327" spans="1:19" ht="12.75" customHeight="1" x14ac:dyDescent="0.1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</row>
    <row r="328" spans="1:19" ht="12.75" customHeight="1" x14ac:dyDescent="0.1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</row>
    <row r="329" spans="1:19" ht="12.75" customHeight="1" x14ac:dyDescent="0.1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</row>
    <row r="330" spans="1:19" ht="12.75" customHeight="1" x14ac:dyDescent="0.1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</row>
    <row r="331" spans="1:19" ht="12.75" customHeight="1" x14ac:dyDescent="0.1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</row>
    <row r="332" spans="1:19" ht="12.75" customHeight="1" x14ac:dyDescent="0.1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</row>
    <row r="333" spans="1:19" ht="12.75" customHeight="1" x14ac:dyDescent="0.1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</row>
    <row r="334" spans="1:19" ht="12.75" customHeight="1" x14ac:dyDescent="0.1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</row>
    <row r="335" spans="1:19" ht="12.75" customHeight="1" x14ac:dyDescent="0.1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</row>
    <row r="336" spans="1:19" ht="12.75" customHeight="1" x14ac:dyDescent="0.1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</row>
    <row r="337" spans="1:19" ht="12.75" customHeight="1" x14ac:dyDescent="0.1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</row>
    <row r="338" spans="1:19" ht="12.75" customHeight="1" x14ac:dyDescent="0.1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</row>
    <row r="339" spans="1:19" ht="12.75" customHeight="1" x14ac:dyDescent="0.1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</row>
    <row r="340" spans="1:19" ht="12.75" customHeight="1" x14ac:dyDescent="0.1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</row>
    <row r="341" spans="1:19" ht="12.75" customHeight="1" x14ac:dyDescent="0.1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</row>
    <row r="342" spans="1:19" ht="12.75" customHeight="1" x14ac:dyDescent="0.1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</row>
    <row r="343" spans="1:19" ht="12.75" customHeight="1" x14ac:dyDescent="0.1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</row>
    <row r="344" spans="1:19" ht="12.75" customHeight="1" x14ac:dyDescent="0.1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</row>
    <row r="345" spans="1:19" ht="12.75" customHeight="1" x14ac:dyDescent="0.1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</row>
    <row r="346" spans="1:19" ht="12.75" customHeight="1" x14ac:dyDescent="0.1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</row>
    <row r="347" spans="1:19" ht="12.75" customHeight="1" x14ac:dyDescent="0.1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</row>
    <row r="348" spans="1:19" ht="12.75" customHeight="1" x14ac:dyDescent="0.1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</row>
    <row r="349" spans="1:19" ht="12.75" customHeight="1" x14ac:dyDescent="0.1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</row>
    <row r="350" spans="1:19" ht="12.75" customHeight="1" x14ac:dyDescent="0.1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</row>
    <row r="351" spans="1:19" ht="12.75" customHeight="1" x14ac:dyDescent="0.1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</row>
    <row r="352" spans="1:19" ht="12.75" customHeight="1" x14ac:dyDescent="0.1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</row>
    <row r="353" spans="1:19" ht="12.75" customHeight="1" x14ac:dyDescent="0.1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</row>
    <row r="354" spans="1:19" ht="12.75" customHeight="1" x14ac:dyDescent="0.1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</row>
    <row r="355" spans="1:19" ht="12.75" customHeight="1" x14ac:dyDescent="0.1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</row>
    <row r="356" spans="1:19" ht="12.75" customHeight="1" x14ac:dyDescent="0.1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</row>
    <row r="357" spans="1:19" ht="12.75" customHeight="1" x14ac:dyDescent="0.1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</row>
    <row r="358" spans="1:19" ht="12.75" customHeight="1" x14ac:dyDescent="0.1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</row>
    <row r="359" spans="1:19" ht="12.75" customHeight="1" x14ac:dyDescent="0.1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</row>
    <row r="360" spans="1:19" ht="12.75" customHeight="1" x14ac:dyDescent="0.1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</row>
    <row r="361" spans="1:19" ht="12.75" customHeight="1" x14ac:dyDescent="0.1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</row>
    <row r="362" spans="1:19" ht="12.75" customHeight="1" x14ac:dyDescent="0.1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</row>
    <row r="363" spans="1:19" ht="12.75" customHeight="1" x14ac:dyDescent="0.1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</row>
    <row r="364" spans="1:19" ht="12.75" customHeight="1" x14ac:dyDescent="0.1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</row>
    <row r="365" spans="1:19" ht="12.75" customHeight="1" x14ac:dyDescent="0.1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</row>
    <row r="366" spans="1:19" ht="12.75" customHeight="1" x14ac:dyDescent="0.1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</row>
    <row r="367" spans="1:19" ht="12.75" customHeight="1" x14ac:dyDescent="0.1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</row>
    <row r="368" spans="1:19" ht="12.75" customHeight="1" x14ac:dyDescent="0.1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</row>
    <row r="369" spans="1:19" ht="12.75" customHeight="1" x14ac:dyDescent="0.1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</row>
    <row r="370" spans="1:19" ht="12.75" customHeight="1" x14ac:dyDescent="0.1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</row>
    <row r="371" spans="1:19" ht="12.75" customHeight="1" x14ac:dyDescent="0.1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</row>
    <row r="372" spans="1:19" ht="12.75" customHeight="1" x14ac:dyDescent="0.1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</row>
    <row r="373" spans="1:19" ht="12.75" customHeight="1" x14ac:dyDescent="0.1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</row>
    <row r="374" spans="1:19" ht="12.75" customHeight="1" x14ac:dyDescent="0.1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</row>
    <row r="375" spans="1:19" ht="12.75" customHeight="1" x14ac:dyDescent="0.1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</row>
    <row r="376" spans="1:19" ht="12.75" customHeight="1" x14ac:dyDescent="0.1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</row>
    <row r="377" spans="1:19" ht="12.75" customHeight="1" x14ac:dyDescent="0.1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</row>
    <row r="378" spans="1:19" ht="12.75" customHeight="1" x14ac:dyDescent="0.1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</row>
    <row r="379" spans="1:19" ht="12.75" customHeight="1" x14ac:dyDescent="0.1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</row>
    <row r="380" spans="1:19" ht="12.75" customHeight="1" x14ac:dyDescent="0.1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</row>
    <row r="381" spans="1:19" ht="12.75" customHeight="1" x14ac:dyDescent="0.1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</row>
    <row r="382" spans="1:19" ht="12.75" customHeight="1" x14ac:dyDescent="0.1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</row>
    <row r="383" spans="1:19" ht="12.75" customHeight="1" x14ac:dyDescent="0.1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</row>
    <row r="384" spans="1:19" ht="12.75" customHeight="1" x14ac:dyDescent="0.1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</row>
    <row r="385" spans="1:19" ht="12.75" customHeight="1" x14ac:dyDescent="0.1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</row>
    <row r="386" spans="1:19" ht="12.75" customHeight="1" x14ac:dyDescent="0.1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</row>
    <row r="387" spans="1:19" ht="12.75" customHeight="1" x14ac:dyDescent="0.1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</row>
    <row r="388" spans="1:19" ht="12.75" customHeight="1" x14ac:dyDescent="0.1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</row>
    <row r="389" spans="1:19" ht="12.75" customHeight="1" x14ac:dyDescent="0.1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</row>
    <row r="390" spans="1:19" ht="12.75" customHeight="1" x14ac:dyDescent="0.1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</row>
    <row r="391" spans="1:19" ht="12.75" customHeight="1" x14ac:dyDescent="0.1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</row>
    <row r="392" spans="1:19" ht="12.75" customHeight="1" x14ac:dyDescent="0.1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</row>
    <row r="393" spans="1:19" ht="12.75" customHeight="1" x14ac:dyDescent="0.1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</row>
    <row r="394" spans="1:19" ht="12.75" customHeight="1" x14ac:dyDescent="0.1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</row>
    <row r="395" spans="1:19" ht="12.75" customHeight="1" x14ac:dyDescent="0.1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</row>
    <row r="396" spans="1:19" ht="12.75" customHeight="1" x14ac:dyDescent="0.1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</row>
    <row r="397" spans="1:19" ht="12.75" customHeight="1" x14ac:dyDescent="0.1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</row>
    <row r="398" spans="1:19" ht="12.75" customHeight="1" x14ac:dyDescent="0.1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</row>
    <row r="399" spans="1:19" ht="12.75" customHeight="1" x14ac:dyDescent="0.1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</row>
    <row r="400" spans="1:19" ht="12.75" customHeight="1" x14ac:dyDescent="0.1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</row>
    <row r="401" spans="1:19" ht="12.75" customHeight="1" x14ac:dyDescent="0.1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</row>
    <row r="402" spans="1:19" ht="12.75" customHeight="1" x14ac:dyDescent="0.1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</row>
    <row r="403" spans="1:19" ht="12.75" customHeight="1" x14ac:dyDescent="0.1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</row>
    <row r="404" spans="1:19" ht="12.75" customHeight="1" x14ac:dyDescent="0.1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</row>
    <row r="405" spans="1:19" ht="12.75" customHeight="1" x14ac:dyDescent="0.1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</row>
    <row r="406" spans="1:19" ht="12.75" customHeight="1" x14ac:dyDescent="0.1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</row>
    <row r="407" spans="1:19" ht="12.75" customHeight="1" x14ac:dyDescent="0.1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</row>
    <row r="408" spans="1:19" ht="12.75" customHeight="1" x14ac:dyDescent="0.1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</row>
    <row r="409" spans="1:19" ht="12.75" customHeight="1" x14ac:dyDescent="0.1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</row>
    <row r="410" spans="1:19" ht="12.75" customHeight="1" x14ac:dyDescent="0.1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</row>
    <row r="411" spans="1:19" ht="12.75" customHeight="1" x14ac:dyDescent="0.1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</row>
    <row r="412" spans="1:19" ht="12.75" customHeight="1" x14ac:dyDescent="0.1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</row>
    <row r="413" spans="1:19" ht="12.75" customHeight="1" x14ac:dyDescent="0.1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</row>
    <row r="414" spans="1:19" ht="12.75" customHeight="1" x14ac:dyDescent="0.1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</row>
    <row r="415" spans="1:19" ht="12.75" customHeight="1" x14ac:dyDescent="0.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</row>
    <row r="416" spans="1:19" ht="12.75" customHeight="1" x14ac:dyDescent="0.1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</row>
    <row r="417" spans="1:19" ht="12.75" customHeight="1" x14ac:dyDescent="0.1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</row>
    <row r="418" spans="1:19" ht="12.75" customHeight="1" x14ac:dyDescent="0.1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</row>
    <row r="419" spans="1:19" ht="12.75" customHeight="1" x14ac:dyDescent="0.1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</row>
    <row r="420" spans="1:19" ht="12.75" customHeight="1" x14ac:dyDescent="0.1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</row>
    <row r="421" spans="1:19" ht="12.75" customHeight="1" x14ac:dyDescent="0.1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</row>
    <row r="422" spans="1:19" ht="12.75" customHeight="1" x14ac:dyDescent="0.1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</row>
    <row r="423" spans="1:19" ht="12.75" customHeight="1" x14ac:dyDescent="0.1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</row>
    <row r="424" spans="1:19" ht="12.75" customHeight="1" x14ac:dyDescent="0.1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</row>
    <row r="425" spans="1:19" ht="12.75" customHeight="1" x14ac:dyDescent="0.1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</row>
    <row r="426" spans="1:19" ht="12.75" customHeight="1" x14ac:dyDescent="0.1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</row>
    <row r="427" spans="1:19" ht="12.75" customHeight="1" x14ac:dyDescent="0.1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</row>
    <row r="428" spans="1:19" ht="12.75" customHeight="1" x14ac:dyDescent="0.1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</row>
    <row r="429" spans="1:19" ht="12.75" customHeight="1" x14ac:dyDescent="0.1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</row>
    <row r="430" spans="1:19" ht="12.75" customHeight="1" x14ac:dyDescent="0.1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</row>
    <row r="431" spans="1:19" ht="12.75" customHeight="1" x14ac:dyDescent="0.1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</row>
    <row r="432" spans="1:19" ht="12.75" customHeight="1" x14ac:dyDescent="0.1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</row>
    <row r="433" spans="1:19" ht="12.75" customHeight="1" x14ac:dyDescent="0.1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</row>
    <row r="434" spans="1:19" ht="12.75" customHeight="1" x14ac:dyDescent="0.1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</row>
    <row r="435" spans="1:19" ht="12.75" customHeight="1" x14ac:dyDescent="0.1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</row>
    <row r="436" spans="1:19" ht="12.75" customHeight="1" x14ac:dyDescent="0.1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</row>
    <row r="437" spans="1:19" ht="12.75" customHeight="1" x14ac:dyDescent="0.1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</row>
    <row r="438" spans="1:19" ht="12.75" customHeight="1" x14ac:dyDescent="0.1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</row>
    <row r="439" spans="1:19" ht="12.75" customHeight="1" x14ac:dyDescent="0.1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</row>
    <row r="440" spans="1:19" ht="12.75" customHeight="1" x14ac:dyDescent="0.1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</row>
    <row r="441" spans="1:19" ht="12.75" customHeight="1" x14ac:dyDescent="0.1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</row>
    <row r="442" spans="1:19" ht="12.75" customHeight="1" x14ac:dyDescent="0.1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</row>
    <row r="443" spans="1:19" ht="12.75" customHeight="1" x14ac:dyDescent="0.1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</row>
    <row r="444" spans="1:19" ht="12.75" customHeight="1" x14ac:dyDescent="0.1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</row>
    <row r="445" spans="1:19" ht="12.75" customHeight="1" x14ac:dyDescent="0.1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</row>
    <row r="446" spans="1:19" ht="12.75" customHeight="1" x14ac:dyDescent="0.1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</row>
    <row r="447" spans="1:19" ht="12.75" customHeight="1" x14ac:dyDescent="0.1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</row>
    <row r="448" spans="1:19" ht="12.75" customHeight="1" x14ac:dyDescent="0.1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</row>
    <row r="449" spans="1:19" ht="12.75" customHeight="1" x14ac:dyDescent="0.1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</row>
    <row r="450" spans="1:19" ht="12.75" customHeight="1" x14ac:dyDescent="0.1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</row>
    <row r="451" spans="1:19" ht="12.75" customHeight="1" x14ac:dyDescent="0.1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</row>
    <row r="452" spans="1:19" ht="12.75" customHeight="1" x14ac:dyDescent="0.1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</row>
    <row r="453" spans="1:19" ht="12.75" customHeight="1" x14ac:dyDescent="0.1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</row>
    <row r="454" spans="1:19" ht="12.75" customHeight="1" x14ac:dyDescent="0.1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</row>
    <row r="455" spans="1:19" ht="12.75" customHeight="1" x14ac:dyDescent="0.1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</row>
    <row r="456" spans="1:19" ht="12.75" customHeight="1" x14ac:dyDescent="0.1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</row>
    <row r="457" spans="1:19" ht="12.75" customHeight="1" x14ac:dyDescent="0.1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</row>
    <row r="458" spans="1:19" ht="12.75" customHeight="1" x14ac:dyDescent="0.1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</row>
    <row r="459" spans="1:19" ht="12.75" customHeight="1" x14ac:dyDescent="0.1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</row>
    <row r="460" spans="1:19" ht="12.75" customHeight="1" x14ac:dyDescent="0.1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</row>
    <row r="461" spans="1:19" ht="12.75" customHeight="1" x14ac:dyDescent="0.1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</row>
    <row r="462" spans="1:19" ht="12.75" customHeight="1" x14ac:dyDescent="0.1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</row>
    <row r="463" spans="1:19" ht="12.75" customHeight="1" x14ac:dyDescent="0.1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</row>
    <row r="464" spans="1:19" ht="12.75" customHeight="1" x14ac:dyDescent="0.1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</row>
    <row r="465" spans="1:19" ht="12.75" customHeight="1" x14ac:dyDescent="0.1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</row>
    <row r="466" spans="1:19" ht="12.75" customHeight="1" x14ac:dyDescent="0.1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</row>
    <row r="467" spans="1:19" ht="12.75" customHeight="1" x14ac:dyDescent="0.1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</row>
    <row r="468" spans="1:19" ht="12.75" customHeight="1" x14ac:dyDescent="0.1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</row>
    <row r="469" spans="1:19" ht="12.75" customHeight="1" x14ac:dyDescent="0.1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</row>
    <row r="470" spans="1:19" ht="12.75" customHeight="1" x14ac:dyDescent="0.1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</row>
    <row r="471" spans="1:19" ht="12.75" customHeight="1" x14ac:dyDescent="0.1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</row>
    <row r="472" spans="1:19" ht="12.75" customHeight="1" x14ac:dyDescent="0.1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</row>
    <row r="473" spans="1:19" ht="12.75" customHeight="1" x14ac:dyDescent="0.1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</row>
    <row r="474" spans="1:19" ht="12.75" customHeight="1" x14ac:dyDescent="0.1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</row>
    <row r="475" spans="1:19" ht="12.75" customHeight="1" x14ac:dyDescent="0.1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</row>
    <row r="476" spans="1:19" ht="12.75" customHeight="1" x14ac:dyDescent="0.1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</row>
    <row r="477" spans="1:19" ht="12.75" customHeight="1" x14ac:dyDescent="0.1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</row>
    <row r="478" spans="1:19" ht="12.75" customHeight="1" x14ac:dyDescent="0.1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</row>
    <row r="479" spans="1:19" ht="12.75" customHeight="1" x14ac:dyDescent="0.1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</row>
    <row r="480" spans="1:19" ht="12.75" customHeight="1" x14ac:dyDescent="0.1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</row>
    <row r="481" spans="1:19" ht="12.75" customHeight="1" x14ac:dyDescent="0.1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</row>
    <row r="482" spans="1:19" ht="12.75" customHeight="1" x14ac:dyDescent="0.1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</row>
    <row r="483" spans="1:19" ht="12.75" customHeight="1" x14ac:dyDescent="0.1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</row>
    <row r="484" spans="1:19" ht="12.75" customHeight="1" x14ac:dyDescent="0.1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</row>
    <row r="485" spans="1:19" ht="12.75" customHeight="1" x14ac:dyDescent="0.1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</row>
    <row r="486" spans="1:19" ht="12.75" customHeight="1" x14ac:dyDescent="0.1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</row>
    <row r="487" spans="1:19" ht="12.75" customHeight="1" x14ac:dyDescent="0.1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</row>
    <row r="488" spans="1:19" ht="12.75" customHeight="1" x14ac:dyDescent="0.1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</row>
    <row r="489" spans="1:19" ht="12.75" customHeight="1" x14ac:dyDescent="0.1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</row>
    <row r="490" spans="1:19" ht="12.75" customHeight="1" x14ac:dyDescent="0.1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</row>
    <row r="491" spans="1:19" ht="12.75" customHeight="1" x14ac:dyDescent="0.1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</row>
    <row r="492" spans="1:19" ht="12.75" customHeight="1" x14ac:dyDescent="0.1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</row>
    <row r="493" spans="1:19" ht="12.75" customHeight="1" x14ac:dyDescent="0.1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</row>
    <row r="494" spans="1:19" ht="12.75" customHeight="1" x14ac:dyDescent="0.1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</row>
    <row r="495" spans="1:19" ht="12.75" customHeight="1" x14ac:dyDescent="0.1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</row>
    <row r="496" spans="1:19" ht="12.75" customHeight="1" x14ac:dyDescent="0.1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</row>
    <row r="497" spans="1:19" ht="12.75" customHeight="1" x14ac:dyDescent="0.1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</row>
    <row r="498" spans="1:19" ht="12.75" customHeight="1" x14ac:dyDescent="0.1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</row>
    <row r="499" spans="1:19" ht="12.75" customHeight="1" x14ac:dyDescent="0.1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</row>
    <row r="500" spans="1:19" ht="12.75" customHeight="1" x14ac:dyDescent="0.1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</row>
    <row r="501" spans="1:19" ht="12.75" customHeight="1" x14ac:dyDescent="0.1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</row>
    <row r="502" spans="1:19" ht="12.75" customHeight="1" x14ac:dyDescent="0.1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</row>
    <row r="503" spans="1:19" ht="12.75" customHeight="1" x14ac:dyDescent="0.1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</row>
    <row r="504" spans="1:19" ht="12.75" customHeight="1" x14ac:dyDescent="0.1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</row>
    <row r="505" spans="1:19" ht="12.75" customHeight="1" x14ac:dyDescent="0.1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</row>
    <row r="506" spans="1:19" ht="12.75" customHeight="1" x14ac:dyDescent="0.1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</row>
    <row r="507" spans="1:19" ht="12.75" customHeight="1" x14ac:dyDescent="0.1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</row>
    <row r="508" spans="1:19" ht="12.75" customHeight="1" x14ac:dyDescent="0.1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</row>
    <row r="509" spans="1:19" ht="12.75" customHeight="1" x14ac:dyDescent="0.1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</row>
    <row r="510" spans="1:19" ht="12.75" customHeight="1" x14ac:dyDescent="0.1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</row>
    <row r="511" spans="1:19" ht="12.75" customHeight="1" x14ac:dyDescent="0.1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</row>
    <row r="512" spans="1:19" ht="12.75" customHeight="1" x14ac:dyDescent="0.1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</row>
    <row r="513" spans="1:19" ht="12.75" customHeight="1" x14ac:dyDescent="0.1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</row>
    <row r="514" spans="1:19" ht="12.75" customHeight="1" x14ac:dyDescent="0.1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</row>
    <row r="515" spans="1:19" ht="12.75" customHeight="1" x14ac:dyDescent="0.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</row>
    <row r="516" spans="1:19" ht="12.75" customHeight="1" x14ac:dyDescent="0.1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</row>
    <row r="517" spans="1:19" ht="12.75" customHeight="1" x14ac:dyDescent="0.1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</row>
    <row r="518" spans="1:19" ht="12.75" customHeight="1" x14ac:dyDescent="0.1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</row>
    <row r="519" spans="1:19" ht="12.75" customHeight="1" x14ac:dyDescent="0.1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</row>
    <row r="520" spans="1:19" ht="12.75" customHeight="1" x14ac:dyDescent="0.1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</row>
    <row r="521" spans="1:19" ht="12.75" customHeight="1" x14ac:dyDescent="0.1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</row>
    <row r="522" spans="1:19" ht="12.75" customHeight="1" x14ac:dyDescent="0.1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</row>
    <row r="523" spans="1:19" ht="12.75" customHeight="1" x14ac:dyDescent="0.1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</row>
    <row r="524" spans="1:19" ht="12.75" customHeight="1" x14ac:dyDescent="0.1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</row>
    <row r="525" spans="1:19" ht="12.75" customHeight="1" x14ac:dyDescent="0.1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</row>
    <row r="526" spans="1:19" ht="12.75" customHeight="1" x14ac:dyDescent="0.1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</row>
    <row r="527" spans="1:19" ht="12.75" customHeight="1" x14ac:dyDescent="0.1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</row>
    <row r="528" spans="1:19" ht="12.75" customHeight="1" x14ac:dyDescent="0.1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</row>
    <row r="529" spans="1:19" ht="12.75" customHeight="1" x14ac:dyDescent="0.1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</row>
    <row r="530" spans="1:19" ht="12.75" customHeight="1" x14ac:dyDescent="0.1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</row>
    <row r="531" spans="1:19" ht="12.75" customHeight="1" x14ac:dyDescent="0.1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</row>
    <row r="532" spans="1:19" ht="12.75" customHeight="1" x14ac:dyDescent="0.1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</row>
    <row r="533" spans="1:19" ht="12.75" customHeight="1" x14ac:dyDescent="0.1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</row>
    <row r="534" spans="1:19" ht="12.75" customHeight="1" x14ac:dyDescent="0.1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</row>
    <row r="535" spans="1:19" ht="12.75" customHeight="1" x14ac:dyDescent="0.1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</row>
    <row r="536" spans="1:19" ht="12.75" customHeight="1" x14ac:dyDescent="0.1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</row>
    <row r="537" spans="1:19" ht="12.75" customHeight="1" x14ac:dyDescent="0.1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</row>
    <row r="538" spans="1:19" ht="12.75" customHeight="1" x14ac:dyDescent="0.1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</row>
    <row r="539" spans="1:19" ht="12.75" customHeight="1" x14ac:dyDescent="0.1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</row>
    <row r="540" spans="1:19" ht="12.75" customHeight="1" x14ac:dyDescent="0.1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</row>
    <row r="541" spans="1:19" ht="12.75" customHeight="1" x14ac:dyDescent="0.1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</row>
    <row r="542" spans="1:19" ht="12.75" customHeight="1" x14ac:dyDescent="0.1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</row>
    <row r="543" spans="1:19" ht="12.75" customHeight="1" x14ac:dyDescent="0.1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</row>
    <row r="544" spans="1:19" ht="12.75" customHeight="1" x14ac:dyDescent="0.1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</row>
    <row r="545" spans="1:19" ht="12.75" customHeight="1" x14ac:dyDescent="0.1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</row>
    <row r="546" spans="1:19" ht="12.75" customHeight="1" x14ac:dyDescent="0.1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</row>
    <row r="547" spans="1:19" ht="12.75" customHeight="1" x14ac:dyDescent="0.1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</row>
    <row r="548" spans="1:19" ht="12.75" customHeight="1" x14ac:dyDescent="0.1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</row>
    <row r="549" spans="1:19" ht="12.75" customHeight="1" x14ac:dyDescent="0.1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</row>
    <row r="550" spans="1:19" ht="12.75" customHeight="1" x14ac:dyDescent="0.1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</row>
    <row r="551" spans="1:19" ht="12.75" customHeight="1" x14ac:dyDescent="0.1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</row>
    <row r="552" spans="1:19" ht="12.75" customHeight="1" x14ac:dyDescent="0.1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</row>
    <row r="553" spans="1:19" ht="12.75" customHeight="1" x14ac:dyDescent="0.1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</row>
    <row r="554" spans="1:19" ht="12.75" customHeight="1" x14ac:dyDescent="0.1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</row>
    <row r="555" spans="1:19" ht="12.75" customHeight="1" x14ac:dyDescent="0.1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</row>
    <row r="556" spans="1:19" ht="12.75" customHeight="1" x14ac:dyDescent="0.1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</row>
    <row r="557" spans="1:19" ht="12.75" customHeight="1" x14ac:dyDescent="0.1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</row>
    <row r="558" spans="1:19" ht="12.75" customHeight="1" x14ac:dyDescent="0.1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</row>
    <row r="559" spans="1:19" ht="12.75" customHeight="1" x14ac:dyDescent="0.1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</row>
    <row r="560" spans="1:19" ht="12.75" customHeight="1" x14ac:dyDescent="0.1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</row>
    <row r="561" spans="1:19" ht="12.75" customHeight="1" x14ac:dyDescent="0.1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</row>
    <row r="562" spans="1:19" ht="12.75" customHeight="1" x14ac:dyDescent="0.1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</row>
    <row r="563" spans="1:19" ht="12.75" customHeight="1" x14ac:dyDescent="0.1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</row>
    <row r="564" spans="1:19" ht="12.75" customHeight="1" x14ac:dyDescent="0.1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</row>
    <row r="565" spans="1:19" ht="12.75" customHeight="1" x14ac:dyDescent="0.1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</row>
    <row r="566" spans="1:19" ht="12.75" customHeight="1" x14ac:dyDescent="0.1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</row>
    <row r="567" spans="1:19" ht="12.75" customHeight="1" x14ac:dyDescent="0.1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</row>
    <row r="568" spans="1:19" ht="12.75" customHeight="1" x14ac:dyDescent="0.1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</row>
    <row r="569" spans="1:19" ht="12.75" customHeight="1" x14ac:dyDescent="0.1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</row>
    <row r="570" spans="1:19" ht="12.75" customHeight="1" x14ac:dyDescent="0.1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</row>
    <row r="571" spans="1:19" ht="12.75" customHeight="1" x14ac:dyDescent="0.1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</row>
    <row r="572" spans="1:19" ht="12.75" customHeight="1" x14ac:dyDescent="0.1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</row>
    <row r="573" spans="1:19" ht="12.75" customHeight="1" x14ac:dyDescent="0.1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</row>
    <row r="574" spans="1:19" ht="12.75" customHeight="1" x14ac:dyDescent="0.1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</row>
    <row r="575" spans="1:19" ht="12.75" customHeight="1" x14ac:dyDescent="0.1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</row>
    <row r="576" spans="1:19" ht="12.75" customHeight="1" x14ac:dyDescent="0.1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</row>
    <row r="577" spans="1:19" ht="12.75" customHeight="1" x14ac:dyDescent="0.1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</row>
    <row r="578" spans="1:19" ht="12.75" customHeight="1" x14ac:dyDescent="0.1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</row>
    <row r="579" spans="1:19" ht="12.75" customHeight="1" x14ac:dyDescent="0.1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</row>
    <row r="580" spans="1:19" ht="12.75" customHeight="1" x14ac:dyDescent="0.1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</row>
    <row r="581" spans="1:19" ht="12.75" customHeight="1" x14ac:dyDescent="0.1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</row>
    <row r="582" spans="1:19" ht="12.75" customHeight="1" x14ac:dyDescent="0.1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</row>
    <row r="583" spans="1:19" ht="12.75" customHeight="1" x14ac:dyDescent="0.1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</row>
    <row r="584" spans="1:19" ht="12.75" customHeight="1" x14ac:dyDescent="0.1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</row>
    <row r="585" spans="1:19" ht="12.75" customHeight="1" x14ac:dyDescent="0.1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</row>
    <row r="586" spans="1:19" ht="12.75" customHeight="1" x14ac:dyDescent="0.1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</row>
    <row r="587" spans="1:19" ht="12.75" customHeight="1" x14ac:dyDescent="0.1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</row>
    <row r="588" spans="1:19" ht="12.75" customHeight="1" x14ac:dyDescent="0.1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</row>
    <row r="589" spans="1:19" ht="12.75" customHeight="1" x14ac:dyDescent="0.1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</row>
    <row r="590" spans="1:19" ht="12.75" customHeight="1" x14ac:dyDescent="0.1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</row>
    <row r="591" spans="1:19" ht="12.75" customHeight="1" x14ac:dyDescent="0.1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</row>
    <row r="592" spans="1:19" ht="12.75" customHeight="1" x14ac:dyDescent="0.1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</row>
    <row r="593" spans="1:19" ht="12.75" customHeight="1" x14ac:dyDescent="0.1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</row>
    <row r="594" spans="1:19" ht="12.75" customHeight="1" x14ac:dyDescent="0.1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</row>
    <row r="595" spans="1:19" ht="12.75" customHeight="1" x14ac:dyDescent="0.1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</row>
    <row r="596" spans="1:19" ht="12.75" customHeight="1" x14ac:dyDescent="0.1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</row>
    <row r="597" spans="1:19" ht="12.75" customHeight="1" x14ac:dyDescent="0.1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</row>
    <row r="598" spans="1:19" ht="12.75" customHeight="1" x14ac:dyDescent="0.1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</row>
    <row r="599" spans="1:19" ht="12.75" customHeight="1" x14ac:dyDescent="0.1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</row>
    <row r="600" spans="1:19" ht="12.75" customHeight="1" x14ac:dyDescent="0.1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</row>
    <row r="601" spans="1:19" ht="12.75" customHeight="1" x14ac:dyDescent="0.1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</row>
    <row r="602" spans="1:19" ht="12.75" customHeight="1" x14ac:dyDescent="0.1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</row>
    <row r="603" spans="1:19" ht="12.75" customHeight="1" x14ac:dyDescent="0.1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</row>
    <row r="604" spans="1:19" ht="12.75" customHeight="1" x14ac:dyDescent="0.1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</row>
    <row r="605" spans="1:19" ht="12.75" customHeight="1" x14ac:dyDescent="0.1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</row>
    <row r="606" spans="1:19" ht="12.75" customHeight="1" x14ac:dyDescent="0.1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</row>
    <row r="607" spans="1:19" ht="12.75" customHeight="1" x14ac:dyDescent="0.1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</row>
    <row r="608" spans="1:19" ht="12.75" customHeight="1" x14ac:dyDescent="0.1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</row>
    <row r="609" spans="1:19" ht="12.75" customHeight="1" x14ac:dyDescent="0.1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</row>
    <row r="610" spans="1:19" ht="12.75" customHeight="1" x14ac:dyDescent="0.1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</row>
    <row r="611" spans="1:19" ht="12.75" customHeight="1" x14ac:dyDescent="0.1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</row>
    <row r="612" spans="1:19" ht="12.75" customHeight="1" x14ac:dyDescent="0.1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</row>
    <row r="613" spans="1:19" ht="12.75" customHeight="1" x14ac:dyDescent="0.1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</row>
    <row r="614" spans="1:19" ht="12.75" customHeight="1" x14ac:dyDescent="0.1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</row>
    <row r="615" spans="1:19" ht="12.75" customHeight="1" x14ac:dyDescent="0.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</row>
    <row r="616" spans="1:19" ht="12.75" customHeight="1" x14ac:dyDescent="0.1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</row>
    <row r="617" spans="1:19" ht="12.75" customHeight="1" x14ac:dyDescent="0.1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</row>
    <row r="618" spans="1:19" ht="12.75" customHeight="1" x14ac:dyDescent="0.1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</row>
    <row r="619" spans="1:19" ht="12.75" customHeight="1" x14ac:dyDescent="0.1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</row>
    <row r="620" spans="1:19" ht="12.75" customHeight="1" x14ac:dyDescent="0.1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</row>
    <row r="621" spans="1:19" ht="12.75" customHeight="1" x14ac:dyDescent="0.1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</row>
    <row r="622" spans="1:19" ht="12.75" customHeight="1" x14ac:dyDescent="0.1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</row>
    <row r="623" spans="1:19" ht="12.75" customHeight="1" x14ac:dyDescent="0.1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</row>
    <row r="624" spans="1:19" ht="12.75" customHeight="1" x14ac:dyDescent="0.1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</row>
    <row r="625" spans="1:19" ht="12.75" customHeight="1" x14ac:dyDescent="0.1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</row>
    <row r="626" spans="1:19" ht="12.75" customHeight="1" x14ac:dyDescent="0.1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</row>
    <row r="627" spans="1:19" ht="12.75" customHeight="1" x14ac:dyDescent="0.1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</row>
    <row r="628" spans="1:19" ht="12.75" customHeight="1" x14ac:dyDescent="0.1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</row>
    <row r="629" spans="1:19" ht="12.75" customHeight="1" x14ac:dyDescent="0.1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</row>
    <row r="630" spans="1:19" ht="12.75" customHeight="1" x14ac:dyDescent="0.1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</row>
    <row r="631" spans="1:19" ht="12.75" customHeight="1" x14ac:dyDescent="0.1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</row>
    <row r="632" spans="1:19" ht="12.75" customHeight="1" x14ac:dyDescent="0.1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</row>
    <row r="633" spans="1:19" ht="12.75" customHeight="1" x14ac:dyDescent="0.1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</row>
    <row r="634" spans="1:19" ht="12.75" customHeight="1" x14ac:dyDescent="0.1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</row>
    <row r="635" spans="1:19" ht="12.75" customHeight="1" x14ac:dyDescent="0.1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</row>
    <row r="636" spans="1:19" ht="12.75" customHeight="1" x14ac:dyDescent="0.1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</row>
    <row r="637" spans="1:19" ht="12.75" customHeight="1" x14ac:dyDescent="0.1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</row>
    <row r="638" spans="1:19" ht="12.75" customHeight="1" x14ac:dyDescent="0.1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</row>
    <row r="639" spans="1:19" ht="12.75" customHeight="1" x14ac:dyDescent="0.1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</row>
    <row r="640" spans="1:19" ht="12.75" customHeight="1" x14ac:dyDescent="0.1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</row>
    <row r="641" spans="1:19" ht="12.75" customHeight="1" x14ac:dyDescent="0.1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</row>
    <row r="642" spans="1:19" ht="12.75" customHeight="1" x14ac:dyDescent="0.1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</row>
    <row r="643" spans="1:19" ht="12.75" customHeight="1" x14ac:dyDescent="0.1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</row>
    <row r="644" spans="1:19" ht="12.75" customHeight="1" x14ac:dyDescent="0.1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</row>
    <row r="645" spans="1:19" ht="12.75" customHeight="1" x14ac:dyDescent="0.1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</row>
    <row r="646" spans="1:19" ht="12.75" customHeight="1" x14ac:dyDescent="0.1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</row>
    <row r="647" spans="1:19" ht="12.75" customHeight="1" x14ac:dyDescent="0.1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</row>
    <row r="648" spans="1:19" ht="12.75" customHeight="1" x14ac:dyDescent="0.1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</row>
    <row r="649" spans="1:19" ht="12.75" customHeight="1" x14ac:dyDescent="0.1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</row>
    <row r="650" spans="1:19" ht="12.75" customHeight="1" x14ac:dyDescent="0.1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</row>
    <row r="651" spans="1:19" ht="12.75" customHeight="1" x14ac:dyDescent="0.1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</row>
    <row r="652" spans="1:19" ht="12.75" customHeight="1" x14ac:dyDescent="0.1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</row>
    <row r="653" spans="1:19" ht="12.75" customHeight="1" x14ac:dyDescent="0.1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</row>
    <row r="654" spans="1:19" ht="12.75" customHeight="1" x14ac:dyDescent="0.1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</row>
    <row r="655" spans="1:19" ht="12.75" customHeight="1" x14ac:dyDescent="0.1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</row>
    <row r="656" spans="1:19" ht="12.75" customHeight="1" x14ac:dyDescent="0.1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</row>
    <row r="657" spans="1:19" ht="12.75" customHeight="1" x14ac:dyDescent="0.1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</row>
    <row r="658" spans="1:19" ht="12.75" customHeight="1" x14ac:dyDescent="0.1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</row>
    <row r="659" spans="1:19" ht="12.75" customHeight="1" x14ac:dyDescent="0.1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</row>
    <row r="660" spans="1:19" ht="12.75" customHeight="1" x14ac:dyDescent="0.1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</row>
    <row r="661" spans="1:19" ht="12.75" customHeight="1" x14ac:dyDescent="0.1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</row>
    <row r="662" spans="1:19" ht="12.75" customHeight="1" x14ac:dyDescent="0.1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</row>
    <row r="663" spans="1:19" ht="12.75" customHeight="1" x14ac:dyDescent="0.1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</row>
    <row r="664" spans="1:19" ht="12.75" customHeight="1" x14ac:dyDescent="0.1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</row>
    <row r="665" spans="1:19" ht="12.75" customHeight="1" x14ac:dyDescent="0.1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</row>
    <row r="666" spans="1:19" ht="12.75" customHeight="1" x14ac:dyDescent="0.1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</row>
    <row r="667" spans="1:19" ht="12.75" customHeight="1" x14ac:dyDescent="0.1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</row>
    <row r="668" spans="1:19" ht="12.75" customHeight="1" x14ac:dyDescent="0.1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</row>
    <row r="669" spans="1:19" ht="12.75" customHeight="1" x14ac:dyDescent="0.1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</row>
    <row r="670" spans="1:19" ht="12.75" customHeight="1" x14ac:dyDescent="0.1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</row>
    <row r="671" spans="1:19" ht="12.75" customHeight="1" x14ac:dyDescent="0.1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</row>
    <row r="672" spans="1:19" ht="12.75" customHeight="1" x14ac:dyDescent="0.1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</row>
    <row r="673" spans="1:19" ht="12.75" customHeight="1" x14ac:dyDescent="0.1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</row>
    <row r="674" spans="1:19" ht="12.75" customHeight="1" x14ac:dyDescent="0.1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</row>
    <row r="675" spans="1:19" ht="12.75" customHeight="1" x14ac:dyDescent="0.1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</row>
    <row r="676" spans="1:19" ht="12.75" customHeight="1" x14ac:dyDescent="0.1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</row>
    <row r="677" spans="1:19" ht="12.75" customHeight="1" x14ac:dyDescent="0.1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</row>
    <row r="678" spans="1:19" ht="12.75" customHeight="1" x14ac:dyDescent="0.1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</row>
    <row r="679" spans="1:19" ht="12.75" customHeight="1" x14ac:dyDescent="0.1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</row>
    <row r="680" spans="1:19" ht="12.75" customHeight="1" x14ac:dyDescent="0.1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</row>
    <row r="681" spans="1:19" ht="12.75" customHeight="1" x14ac:dyDescent="0.1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</row>
    <row r="682" spans="1:19" ht="12.75" customHeight="1" x14ac:dyDescent="0.1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</row>
    <row r="683" spans="1:19" ht="12.75" customHeight="1" x14ac:dyDescent="0.1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</row>
    <row r="684" spans="1:19" ht="12.75" customHeight="1" x14ac:dyDescent="0.1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</row>
    <row r="685" spans="1:19" ht="12.75" customHeight="1" x14ac:dyDescent="0.1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</row>
    <row r="686" spans="1:19" ht="12.75" customHeight="1" x14ac:dyDescent="0.1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</row>
    <row r="687" spans="1:19" ht="12.75" customHeight="1" x14ac:dyDescent="0.1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</row>
    <row r="688" spans="1:19" ht="12.75" customHeight="1" x14ac:dyDescent="0.1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</row>
    <row r="689" spans="1:19" ht="12.75" customHeight="1" x14ac:dyDescent="0.1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</row>
    <row r="690" spans="1:19" ht="12.75" customHeight="1" x14ac:dyDescent="0.1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</row>
    <row r="691" spans="1:19" ht="12.75" customHeight="1" x14ac:dyDescent="0.1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</row>
    <row r="692" spans="1:19" ht="12.75" customHeight="1" x14ac:dyDescent="0.1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</row>
    <row r="693" spans="1:19" ht="12.75" customHeight="1" x14ac:dyDescent="0.1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</row>
    <row r="694" spans="1:19" ht="12.75" customHeight="1" x14ac:dyDescent="0.1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</row>
    <row r="695" spans="1:19" ht="12.75" customHeight="1" x14ac:dyDescent="0.1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</row>
    <row r="696" spans="1:19" ht="12.75" customHeight="1" x14ac:dyDescent="0.1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</row>
    <row r="697" spans="1:19" ht="12.75" customHeight="1" x14ac:dyDescent="0.1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</row>
    <row r="698" spans="1:19" ht="12.75" customHeight="1" x14ac:dyDescent="0.1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</row>
    <row r="699" spans="1:19" ht="12.75" customHeight="1" x14ac:dyDescent="0.1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</row>
    <row r="700" spans="1:19" ht="12.75" customHeight="1" x14ac:dyDescent="0.1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</row>
    <row r="701" spans="1:19" ht="12.75" customHeight="1" x14ac:dyDescent="0.1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</row>
    <row r="702" spans="1:19" ht="12.75" customHeight="1" x14ac:dyDescent="0.1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</row>
    <row r="703" spans="1:19" ht="12.75" customHeight="1" x14ac:dyDescent="0.1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</row>
    <row r="704" spans="1:19" ht="12.75" customHeight="1" x14ac:dyDescent="0.1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</row>
    <row r="705" spans="1:19" ht="12.75" customHeight="1" x14ac:dyDescent="0.1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</row>
    <row r="706" spans="1:19" ht="12.75" customHeight="1" x14ac:dyDescent="0.1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</row>
    <row r="707" spans="1:19" ht="12.75" customHeight="1" x14ac:dyDescent="0.1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</row>
    <row r="708" spans="1:19" ht="12.75" customHeight="1" x14ac:dyDescent="0.1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</row>
    <row r="709" spans="1:19" ht="12.75" customHeight="1" x14ac:dyDescent="0.1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</row>
    <row r="710" spans="1:19" ht="12.75" customHeight="1" x14ac:dyDescent="0.1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</row>
    <row r="711" spans="1:19" ht="12.75" customHeight="1" x14ac:dyDescent="0.1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</row>
    <row r="712" spans="1:19" ht="12.75" customHeight="1" x14ac:dyDescent="0.1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</row>
    <row r="713" spans="1:19" ht="12.75" customHeight="1" x14ac:dyDescent="0.1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</row>
    <row r="714" spans="1:19" ht="12.75" customHeight="1" x14ac:dyDescent="0.1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</row>
    <row r="715" spans="1:19" ht="12.75" customHeight="1" x14ac:dyDescent="0.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</row>
    <row r="716" spans="1:19" ht="12.75" customHeight="1" x14ac:dyDescent="0.1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</row>
    <row r="717" spans="1:19" ht="12.75" customHeight="1" x14ac:dyDescent="0.1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</row>
    <row r="718" spans="1:19" ht="12.75" customHeight="1" x14ac:dyDescent="0.1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</row>
    <row r="719" spans="1:19" ht="12.75" customHeight="1" x14ac:dyDescent="0.1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</row>
    <row r="720" spans="1:19" ht="12.75" customHeight="1" x14ac:dyDescent="0.1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</row>
    <row r="721" spans="1:19" ht="12.75" customHeight="1" x14ac:dyDescent="0.1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</row>
    <row r="722" spans="1:19" ht="12.75" customHeight="1" x14ac:dyDescent="0.1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</row>
    <row r="723" spans="1:19" ht="12.75" customHeight="1" x14ac:dyDescent="0.1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</row>
    <row r="724" spans="1:19" ht="12.75" customHeight="1" x14ac:dyDescent="0.1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</row>
    <row r="725" spans="1:19" ht="12.75" customHeight="1" x14ac:dyDescent="0.1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</row>
    <row r="726" spans="1:19" ht="12.75" customHeight="1" x14ac:dyDescent="0.1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</row>
    <row r="727" spans="1:19" ht="12.75" customHeight="1" x14ac:dyDescent="0.1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</row>
    <row r="728" spans="1:19" ht="12.75" customHeight="1" x14ac:dyDescent="0.1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</row>
    <row r="729" spans="1:19" ht="12.75" customHeight="1" x14ac:dyDescent="0.1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</row>
    <row r="730" spans="1:19" ht="12.75" customHeight="1" x14ac:dyDescent="0.1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</row>
    <row r="731" spans="1:19" ht="12.75" customHeight="1" x14ac:dyDescent="0.1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</row>
    <row r="732" spans="1:19" ht="12.75" customHeight="1" x14ac:dyDescent="0.1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</row>
    <row r="733" spans="1:19" ht="12.75" customHeight="1" x14ac:dyDescent="0.1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</row>
    <row r="734" spans="1:19" ht="12.75" customHeight="1" x14ac:dyDescent="0.1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</row>
    <row r="735" spans="1:19" ht="12.75" customHeight="1" x14ac:dyDescent="0.1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</row>
    <row r="736" spans="1:19" ht="12.75" customHeight="1" x14ac:dyDescent="0.1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</row>
    <row r="737" spans="1:19" ht="12.75" customHeight="1" x14ac:dyDescent="0.1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</row>
    <row r="738" spans="1:19" ht="12.75" customHeight="1" x14ac:dyDescent="0.1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</row>
    <row r="739" spans="1:19" ht="12.75" customHeight="1" x14ac:dyDescent="0.1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</row>
    <row r="740" spans="1:19" ht="12.75" customHeight="1" x14ac:dyDescent="0.1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</row>
    <row r="741" spans="1:19" ht="12.75" customHeight="1" x14ac:dyDescent="0.1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</row>
    <row r="742" spans="1:19" ht="12.75" customHeight="1" x14ac:dyDescent="0.1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</row>
    <row r="743" spans="1:19" ht="12.75" customHeight="1" x14ac:dyDescent="0.1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</row>
    <row r="744" spans="1:19" ht="12.75" customHeight="1" x14ac:dyDescent="0.1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</row>
    <row r="745" spans="1:19" ht="12.75" customHeight="1" x14ac:dyDescent="0.1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</row>
    <row r="746" spans="1:19" ht="12.75" customHeight="1" x14ac:dyDescent="0.1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</row>
    <row r="747" spans="1:19" ht="12.75" customHeight="1" x14ac:dyDescent="0.1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</row>
    <row r="748" spans="1:19" ht="12.75" customHeight="1" x14ac:dyDescent="0.1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</row>
    <row r="749" spans="1:19" ht="12.75" customHeight="1" x14ac:dyDescent="0.1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</row>
    <row r="750" spans="1:19" ht="12.75" customHeight="1" x14ac:dyDescent="0.1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</row>
    <row r="751" spans="1:19" ht="12.75" customHeight="1" x14ac:dyDescent="0.1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</row>
    <row r="752" spans="1:19" ht="12.75" customHeight="1" x14ac:dyDescent="0.1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</row>
    <row r="753" spans="1:19" ht="12.75" customHeight="1" x14ac:dyDescent="0.1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</row>
    <row r="754" spans="1:19" ht="12.75" customHeight="1" x14ac:dyDescent="0.1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</row>
    <row r="755" spans="1:19" ht="12.75" customHeight="1" x14ac:dyDescent="0.1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</row>
    <row r="756" spans="1:19" ht="12.75" customHeight="1" x14ac:dyDescent="0.1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</row>
    <row r="757" spans="1:19" ht="12.75" customHeight="1" x14ac:dyDescent="0.1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</row>
    <row r="758" spans="1:19" ht="12.75" customHeight="1" x14ac:dyDescent="0.1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</row>
    <row r="759" spans="1:19" ht="12.75" customHeight="1" x14ac:dyDescent="0.1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</row>
    <row r="760" spans="1:19" ht="12.75" customHeight="1" x14ac:dyDescent="0.1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</row>
    <row r="761" spans="1:19" ht="12.75" customHeight="1" x14ac:dyDescent="0.1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</row>
    <row r="762" spans="1:19" ht="12.75" customHeight="1" x14ac:dyDescent="0.1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</row>
    <row r="763" spans="1:19" ht="12.75" customHeight="1" x14ac:dyDescent="0.1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</row>
    <row r="764" spans="1:19" ht="12.75" customHeight="1" x14ac:dyDescent="0.1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</row>
    <row r="765" spans="1:19" ht="12.75" customHeight="1" x14ac:dyDescent="0.1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</row>
    <row r="766" spans="1:19" ht="12.75" customHeight="1" x14ac:dyDescent="0.1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</row>
    <row r="767" spans="1:19" ht="12.75" customHeight="1" x14ac:dyDescent="0.1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</row>
    <row r="768" spans="1:19" ht="12.75" customHeight="1" x14ac:dyDescent="0.1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</row>
    <row r="769" spans="1:19" ht="12.75" customHeight="1" x14ac:dyDescent="0.1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</row>
    <row r="770" spans="1:19" ht="12.75" customHeight="1" x14ac:dyDescent="0.1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</row>
    <row r="771" spans="1:19" ht="12.75" customHeight="1" x14ac:dyDescent="0.1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</row>
    <row r="772" spans="1:19" ht="12.75" customHeight="1" x14ac:dyDescent="0.1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</row>
    <row r="773" spans="1:19" ht="12.75" customHeight="1" x14ac:dyDescent="0.1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</row>
    <row r="774" spans="1:19" ht="12.75" customHeight="1" x14ac:dyDescent="0.1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</row>
    <row r="775" spans="1:19" ht="12.75" customHeight="1" x14ac:dyDescent="0.1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</row>
    <row r="776" spans="1:19" ht="12.75" customHeight="1" x14ac:dyDescent="0.1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</row>
    <row r="777" spans="1:19" ht="12.75" customHeight="1" x14ac:dyDescent="0.1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</row>
    <row r="778" spans="1:19" ht="12.75" customHeight="1" x14ac:dyDescent="0.1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</row>
    <row r="779" spans="1:19" ht="12.75" customHeight="1" x14ac:dyDescent="0.1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</row>
    <row r="780" spans="1:19" ht="12.75" customHeight="1" x14ac:dyDescent="0.1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</row>
    <row r="781" spans="1:19" ht="12.75" customHeight="1" x14ac:dyDescent="0.1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</row>
    <row r="782" spans="1:19" ht="12.75" customHeight="1" x14ac:dyDescent="0.1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</row>
    <row r="783" spans="1:19" ht="12.75" customHeight="1" x14ac:dyDescent="0.1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</row>
    <row r="784" spans="1:19" ht="12.75" customHeight="1" x14ac:dyDescent="0.1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</row>
    <row r="785" spans="1:19" ht="12.75" customHeight="1" x14ac:dyDescent="0.1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</row>
    <row r="786" spans="1:19" ht="12.75" customHeight="1" x14ac:dyDescent="0.1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</row>
    <row r="787" spans="1:19" ht="12.75" customHeight="1" x14ac:dyDescent="0.1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</row>
    <row r="788" spans="1:19" ht="12.75" customHeight="1" x14ac:dyDescent="0.1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</row>
    <row r="789" spans="1:19" ht="12.75" customHeight="1" x14ac:dyDescent="0.1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</row>
    <row r="790" spans="1:19" ht="12.75" customHeight="1" x14ac:dyDescent="0.1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</row>
    <row r="791" spans="1:19" ht="12.75" customHeight="1" x14ac:dyDescent="0.1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</row>
    <row r="792" spans="1:19" ht="12.75" customHeight="1" x14ac:dyDescent="0.1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</row>
    <row r="793" spans="1:19" ht="12.75" customHeight="1" x14ac:dyDescent="0.1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</row>
    <row r="794" spans="1:19" ht="12.75" customHeight="1" x14ac:dyDescent="0.1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</row>
    <row r="795" spans="1:19" ht="12.75" customHeight="1" x14ac:dyDescent="0.1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</row>
    <row r="796" spans="1:19" ht="12.75" customHeight="1" x14ac:dyDescent="0.1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</row>
    <row r="797" spans="1:19" ht="12.75" customHeight="1" x14ac:dyDescent="0.1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</row>
    <row r="798" spans="1:19" ht="12.75" customHeight="1" x14ac:dyDescent="0.1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</row>
    <row r="799" spans="1:19" ht="12.75" customHeight="1" x14ac:dyDescent="0.1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</row>
    <row r="800" spans="1:19" ht="12.75" customHeight="1" x14ac:dyDescent="0.1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</row>
    <row r="801" spans="1:19" ht="12.75" customHeight="1" x14ac:dyDescent="0.1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</row>
    <row r="802" spans="1:19" ht="12.75" customHeight="1" x14ac:dyDescent="0.1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</row>
    <row r="803" spans="1:19" ht="12.75" customHeight="1" x14ac:dyDescent="0.1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</row>
    <row r="804" spans="1:19" ht="12.75" customHeight="1" x14ac:dyDescent="0.1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</row>
    <row r="805" spans="1:19" ht="12.75" customHeight="1" x14ac:dyDescent="0.1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</row>
    <row r="806" spans="1:19" ht="12.75" customHeight="1" x14ac:dyDescent="0.1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</row>
    <row r="807" spans="1:19" ht="12.75" customHeight="1" x14ac:dyDescent="0.1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</row>
    <row r="808" spans="1:19" ht="12.75" customHeight="1" x14ac:dyDescent="0.1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</row>
    <row r="809" spans="1:19" ht="12.75" customHeight="1" x14ac:dyDescent="0.1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</row>
    <row r="810" spans="1:19" ht="12.75" customHeight="1" x14ac:dyDescent="0.1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</row>
    <row r="811" spans="1:19" ht="12.75" customHeight="1" x14ac:dyDescent="0.1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</row>
    <row r="812" spans="1:19" ht="12.75" customHeight="1" x14ac:dyDescent="0.1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</row>
    <row r="813" spans="1:19" ht="12.75" customHeight="1" x14ac:dyDescent="0.1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</row>
    <row r="814" spans="1:19" ht="12.75" customHeight="1" x14ac:dyDescent="0.1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</row>
    <row r="815" spans="1:19" ht="12.75" customHeight="1" x14ac:dyDescent="0.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</row>
    <row r="816" spans="1:19" ht="12.75" customHeight="1" x14ac:dyDescent="0.1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</row>
    <row r="817" spans="1:19" ht="12.75" customHeight="1" x14ac:dyDescent="0.1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</row>
    <row r="818" spans="1:19" ht="12.75" customHeight="1" x14ac:dyDescent="0.1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</row>
    <row r="819" spans="1:19" ht="12.75" customHeight="1" x14ac:dyDescent="0.1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</row>
    <row r="820" spans="1:19" ht="12.75" customHeight="1" x14ac:dyDescent="0.1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</row>
    <row r="821" spans="1:19" ht="12.75" customHeight="1" x14ac:dyDescent="0.1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</row>
    <row r="822" spans="1:19" ht="12.75" customHeight="1" x14ac:dyDescent="0.1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</row>
    <row r="823" spans="1:19" ht="12.75" customHeight="1" x14ac:dyDescent="0.1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</row>
    <row r="824" spans="1:19" ht="12.75" customHeight="1" x14ac:dyDescent="0.1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</row>
    <row r="825" spans="1:19" ht="12.75" customHeight="1" x14ac:dyDescent="0.1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</row>
    <row r="826" spans="1:19" ht="12.75" customHeight="1" x14ac:dyDescent="0.1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</row>
    <row r="827" spans="1:19" ht="12.75" customHeight="1" x14ac:dyDescent="0.1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</row>
    <row r="828" spans="1:19" ht="12.75" customHeight="1" x14ac:dyDescent="0.1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</row>
    <row r="829" spans="1:19" ht="12.75" customHeight="1" x14ac:dyDescent="0.1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</row>
    <row r="830" spans="1:19" ht="12.75" customHeight="1" x14ac:dyDescent="0.1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</row>
    <row r="831" spans="1:19" ht="12.75" customHeight="1" x14ac:dyDescent="0.1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</row>
    <row r="832" spans="1:19" ht="12.75" customHeight="1" x14ac:dyDescent="0.1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</row>
    <row r="833" spans="1:19" ht="12.75" customHeight="1" x14ac:dyDescent="0.1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</row>
    <row r="834" spans="1:19" ht="12.75" customHeight="1" x14ac:dyDescent="0.1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</row>
    <row r="835" spans="1:19" ht="12.75" customHeight="1" x14ac:dyDescent="0.1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</row>
    <row r="836" spans="1:19" ht="12.75" customHeight="1" x14ac:dyDescent="0.1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</row>
    <row r="837" spans="1:19" ht="12.75" customHeight="1" x14ac:dyDescent="0.1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</row>
    <row r="838" spans="1:19" ht="12.75" customHeight="1" x14ac:dyDescent="0.1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</row>
    <row r="839" spans="1:19" ht="12.75" customHeight="1" x14ac:dyDescent="0.1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</row>
    <row r="840" spans="1:19" ht="12.75" customHeight="1" x14ac:dyDescent="0.1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</row>
    <row r="841" spans="1:19" ht="12.75" customHeight="1" x14ac:dyDescent="0.1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</row>
    <row r="842" spans="1:19" ht="12.75" customHeight="1" x14ac:dyDescent="0.1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</row>
    <row r="843" spans="1:19" ht="12.75" customHeight="1" x14ac:dyDescent="0.1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</row>
    <row r="844" spans="1:19" ht="12.75" customHeight="1" x14ac:dyDescent="0.1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</row>
    <row r="845" spans="1:19" ht="12.75" customHeight="1" x14ac:dyDescent="0.1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</row>
    <row r="846" spans="1:19" ht="12.75" customHeight="1" x14ac:dyDescent="0.1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</row>
    <row r="847" spans="1:19" ht="12.75" customHeight="1" x14ac:dyDescent="0.1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</row>
    <row r="848" spans="1:19" ht="12.75" customHeight="1" x14ac:dyDescent="0.1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</row>
    <row r="849" spans="1:19" ht="12.75" customHeight="1" x14ac:dyDescent="0.1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</row>
    <row r="850" spans="1:19" ht="12.75" customHeight="1" x14ac:dyDescent="0.1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</row>
    <row r="851" spans="1:19" ht="12.75" customHeight="1" x14ac:dyDescent="0.1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</row>
    <row r="852" spans="1:19" ht="12.75" customHeight="1" x14ac:dyDescent="0.1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</row>
    <row r="853" spans="1:19" ht="12.75" customHeight="1" x14ac:dyDescent="0.1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</row>
    <row r="854" spans="1:19" ht="12.75" customHeight="1" x14ac:dyDescent="0.1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</row>
    <row r="855" spans="1:19" ht="12.75" customHeight="1" x14ac:dyDescent="0.1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</row>
    <row r="856" spans="1:19" ht="12.75" customHeight="1" x14ac:dyDescent="0.1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</row>
    <row r="857" spans="1:19" ht="12.75" customHeight="1" x14ac:dyDescent="0.1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</row>
    <row r="858" spans="1:19" ht="12.75" customHeight="1" x14ac:dyDescent="0.1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</row>
    <row r="859" spans="1:19" ht="12.75" customHeight="1" x14ac:dyDescent="0.1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</row>
    <row r="860" spans="1:19" ht="12.75" customHeight="1" x14ac:dyDescent="0.1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</row>
    <row r="861" spans="1:19" ht="12.75" customHeight="1" x14ac:dyDescent="0.1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</row>
    <row r="862" spans="1:19" ht="12.75" customHeight="1" x14ac:dyDescent="0.1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</row>
    <row r="863" spans="1:19" ht="12.75" customHeight="1" x14ac:dyDescent="0.1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</row>
    <row r="864" spans="1:19" ht="12.75" customHeight="1" x14ac:dyDescent="0.1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</row>
    <row r="865" spans="1:19" ht="12.75" customHeight="1" x14ac:dyDescent="0.1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</row>
    <row r="866" spans="1:19" ht="12.75" customHeight="1" x14ac:dyDescent="0.1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</row>
    <row r="867" spans="1:19" ht="12.75" customHeight="1" x14ac:dyDescent="0.1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</row>
    <row r="868" spans="1:19" ht="12.75" customHeight="1" x14ac:dyDescent="0.1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</row>
    <row r="869" spans="1:19" ht="12.75" customHeight="1" x14ac:dyDescent="0.1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</row>
    <row r="870" spans="1:19" ht="12.75" customHeight="1" x14ac:dyDescent="0.1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</row>
    <row r="871" spans="1:19" ht="12.75" customHeight="1" x14ac:dyDescent="0.1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</row>
    <row r="872" spans="1:19" ht="12.75" customHeight="1" x14ac:dyDescent="0.1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</row>
    <row r="873" spans="1:19" ht="12.75" customHeight="1" x14ac:dyDescent="0.1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</row>
    <row r="874" spans="1:19" ht="12.75" customHeight="1" x14ac:dyDescent="0.1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</row>
    <row r="875" spans="1:19" ht="12.75" customHeight="1" x14ac:dyDescent="0.1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</row>
    <row r="876" spans="1:19" ht="12.75" customHeight="1" x14ac:dyDescent="0.1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</row>
    <row r="877" spans="1:19" ht="12.75" customHeight="1" x14ac:dyDescent="0.1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</row>
    <row r="878" spans="1:19" ht="12.75" customHeight="1" x14ac:dyDescent="0.1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</row>
    <row r="879" spans="1:19" ht="12.75" customHeight="1" x14ac:dyDescent="0.1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</row>
    <row r="880" spans="1:19" ht="12.75" customHeight="1" x14ac:dyDescent="0.1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</row>
    <row r="881" spans="1:19" ht="12.75" customHeight="1" x14ac:dyDescent="0.1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</row>
    <row r="882" spans="1:19" ht="12.75" customHeight="1" x14ac:dyDescent="0.1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</row>
    <row r="883" spans="1:19" ht="12.75" customHeight="1" x14ac:dyDescent="0.1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</row>
    <row r="884" spans="1:19" ht="12.75" customHeight="1" x14ac:dyDescent="0.1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</row>
    <row r="885" spans="1:19" ht="12.75" customHeight="1" x14ac:dyDescent="0.1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</row>
    <row r="886" spans="1:19" ht="12.75" customHeight="1" x14ac:dyDescent="0.1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</row>
    <row r="887" spans="1:19" ht="12.75" customHeight="1" x14ac:dyDescent="0.1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</row>
    <row r="888" spans="1:19" ht="12.75" customHeight="1" x14ac:dyDescent="0.1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</row>
    <row r="889" spans="1:19" ht="12.75" customHeight="1" x14ac:dyDescent="0.1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</row>
    <row r="890" spans="1:19" ht="12.75" customHeight="1" x14ac:dyDescent="0.1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</row>
    <row r="891" spans="1:19" ht="12.75" customHeight="1" x14ac:dyDescent="0.1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</row>
    <row r="892" spans="1:19" ht="12.75" customHeight="1" x14ac:dyDescent="0.1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</row>
    <row r="893" spans="1:19" ht="12.75" customHeight="1" x14ac:dyDescent="0.1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</row>
    <row r="894" spans="1:19" ht="12.75" customHeight="1" x14ac:dyDescent="0.1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</row>
    <row r="895" spans="1:19" ht="12.75" customHeight="1" x14ac:dyDescent="0.1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</row>
    <row r="896" spans="1:19" ht="12.75" customHeight="1" x14ac:dyDescent="0.1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</row>
    <row r="897" spans="1:19" ht="12.75" customHeight="1" x14ac:dyDescent="0.1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</row>
    <row r="898" spans="1:19" ht="12.75" customHeight="1" x14ac:dyDescent="0.1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</row>
    <row r="899" spans="1:19" ht="12.75" customHeight="1" x14ac:dyDescent="0.1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</row>
    <row r="900" spans="1:19" ht="12.75" customHeight="1" x14ac:dyDescent="0.1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</row>
    <row r="901" spans="1:19" ht="12.75" customHeight="1" x14ac:dyDescent="0.1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</row>
    <row r="902" spans="1:19" ht="12.75" customHeight="1" x14ac:dyDescent="0.1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</row>
    <row r="903" spans="1:19" ht="12.75" customHeight="1" x14ac:dyDescent="0.1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</row>
    <row r="904" spans="1:19" ht="12.75" customHeight="1" x14ac:dyDescent="0.1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</row>
    <row r="905" spans="1:19" ht="12.75" customHeight="1" x14ac:dyDescent="0.1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</row>
    <row r="906" spans="1:19" ht="12.75" customHeight="1" x14ac:dyDescent="0.1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</row>
    <row r="907" spans="1:19" ht="12.75" customHeight="1" x14ac:dyDescent="0.1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</row>
    <row r="908" spans="1:19" ht="12.75" customHeight="1" x14ac:dyDescent="0.1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</row>
    <row r="909" spans="1:19" ht="12.75" customHeight="1" x14ac:dyDescent="0.1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</row>
    <row r="910" spans="1:19" ht="12.75" customHeight="1" x14ac:dyDescent="0.1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</row>
    <row r="911" spans="1:19" ht="12.75" customHeight="1" x14ac:dyDescent="0.1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</row>
    <row r="912" spans="1:19" ht="12.75" customHeight="1" x14ac:dyDescent="0.1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</row>
    <row r="913" spans="1:19" ht="12.75" customHeight="1" x14ac:dyDescent="0.1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</row>
    <row r="914" spans="1:19" ht="12.75" customHeight="1" x14ac:dyDescent="0.1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</row>
    <row r="915" spans="1:19" ht="12.75" customHeight="1" x14ac:dyDescent="0.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</row>
    <row r="916" spans="1:19" ht="12.75" customHeight="1" x14ac:dyDescent="0.1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</row>
    <row r="917" spans="1:19" ht="12.75" customHeight="1" x14ac:dyDescent="0.1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</row>
    <row r="918" spans="1:19" ht="12.75" customHeight="1" x14ac:dyDescent="0.1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</row>
    <row r="919" spans="1:19" ht="12.75" customHeight="1" x14ac:dyDescent="0.1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</row>
    <row r="920" spans="1:19" ht="12.75" customHeight="1" x14ac:dyDescent="0.1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</row>
    <row r="921" spans="1:19" ht="12.75" customHeight="1" x14ac:dyDescent="0.1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</row>
    <row r="922" spans="1:19" ht="12.75" customHeight="1" x14ac:dyDescent="0.1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</row>
    <row r="923" spans="1:19" ht="12.75" customHeight="1" x14ac:dyDescent="0.1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</row>
    <row r="924" spans="1:19" ht="12.75" customHeight="1" x14ac:dyDescent="0.1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</row>
    <row r="925" spans="1:19" ht="12.75" customHeight="1" x14ac:dyDescent="0.1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</row>
    <row r="926" spans="1:19" ht="12.75" customHeight="1" x14ac:dyDescent="0.1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</row>
    <row r="927" spans="1:19" ht="12.75" customHeight="1" x14ac:dyDescent="0.1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</row>
    <row r="928" spans="1:19" ht="12.75" customHeight="1" x14ac:dyDescent="0.1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</row>
    <row r="929" spans="1:19" ht="12.75" customHeight="1" x14ac:dyDescent="0.1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</row>
    <row r="930" spans="1:19" ht="12.75" customHeight="1" x14ac:dyDescent="0.1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</row>
    <row r="931" spans="1:19" ht="12.75" customHeight="1" x14ac:dyDescent="0.1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</row>
    <row r="932" spans="1:19" ht="12.75" customHeight="1" x14ac:dyDescent="0.1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</row>
    <row r="933" spans="1:19" ht="12.75" customHeight="1" x14ac:dyDescent="0.1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</row>
    <row r="934" spans="1:19" ht="12.75" customHeight="1" x14ac:dyDescent="0.1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</row>
    <row r="935" spans="1:19" ht="12.75" customHeight="1" x14ac:dyDescent="0.1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</row>
    <row r="936" spans="1:19" ht="12.75" customHeight="1" x14ac:dyDescent="0.1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</row>
    <row r="937" spans="1:19" ht="12.75" customHeight="1" x14ac:dyDescent="0.1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</row>
    <row r="938" spans="1:19" ht="12.75" customHeight="1" x14ac:dyDescent="0.1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</row>
    <row r="939" spans="1:19" ht="12.75" customHeight="1" x14ac:dyDescent="0.1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</row>
    <row r="940" spans="1:19" ht="12.75" customHeight="1" x14ac:dyDescent="0.1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</row>
    <row r="941" spans="1:19" ht="12.75" customHeight="1" x14ac:dyDescent="0.1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</row>
    <row r="942" spans="1:19" ht="12.75" customHeight="1" x14ac:dyDescent="0.1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</row>
    <row r="943" spans="1:19" ht="12.75" customHeight="1" x14ac:dyDescent="0.1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</row>
    <row r="944" spans="1:19" ht="12.75" customHeight="1" x14ac:dyDescent="0.1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</row>
    <row r="945" spans="1:19" ht="12.75" customHeight="1" x14ac:dyDescent="0.1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</row>
    <row r="946" spans="1:19" ht="12.75" customHeight="1" x14ac:dyDescent="0.1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</row>
    <row r="947" spans="1:19" ht="12.75" customHeight="1" x14ac:dyDescent="0.1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</row>
    <row r="948" spans="1:19" ht="12.75" customHeight="1" x14ac:dyDescent="0.1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</row>
    <row r="949" spans="1:19" ht="12.75" customHeight="1" x14ac:dyDescent="0.1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</row>
    <row r="950" spans="1:19" ht="12.75" customHeight="1" x14ac:dyDescent="0.1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</row>
    <row r="951" spans="1:19" ht="12.75" customHeight="1" x14ac:dyDescent="0.1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</row>
    <row r="952" spans="1:19" ht="12.75" customHeight="1" x14ac:dyDescent="0.1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</row>
    <row r="953" spans="1:19" ht="12.75" customHeight="1" x14ac:dyDescent="0.1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</row>
    <row r="954" spans="1:19" ht="12.75" customHeight="1" x14ac:dyDescent="0.1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</row>
    <row r="955" spans="1:19" ht="12.75" customHeight="1" x14ac:dyDescent="0.1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</row>
    <row r="956" spans="1:19" ht="12.75" customHeight="1" x14ac:dyDescent="0.1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</row>
    <row r="957" spans="1:19" ht="12.75" customHeight="1" x14ac:dyDescent="0.1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</row>
    <row r="958" spans="1:19" ht="12.75" customHeight="1" x14ac:dyDescent="0.1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</row>
    <row r="959" spans="1:19" ht="12.75" customHeight="1" x14ac:dyDescent="0.1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</row>
    <row r="960" spans="1:19" ht="12.75" customHeight="1" x14ac:dyDescent="0.1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</row>
    <row r="961" spans="1:19" ht="12.75" customHeight="1" x14ac:dyDescent="0.1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</row>
    <row r="962" spans="1:19" ht="12.75" customHeight="1" x14ac:dyDescent="0.1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</row>
    <row r="963" spans="1:19" ht="12.75" customHeight="1" x14ac:dyDescent="0.1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</row>
    <row r="964" spans="1:19" ht="12.75" customHeight="1" x14ac:dyDescent="0.1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</row>
    <row r="965" spans="1:19" ht="12.75" customHeight="1" x14ac:dyDescent="0.1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</row>
    <row r="966" spans="1:19" ht="12.75" customHeight="1" x14ac:dyDescent="0.1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</row>
    <row r="967" spans="1:19" ht="12.75" customHeight="1" x14ac:dyDescent="0.1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</row>
    <row r="968" spans="1:19" ht="12.75" customHeight="1" x14ac:dyDescent="0.1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</row>
    <row r="969" spans="1:19" ht="12.75" customHeight="1" x14ac:dyDescent="0.1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</row>
    <row r="970" spans="1:19" ht="12.75" customHeight="1" x14ac:dyDescent="0.1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</row>
    <row r="971" spans="1:19" ht="12.75" customHeight="1" x14ac:dyDescent="0.1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</row>
    <row r="972" spans="1:19" ht="12.75" customHeight="1" x14ac:dyDescent="0.1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</row>
    <row r="973" spans="1:19" ht="12.75" customHeight="1" x14ac:dyDescent="0.1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</row>
    <row r="974" spans="1:19" ht="12.75" customHeight="1" x14ac:dyDescent="0.1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</row>
    <row r="975" spans="1:19" ht="12.75" customHeight="1" x14ac:dyDescent="0.1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</row>
    <row r="976" spans="1:19" ht="12.75" customHeight="1" x14ac:dyDescent="0.1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</row>
    <row r="977" spans="1:19" ht="12.75" customHeight="1" x14ac:dyDescent="0.1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</row>
    <row r="978" spans="1:19" ht="12.75" customHeight="1" x14ac:dyDescent="0.1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</row>
    <row r="979" spans="1:19" ht="12.75" customHeight="1" x14ac:dyDescent="0.1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</row>
    <row r="980" spans="1:19" ht="12.75" customHeight="1" x14ac:dyDescent="0.1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</row>
    <row r="981" spans="1:19" ht="12.75" customHeight="1" x14ac:dyDescent="0.1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</row>
    <row r="982" spans="1:19" ht="12.75" customHeight="1" x14ac:dyDescent="0.1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</row>
    <row r="983" spans="1:19" ht="12.75" customHeight="1" x14ac:dyDescent="0.1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</row>
    <row r="984" spans="1:19" ht="12.75" customHeight="1" x14ac:dyDescent="0.1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</row>
    <row r="985" spans="1:19" ht="12.75" customHeight="1" x14ac:dyDescent="0.1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</row>
    <row r="986" spans="1:19" ht="12.75" customHeight="1" x14ac:dyDescent="0.1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</row>
    <row r="987" spans="1:19" ht="12.75" customHeight="1" x14ac:dyDescent="0.1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</row>
    <row r="988" spans="1:19" ht="12.75" customHeight="1" x14ac:dyDescent="0.1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</row>
    <row r="989" spans="1:19" ht="12.75" customHeight="1" x14ac:dyDescent="0.1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</row>
    <row r="990" spans="1:19" ht="12.75" customHeight="1" x14ac:dyDescent="0.1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</row>
    <row r="991" spans="1:19" ht="12.75" customHeight="1" x14ac:dyDescent="0.1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</row>
    <row r="992" spans="1:19" ht="12.75" customHeight="1" x14ac:dyDescent="0.1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</row>
    <row r="993" spans="1:19" ht="12.75" customHeight="1" x14ac:dyDescent="0.1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</row>
    <row r="994" spans="1:19" ht="12.75" customHeight="1" x14ac:dyDescent="0.1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</row>
    <row r="995" spans="1:19" ht="12.75" customHeight="1" x14ac:dyDescent="0.1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</row>
    <row r="996" spans="1:19" ht="12.75" customHeight="1" x14ac:dyDescent="0.1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</row>
    <row r="997" spans="1:19" ht="12.75" customHeight="1" x14ac:dyDescent="0.1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</row>
    <row r="998" spans="1:19" ht="12.75" customHeight="1" x14ac:dyDescent="0.1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</row>
  </sheetData>
  <mergeCells count="2">
    <mergeCell ref="D2:E2"/>
    <mergeCell ref="D3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8"/>
  <sheetViews>
    <sheetView workbookViewId="0">
      <selection activeCell="M19" sqref="M19"/>
    </sheetView>
  </sheetViews>
  <sheetFormatPr baseColWidth="10" defaultColWidth="14.5" defaultRowHeight="15.75" customHeight="1" x14ac:dyDescent="0.15"/>
  <cols>
    <col min="1" max="1" width="6.33203125" customWidth="1"/>
    <col min="2" max="2" width="15.1640625" customWidth="1"/>
    <col min="3" max="5" width="10.83203125" customWidth="1"/>
    <col min="6" max="6" width="4.83203125" customWidth="1"/>
    <col min="7" max="7" width="10.83203125" customWidth="1"/>
    <col min="8" max="19" width="8.6640625" customWidth="1"/>
  </cols>
  <sheetData>
    <row r="1" spans="1:19" ht="12.75" customHeight="1" x14ac:dyDescent="0.15">
      <c r="A1" s="9" t="s">
        <v>94</v>
      </c>
      <c r="B1" s="10" t="s">
        <v>95</v>
      </c>
      <c r="C1" s="9" t="s">
        <v>96</v>
      </c>
      <c r="D1" s="9" t="s">
        <v>97</v>
      </c>
      <c r="E1" s="9" t="s">
        <v>98</v>
      </c>
      <c r="F1" s="11" t="s">
        <v>263</v>
      </c>
      <c r="G1" s="12" t="s">
        <v>108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ht="12.75" customHeight="1" x14ac:dyDescent="0.15">
      <c r="A2" s="13"/>
      <c r="B2" s="13"/>
      <c r="C2" s="14">
        <v>20</v>
      </c>
      <c r="D2" s="24" t="s">
        <v>98</v>
      </c>
      <c r="E2" s="25"/>
      <c r="F2" s="15">
        <v>14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ht="12.75" customHeight="1" x14ac:dyDescent="0.15">
      <c r="A3" s="13"/>
      <c r="B3" s="13"/>
      <c r="C3" s="14">
        <f>AVERAGE(C4,C14:C69)</f>
        <v>18.55263157894737</v>
      </c>
      <c r="D3" s="24" t="s">
        <v>109</v>
      </c>
      <c r="E3" s="25"/>
      <c r="F3" s="16">
        <f>AVERAGE(F4,F14:F69)/F2</f>
        <v>0.9285714285714286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ht="12.75" customHeight="1" x14ac:dyDescent="0.15">
      <c r="A4" s="17" t="s">
        <v>245</v>
      </c>
      <c r="B4" s="18" t="s">
        <v>132</v>
      </c>
      <c r="C4" s="14">
        <f>IF($C$2&gt;0,MIN($C$2,ROUNDDOWN(D4/E4*$C$2/0.5,0)*0.5),ROUNDDOWN(D4/0.5,0)*0.5)</f>
        <v>0</v>
      </c>
      <c r="D4" s="15">
        <f>SUM(F4)</f>
        <v>0</v>
      </c>
      <c r="E4" s="15">
        <v>14</v>
      </c>
      <c r="F4" s="15">
        <v>0</v>
      </c>
      <c r="G4" s="21" t="s">
        <v>132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 ht="12.75" customHeight="1" x14ac:dyDescent="0.15">
      <c r="A5" s="17"/>
      <c r="B5" s="18" t="s">
        <v>117</v>
      </c>
      <c r="C5" s="19" t="s">
        <v>111</v>
      </c>
      <c r="D5" s="20">
        <f>SUM(A5)</f>
        <v>0</v>
      </c>
      <c r="E5" s="20"/>
      <c r="F5" s="20"/>
      <c r="G5" s="21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19" ht="12.75" customHeight="1" x14ac:dyDescent="0.15">
      <c r="A6" s="17"/>
      <c r="B6" s="18" t="s">
        <v>121</v>
      </c>
      <c r="C6" s="19" t="s">
        <v>111</v>
      </c>
      <c r="D6" s="20">
        <f>SUM(A6)</f>
        <v>0</v>
      </c>
      <c r="E6" s="20"/>
      <c r="F6" s="20"/>
      <c r="G6" s="21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ht="12.75" customHeight="1" x14ac:dyDescent="0.15">
      <c r="A7" s="17"/>
      <c r="B7" s="18" t="s">
        <v>110</v>
      </c>
      <c r="C7" s="19" t="s">
        <v>111</v>
      </c>
      <c r="D7" s="20">
        <f>SUM(A7)</f>
        <v>0</v>
      </c>
      <c r="E7" s="20"/>
      <c r="F7" s="20"/>
      <c r="G7" s="21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</row>
    <row r="8" spans="1:19" ht="12.75" customHeight="1" x14ac:dyDescent="0.15">
      <c r="A8" s="17"/>
      <c r="B8" s="18" t="s">
        <v>126</v>
      </c>
      <c r="C8" s="19" t="s">
        <v>111</v>
      </c>
      <c r="D8" s="20">
        <f>SUM(A8)</f>
        <v>0</v>
      </c>
      <c r="E8" s="20"/>
      <c r="F8" s="20"/>
      <c r="G8" s="21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9" spans="1:19" ht="12.75" customHeight="1" x14ac:dyDescent="0.15">
      <c r="A9" s="17"/>
      <c r="B9" s="18" t="s">
        <v>112</v>
      </c>
      <c r="C9" s="19" t="s">
        <v>111</v>
      </c>
      <c r="D9" s="20">
        <f>SUM(A9)</f>
        <v>0</v>
      </c>
      <c r="E9" s="20"/>
      <c r="F9" s="20"/>
      <c r="G9" s="21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  <row r="10" spans="1:19" ht="12.75" customHeight="1" x14ac:dyDescent="0.15">
      <c r="A10" s="17"/>
      <c r="B10" s="18" t="s">
        <v>129</v>
      </c>
      <c r="C10" s="19" t="s">
        <v>111</v>
      </c>
      <c r="D10" s="20">
        <f>SUM(A10)</f>
        <v>0</v>
      </c>
      <c r="E10" s="20"/>
      <c r="F10" s="20"/>
      <c r="G10" s="21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</row>
    <row r="11" spans="1:19" ht="12.75" customHeight="1" x14ac:dyDescent="0.15">
      <c r="A11" s="17"/>
      <c r="B11" s="18" t="s">
        <v>133</v>
      </c>
      <c r="C11" s="19" t="s">
        <v>111</v>
      </c>
      <c r="D11" s="20">
        <f>SUM(A11)</f>
        <v>0</v>
      </c>
      <c r="E11" s="20"/>
      <c r="F11" s="20"/>
      <c r="G11" s="21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</row>
    <row r="12" spans="1:19" ht="12.75" customHeight="1" x14ac:dyDescent="0.15">
      <c r="A12" s="17"/>
      <c r="B12" s="18" t="s">
        <v>137</v>
      </c>
      <c r="C12" s="19" t="s">
        <v>111</v>
      </c>
      <c r="D12" s="20">
        <f>SUM(A12)</f>
        <v>0</v>
      </c>
      <c r="E12" s="20"/>
      <c r="F12" s="20"/>
      <c r="G12" s="21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1:19" ht="12.75" customHeight="1" x14ac:dyDescent="0.15">
      <c r="A13" s="17"/>
      <c r="B13" s="18" t="s">
        <v>113</v>
      </c>
      <c r="C13" s="19" t="s">
        <v>111</v>
      </c>
      <c r="D13" s="20">
        <f>SUM(A13)</f>
        <v>0</v>
      </c>
      <c r="E13" s="20"/>
      <c r="F13" s="20"/>
      <c r="G13" s="21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spans="1:19" ht="12.75" customHeight="1" x14ac:dyDescent="0.15">
      <c r="A14" s="17" t="s">
        <v>189</v>
      </c>
      <c r="B14" s="18" t="s">
        <v>256</v>
      </c>
      <c r="C14" s="14">
        <f t="shared" ref="C14:C69" si="0">IF($C$2&gt;0,MIN($C$2,ROUNDDOWN(D14/E14*$C$2/0.5,0)*0.5),ROUNDDOWN(D14/0.5,0)*0.5)</f>
        <v>8.5</v>
      </c>
      <c r="D14" s="15">
        <f t="shared" ref="D14:D69" si="1">SUM(F14)</f>
        <v>6</v>
      </c>
      <c r="E14" s="15">
        <v>14</v>
      </c>
      <c r="F14" s="15">
        <v>6</v>
      </c>
      <c r="G14" s="21" t="s">
        <v>256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</row>
    <row r="15" spans="1:19" ht="12.75" customHeight="1" x14ac:dyDescent="0.15">
      <c r="A15" s="17" t="s">
        <v>149</v>
      </c>
      <c r="B15" s="18" t="s">
        <v>154</v>
      </c>
      <c r="C15" s="14">
        <f t="shared" si="0"/>
        <v>8.5</v>
      </c>
      <c r="D15" s="15">
        <f t="shared" si="1"/>
        <v>6</v>
      </c>
      <c r="E15" s="15">
        <v>14</v>
      </c>
      <c r="F15" s="15">
        <v>6</v>
      </c>
      <c r="G15" s="21" t="s">
        <v>154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</row>
    <row r="16" spans="1:19" ht="12.75" customHeight="1" x14ac:dyDescent="0.15">
      <c r="A16" s="17" t="s">
        <v>197</v>
      </c>
      <c r="B16" s="18" t="s">
        <v>253</v>
      </c>
      <c r="C16" s="14">
        <f t="shared" si="0"/>
        <v>8.5</v>
      </c>
      <c r="D16" s="15">
        <f t="shared" si="1"/>
        <v>6</v>
      </c>
      <c r="E16" s="15">
        <v>14</v>
      </c>
      <c r="F16" s="15">
        <v>6</v>
      </c>
      <c r="G16" s="21" t="s">
        <v>253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</row>
    <row r="17" spans="1:19" ht="12.75" customHeight="1" x14ac:dyDescent="0.15">
      <c r="A17" s="17" t="s">
        <v>221</v>
      </c>
      <c r="B17" s="18" t="s">
        <v>193</v>
      </c>
      <c r="C17" s="14">
        <f t="shared" si="0"/>
        <v>10</v>
      </c>
      <c r="D17" s="15">
        <f t="shared" si="1"/>
        <v>7</v>
      </c>
      <c r="E17" s="15">
        <v>14</v>
      </c>
      <c r="F17" s="15">
        <v>7</v>
      </c>
      <c r="G17" s="21" t="s">
        <v>193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</row>
    <row r="18" spans="1:19" ht="12.75" customHeight="1" x14ac:dyDescent="0.15">
      <c r="A18" s="17" t="s">
        <v>205</v>
      </c>
      <c r="B18" s="18" t="s">
        <v>165</v>
      </c>
      <c r="C18" s="14">
        <f t="shared" si="0"/>
        <v>18.5</v>
      </c>
      <c r="D18" s="15">
        <f t="shared" si="1"/>
        <v>13</v>
      </c>
      <c r="E18" s="15">
        <v>14</v>
      </c>
      <c r="F18" s="15">
        <v>13</v>
      </c>
      <c r="G18" s="21" t="s">
        <v>165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spans="1:19" ht="12.75" customHeight="1" x14ac:dyDescent="0.15">
      <c r="A19" s="17" t="s">
        <v>152</v>
      </c>
      <c r="B19" s="18" t="s">
        <v>216</v>
      </c>
      <c r="C19" s="14">
        <f t="shared" si="0"/>
        <v>18.5</v>
      </c>
      <c r="D19" s="15">
        <f t="shared" si="1"/>
        <v>13</v>
      </c>
      <c r="E19" s="15">
        <v>14</v>
      </c>
      <c r="F19" s="15">
        <v>13</v>
      </c>
      <c r="G19" s="21" t="s">
        <v>216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</row>
    <row r="20" spans="1:19" ht="12.75" customHeight="1" x14ac:dyDescent="0.15">
      <c r="A20" s="17" t="s">
        <v>183</v>
      </c>
      <c r="B20" s="18" t="s">
        <v>173</v>
      </c>
      <c r="C20" s="14">
        <f t="shared" si="0"/>
        <v>18.5</v>
      </c>
      <c r="D20" s="15">
        <f t="shared" si="1"/>
        <v>13</v>
      </c>
      <c r="E20" s="15">
        <v>14</v>
      </c>
      <c r="F20" s="15">
        <v>13</v>
      </c>
      <c r="G20" s="21" t="s">
        <v>173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</row>
    <row r="21" spans="1:19" ht="12.75" customHeight="1" x14ac:dyDescent="0.15">
      <c r="A21" s="17" t="s">
        <v>223</v>
      </c>
      <c r="B21" s="18" t="s">
        <v>163</v>
      </c>
      <c r="C21" s="14">
        <f t="shared" si="0"/>
        <v>18.5</v>
      </c>
      <c r="D21" s="15">
        <f t="shared" si="1"/>
        <v>13</v>
      </c>
      <c r="E21" s="15">
        <v>14</v>
      </c>
      <c r="F21" s="15">
        <v>13</v>
      </c>
      <c r="G21" s="21" t="s">
        <v>163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</row>
    <row r="22" spans="1:19" ht="12.75" customHeight="1" x14ac:dyDescent="0.15">
      <c r="A22" s="17" t="s">
        <v>162</v>
      </c>
      <c r="B22" s="18" t="s">
        <v>229</v>
      </c>
      <c r="C22" s="14">
        <f t="shared" si="0"/>
        <v>18.5</v>
      </c>
      <c r="D22" s="15">
        <f t="shared" si="1"/>
        <v>13</v>
      </c>
      <c r="E22" s="15">
        <v>14</v>
      </c>
      <c r="F22" s="15">
        <v>13</v>
      </c>
      <c r="G22" s="21" t="s">
        <v>229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</row>
    <row r="23" spans="1:19" ht="12.75" customHeight="1" x14ac:dyDescent="0.15">
      <c r="A23" s="17" t="s">
        <v>230</v>
      </c>
      <c r="B23" s="18" t="s">
        <v>259</v>
      </c>
      <c r="C23" s="14">
        <f t="shared" si="0"/>
        <v>18.5</v>
      </c>
      <c r="D23" s="15">
        <f t="shared" si="1"/>
        <v>13</v>
      </c>
      <c r="E23" s="15">
        <v>14</v>
      </c>
      <c r="F23" s="15">
        <v>13</v>
      </c>
      <c r="G23" s="21" t="s">
        <v>259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</row>
    <row r="24" spans="1:19" ht="12.75" customHeight="1" x14ac:dyDescent="0.15">
      <c r="A24" s="17" t="s">
        <v>164</v>
      </c>
      <c r="B24" s="18" t="s">
        <v>206</v>
      </c>
      <c r="C24" s="14">
        <f t="shared" si="0"/>
        <v>18.5</v>
      </c>
      <c r="D24" s="15">
        <f t="shared" si="1"/>
        <v>13</v>
      </c>
      <c r="E24" s="15">
        <v>14</v>
      </c>
      <c r="F24" s="15">
        <v>13</v>
      </c>
      <c r="G24" s="21" t="s">
        <v>207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</row>
    <row r="25" spans="1:19" ht="12.75" customHeight="1" x14ac:dyDescent="0.15">
      <c r="A25" s="17" t="s">
        <v>217</v>
      </c>
      <c r="B25" s="18" t="s">
        <v>209</v>
      </c>
      <c r="C25" s="14">
        <f t="shared" si="0"/>
        <v>18.5</v>
      </c>
      <c r="D25" s="15">
        <f t="shared" si="1"/>
        <v>13</v>
      </c>
      <c r="E25" s="15">
        <v>14</v>
      </c>
      <c r="F25" s="15">
        <v>13</v>
      </c>
      <c r="G25" s="21" t="s">
        <v>209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pans="1:19" ht="12.75" customHeight="1" x14ac:dyDescent="0.15">
      <c r="A26" s="17" t="s">
        <v>275</v>
      </c>
      <c r="B26" s="18" t="s">
        <v>242</v>
      </c>
      <c r="C26" s="14">
        <f t="shared" si="0"/>
        <v>18.5</v>
      </c>
      <c r="D26" s="15">
        <f t="shared" si="1"/>
        <v>13</v>
      </c>
      <c r="E26" s="15">
        <v>14</v>
      </c>
      <c r="F26" s="15">
        <v>13</v>
      </c>
      <c r="G26" s="21" t="s">
        <v>242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</row>
    <row r="27" spans="1:19" ht="12.75" customHeight="1" x14ac:dyDescent="0.15">
      <c r="A27" s="17" t="s">
        <v>232</v>
      </c>
      <c r="B27" s="18" t="s">
        <v>228</v>
      </c>
      <c r="C27" s="14">
        <f t="shared" si="0"/>
        <v>18.5</v>
      </c>
      <c r="D27" s="15">
        <f t="shared" si="1"/>
        <v>13</v>
      </c>
      <c r="E27" s="15">
        <v>14</v>
      </c>
      <c r="F27" s="15">
        <v>13</v>
      </c>
      <c r="G27" s="21" t="s">
        <v>228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</row>
    <row r="28" spans="1:19" ht="12.75" customHeight="1" x14ac:dyDescent="0.15">
      <c r="A28" s="17" t="s">
        <v>125</v>
      </c>
      <c r="B28" s="18" t="s">
        <v>185</v>
      </c>
      <c r="C28" s="14">
        <f t="shared" si="0"/>
        <v>18.5</v>
      </c>
      <c r="D28" s="15">
        <f t="shared" si="1"/>
        <v>13</v>
      </c>
      <c r="E28" s="15">
        <v>14</v>
      </c>
      <c r="F28" s="15">
        <v>13</v>
      </c>
      <c r="G28" s="21" t="s">
        <v>185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</row>
    <row r="29" spans="1:19" ht="12.75" customHeight="1" x14ac:dyDescent="0.15">
      <c r="A29" s="17" t="s">
        <v>215</v>
      </c>
      <c r="B29" s="18" t="s">
        <v>128</v>
      </c>
      <c r="C29" s="14">
        <f t="shared" si="0"/>
        <v>18.5</v>
      </c>
      <c r="D29" s="15">
        <f t="shared" si="1"/>
        <v>13</v>
      </c>
      <c r="E29" s="15">
        <v>14</v>
      </c>
      <c r="F29" s="15">
        <v>13</v>
      </c>
      <c r="G29" s="21" t="s">
        <v>128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</row>
    <row r="30" spans="1:19" ht="12.75" customHeight="1" x14ac:dyDescent="0.15">
      <c r="A30" s="17" t="s">
        <v>255</v>
      </c>
      <c r="B30" s="18" t="s">
        <v>200</v>
      </c>
      <c r="C30" s="14">
        <f t="shared" si="0"/>
        <v>20</v>
      </c>
      <c r="D30" s="15">
        <f t="shared" si="1"/>
        <v>14</v>
      </c>
      <c r="E30" s="15">
        <v>14</v>
      </c>
      <c r="F30" s="15">
        <v>14</v>
      </c>
      <c r="G30" s="21" t="s">
        <v>200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</row>
    <row r="31" spans="1:19" ht="12.75" customHeight="1" x14ac:dyDescent="0.15">
      <c r="A31" s="17" t="s">
        <v>227</v>
      </c>
      <c r="B31" s="18" t="s">
        <v>214</v>
      </c>
      <c r="C31" s="14">
        <f t="shared" si="0"/>
        <v>20</v>
      </c>
      <c r="D31" s="15">
        <f t="shared" si="1"/>
        <v>14</v>
      </c>
      <c r="E31" s="15">
        <v>14</v>
      </c>
      <c r="F31" s="15">
        <v>14</v>
      </c>
      <c r="G31" s="21" t="s">
        <v>214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</row>
    <row r="32" spans="1:19" ht="12.75" customHeight="1" x14ac:dyDescent="0.15">
      <c r="A32" s="17" t="s">
        <v>201</v>
      </c>
      <c r="B32" s="18" t="s">
        <v>224</v>
      </c>
      <c r="C32" s="14">
        <f t="shared" si="0"/>
        <v>20</v>
      </c>
      <c r="D32" s="15">
        <f t="shared" si="1"/>
        <v>14</v>
      </c>
      <c r="E32" s="15">
        <v>14</v>
      </c>
      <c r="F32" s="15">
        <v>14</v>
      </c>
      <c r="G32" s="21" t="s">
        <v>224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</row>
    <row r="33" spans="1:19" ht="12.75" customHeight="1" x14ac:dyDescent="0.15">
      <c r="A33" s="17" t="s">
        <v>141</v>
      </c>
      <c r="B33" s="18" t="s">
        <v>249</v>
      </c>
      <c r="C33" s="14">
        <f t="shared" si="0"/>
        <v>20</v>
      </c>
      <c r="D33" s="15">
        <f t="shared" si="1"/>
        <v>14</v>
      </c>
      <c r="E33" s="15">
        <v>14</v>
      </c>
      <c r="F33" s="15">
        <v>14</v>
      </c>
      <c r="G33" s="21" t="s">
        <v>249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</row>
    <row r="34" spans="1:19" ht="12.75" customHeight="1" x14ac:dyDescent="0.15">
      <c r="A34" s="17" t="s">
        <v>213</v>
      </c>
      <c r="B34" s="18" t="s">
        <v>119</v>
      </c>
      <c r="C34" s="14">
        <f t="shared" si="0"/>
        <v>20</v>
      </c>
      <c r="D34" s="15">
        <f t="shared" si="1"/>
        <v>14</v>
      </c>
      <c r="E34" s="15">
        <v>14</v>
      </c>
      <c r="F34" s="15">
        <v>14</v>
      </c>
      <c r="G34" s="21" t="s">
        <v>120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</row>
    <row r="35" spans="1:19" ht="12.75" customHeight="1" x14ac:dyDescent="0.15">
      <c r="A35" s="17" t="s">
        <v>177</v>
      </c>
      <c r="B35" s="18" t="s">
        <v>176</v>
      </c>
      <c r="C35" s="14">
        <f t="shared" si="0"/>
        <v>20</v>
      </c>
      <c r="D35" s="15">
        <f t="shared" si="1"/>
        <v>14</v>
      </c>
      <c r="E35" s="15">
        <v>14</v>
      </c>
      <c r="F35" s="15">
        <v>14</v>
      </c>
      <c r="G35" s="21" t="s">
        <v>176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</row>
    <row r="36" spans="1:19" ht="12.75" customHeight="1" x14ac:dyDescent="0.15">
      <c r="A36" s="17" t="s">
        <v>145</v>
      </c>
      <c r="B36" s="18" t="s">
        <v>211</v>
      </c>
      <c r="C36" s="14">
        <f t="shared" si="0"/>
        <v>20</v>
      </c>
      <c r="D36" s="15">
        <f t="shared" si="1"/>
        <v>14</v>
      </c>
      <c r="E36" s="15">
        <v>14</v>
      </c>
      <c r="F36" s="15">
        <v>14</v>
      </c>
      <c r="G36" s="21" t="s">
        <v>211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</row>
    <row r="37" spans="1:19" ht="12.75" customHeight="1" x14ac:dyDescent="0.15">
      <c r="A37" s="17" t="s">
        <v>238</v>
      </c>
      <c r="B37" s="18" t="s">
        <v>247</v>
      </c>
      <c r="C37" s="14">
        <f t="shared" si="0"/>
        <v>20</v>
      </c>
      <c r="D37" s="15">
        <f t="shared" si="1"/>
        <v>14</v>
      </c>
      <c r="E37" s="15">
        <v>14</v>
      </c>
      <c r="F37" s="15">
        <v>14</v>
      </c>
      <c r="G37" s="21" t="s">
        <v>247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</row>
    <row r="38" spans="1:19" ht="12.75" customHeight="1" x14ac:dyDescent="0.15">
      <c r="A38" s="17" t="s">
        <v>178</v>
      </c>
      <c r="B38" s="18" t="s">
        <v>204</v>
      </c>
      <c r="C38" s="14">
        <f t="shared" si="0"/>
        <v>20</v>
      </c>
      <c r="D38" s="15">
        <f t="shared" si="1"/>
        <v>14</v>
      </c>
      <c r="E38" s="15">
        <v>14</v>
      </c>
      <c r="F38" s="15">
        <v>14</v>
      </c>
      <c r="G38" s="21" t="s">
        <v>204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</row>
    <row r="39" spans="1:19" ht="12.75" customHeight="1" x14ac:dyDescent="0.15">
      <c r="A39" s="17" t="s">
        <v>254</v>
      </c>
      <c r="B39" s="18" t="s">
        <v>198</v>
      </c>
      <c r="C39" s="14">
        <f t="shared" si="0"/>
        <v>20</v>
      </c>
      <c r="D39" s="15">
        <f t="shared" si="1"/>
        <v>14</v>
      </c>
      <c r="E39" s="15">
        <v>14</v>
      </c>
      <c r="F39" s="15">
        <v>14</v>
      </c>
      <c r="G39" s="21" t="s">
        <v>198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</row>
    <row r="40" spans="1:19" ht="12.75" customHeight="1" x14ac:dyDescent="0.15">
      <c r="A40" s="17" t="s">
        <v>219</v>
      </c>
      <c r="B40" s="18" t="s">
        <v>258</v>
      </c>
      <c r="C40" s="14">
        <f t="shared" si="0"/>
        <v>20</v>
      </c>
      <c r="D40" s="15">
        <f t="shared" si="1"/>
        <v>14</v>
      </c>
      <c r="E40" s="15">
        <v>14</v>
      </c>
      <c r="F40" s="15">
        <v>14</v>
      </c>
      <c r="G40" s="21" t="s">
        <v>258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</row>
    <row r="41" spans="1:19" ht="12.75" customHeight="1" x14ac:dyDescent="0.15">
      <c r="A41" s="17" t="s">
        <v>188</v>
      </c>
      <c r="B41" s="18" t="s">
        <v>136</v>
      </c>
      <c r="C41" s="14">
        <f t="shared" si="0"/>
        <v>20</v>
      </c>
      <c r="D41" s="15">
        <f t="shared" si="1"/>
        <v>14</v>
      </c>
      <c r="E41" s="15">
        <v>14</v>
      </c>
      <c r="F41" s="15">
        <v>14</v>
      </c>
      <c r="G41" s="21" t="s">
        <v>136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spans="1:19" ht="12.75" customHeight="1" x14ac:dyDescent="0.15">
      <c r="A42" s="17" t="s">
        <v>156</v>
      </c>
      <c r="B42" s="18" t="s">
        <v>190</v>
      </c>
      <c r="C42" s="14">
        <f t="shared" si="0"/>
        <v>20</v>
      </c>
      <c r="D42" s="15">
        <f t="shared" si="1"/>
        <v>14</v>
      </c>
      <c r="E42" s="15">
        <v>14</v>
      </c>
      <c r="F42" s="15">
        <v>14</v>
      </c>
      <c r="G42" s="21" t="s">
        <v>190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1:19" ht="12.75" customHeight="1" x14ac:dyDescent="0.15">
      <c r="A43" s="17" t="s">
        <v>174</v>
      </c>
      <c r="B43" s="18" t="s">
        <v>123</v>
      </c>
      <c r="C43" s="14">
        <f t="shared" si="0"/>
        <v>20</v>
      </c>
      <c r="D43" s="15">
        <f t="shared" si="1"/>
        <v>14</v>
      </c>
      <c r="E43" s="15">
        <v>14</v>
      </c>
      <c r="F43" s="15">
        <v>14</v>
      </c>
      <c r="G43" s="21" t="s">
        <v>123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1:19" ht="12.75" customHeight="1" x14ac:dyDescent="0.15">
      <c r="A44" s="17" t="s">
        <v>194</v>
      </c>
      <c r="B44" s="18" t="s">
        <v>231</v>
      </c>
      <c r="C44" s="14">
        <f t="shared" si="0"/>
        <v>20</v>
      </c>
      <c r="D44" s="15">
        <f t="shared" si="1"/>
        <v>14</v>
      </c>
      <c r="E44" s="15">
        <v>14</v>
      </c>
      <c r="F44" s="15">
        <v>14</v>
      </c>
      <c r="G44" s="21" t="s">
        <v>231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</row>
    <row r="45" spans="1:19" ht="12.75" customHeight="1" x14ac:dyDescent="0.15">
      <c r="A45" s="17" t="s">
        <v>199</v>
      </c>
      <c r="B45" s="18" t="s">
        <v>202</v>
      </c>
      <c r="C45" s="14">
        <f t="shared" si="0"/>
        <v>20</v>
      </c>
      <c r="D45" s="15">
        <f t="shared" si="1"/>
        <v>14</v>
      </c>
      <c r="E45" s="15">
        <v>14</v>
      </c>
      <c r="F45" s="15">
        <v>14</v>
      </c>
      <c r="G45" s="21" t="s">
        <v>202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</row>
    <row r="46" spans="1:19" ht="12.75" customHeight="1" x14ac:dyDescent="0.15">
      <c r="A46" s="17" t="s">
        <v>222</v>
      </c>
      <c r="B46" s="18" t="s">
        <v>142</v>
      </c>
      <c r="C46" s="14">
        <f t="shared" si="0"/>
        <v>20</v>
      </c>
      <c r="D46" s="15">
        <f t="shared" si="1"/>
        <v>14</v>
      </c>
      <c r="E46" s="15">
        <v>14</v>
      </c>
      <c r="F46" s="15">
        <v>14</v>
      </c>
      <c r="G46" s="21" t="s">
        <v>142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1:19" ht="12.75" customHeight="1" x14ac:dyDescent="0.15">
      <c r="A47" s="17" t="s">
        <v>184</v>
      </c>
      <c r="B47" s="18" t="s">
        <v>250</v>
      </c>
      <c r="C47" s="14">
        <f t="shared" si="0"/>
        <v>20</v>
      </c>
      <c r="D47" s="15">
        <f t="shared" si="1"/>
        <v>14</v>
      </c>
      <c r="E47" s="15">
        <v>14</v>
      </c>
      <c r="F47" s="15">
        <v>14</v>
      </c>
      <c r="G47" s="21" t="s">
        <v>250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1:19" ht="12.75" customHeight="1" x14ac:dyDescent="0.15">
      <c r="A48" s="17" t="s">
        <v>172</v>
      </c>
      <c r="B48" s="18" t="s">
        <v>234</v>
      </c>
      <c r="C48" s="14">
        <f t="shared" si="0"/>
        <v>20</v>
      </c>
      <c r="D48" s="15">
        <f t="shared" si="1"/>
        <v>14</v>
      </c>
      <c r="E48" s="15">
        <v>14</v>
      </c>
      <c r="F48" s="15">
        <v>14</v>
      </c>
      <c r="G48" s="21" t="s">
        <v>234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1:19" ht="12.75" customHeight="1" x14ac:dyDescent="0.15">
      <c r="A49" s="17" t="s">
        <v>139</v>
      </c>
      <c r="B49" s="18" t="s">
        <v>146</v>
      </c>
      <c r="C49" s="14">
        <f t="shared" si="0"/>
        <v>20</v>
      </c>
      <c r="D49" s="15">
        <f t="shared" si="1"/>
        <v>14</v>
      </c>
      <c r="E49" s="15">
        <v>14</v>
      </c>
      <c r="F49" s="15">
        <v>14</v>
      </c>
      <c r="G49" s="21" t="s">
        <v>146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 spans="1:19" ht="12.75" customHeight="1" x14ac:dyDescent="0.15">
      <c r="A50" s="17" t="s">
        <v>166</v>
      </c>
      <c r="B50" s="18" t="s">
        <v>144</v>
      </c>
      <c r="C50" s="14">
        <f t="shared" si="0"/>
        <v>20</v>
      </c>
      <c r="D50" s="15">
        <f t="shared" si="1"/>
        <v>14</v>
      </c>
      <c r="E50" s="15">
        <v>14</v>
      </c>
      <c r="F50" s="15">
        <v>14</v>
      </c>
      <c r="G50" s="21" t="s">
        <v>281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</row>
    <row r="51" spans="1:19" ht="12.75" customHeight="1" x14ac:dyDescent="0.15">
      <c r="A51" s="17" t="s">
        <v>257</v>
      </c>
      <c r="B51" s="18" t="s">
        <v>237</v>
      </c>
      <c r="C51" s="14">
        <f t="shared" si="0"/>
        <v>20</v>
      </c>
      <c r="D51" s="15">
        <f t="shared" si="1"/>
        <v>14</v>
      </c>
      <c r="E51" s="15">
        <v>14</v>
      </c>
      <c r="F51" s="15">
        <v>14</v>
      </c>
      <c r="G51" s="21" t="s">
        <v>237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</row>
    <row r="52" spans="1:19" ht="12.75" customHeight="1" x14ac:dyDescent="0.15">
      <c r="A52" s="17" t="s">
        <v>182</v>
      </c>
      <c r="B52" s="18" t="s">
        <v>251</v>
      </c>
      <c r="C52" s="14">
        <f t="shared" si="0"/>
        <v>20</v>
      </c>
      <c r="D52" s="15">
        <f t="shared" si="1"/>
        <v>14</v>
      </c>
      <c r="E52" s="15">
        <v>14</v>
      </c>
      <c r="F52" s="15">
        <v>14</v>
      </c>
      <c r="G52" s="21" t="s">
        <v>251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</row>
    <row r="53" spans="1:19" ht="12.75" customHeight="1" x14ac:dyDescent="0.15">
      <c r="A53" s="17" t="s">
        <v>252</v>
      </c>
      <c r="B53" s="18" t="s">
        <v>150</v>
      </c>
      <c r="C53" s="14">
        <f t="shared" si="0"/>
        <v>20</v>
      </c>
      <c r="D53" s="15">
        <f t="shared" si="1"/>
        <v>14</v>
      </c>
      <c r="E53" s="15">
        <v>14</v>
      </c>
      <c r="F53" s="15">
        <v>14</v>
      </c>
      <c r="G53" s="21" t="s">
        <v>150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</row>
    <row r="54" spans="1:19" ht="12.75" customHeight="1" x14ac:dyDescent="0.15">
      <c r="A54" s="17" t="s">
        <v>203</v>
      </c>
      <c r="B54" s="18" t="s">
        <v>260</v>
      </c>
      <c r="C54" s="14">
        <f t="shared" si="0"/>
        <v>20</v>
      </c>
      <c r="D54" s="15">
        <f t="shared" si="1"/>
        <v>14</v>
      </c>
      <c r="E54" s="15">
        <v>14</v>
      </c>
      <c r="F54" s="15">
        <v>14</v>
      </c>
      <c r="G54" s="21" t="s">
        <v>260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</row>
    <row r="55" spans="1:19" ht="12.75" customHeight="1" x14ac:dyDescent="0.15">
      <c r="A55" s="17" t="s">
        <v>220</v>
      </c>
      <c r="B55" s="18" t="s">
        <v>239</v>
      </c>
      <c r="C55" s="14">
        <f t="shared" si="0"/>
        <v>20</v>
      </c>
      <c r="D55" s="15">
        <f t="shared" si="1"/>
        <v>14</v>
      </c>
      <c r="E55" s="15">
        <v>14</v>
      </c>
      <c r="F55" s="15">
        <v>14</v>
      </c>
      <c r="G55" s="21" t="s">
        <v>239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</row>
    <row r="56" spans="1:19" ht="12.75" customHeight="1" x14ac:dyDescent="0.15">
      <c r="A56" s="17" t="s">
        <v>192</v>
      </c>
      <c r="B56" s="18" t="s">
        <v>167</v>
      </c>
      <c r="C56" s="14">
        <f t="shared" si="0"/>
        <v>20</v>
      </c>
      <c r="D56" s="15">
        <f t="shared" si="1"/>
        <v>14</v>
      </c>
      <c r="E56" s="15">
        <v>14</v>
      </c>
      <c r="F56" s="15">
        <v>14</v>
      </c>
      <c r="G56" s="21" t="s">
        <v>167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</row>
    <row r="57" spans="1:19" ht="12.75" customHeight="1" x14ac:dyDescent="0.15">
      <c r="A57" s="17" t="s">
        <v>114</v>
      </c>
      <c r="B57" s="18" t="s">
        <v>151</v>
      </c>
      <c r="C57" s="14">
        <f t="shared" si="0"/>
        <v>20</v>
      </c>
      <c r="D57" s="15">
        <f t="shared" si="1"/>
        <v>14</v>
      </c>
      <c r="E57" s="15">
        <v>14</v>
      </c>
      <c r="F57" s="15">
        <v>14</v>
      </c>
      <c r="G57" s="21" t="s">
        <v>151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</row>
    <row r="58" spans="1:19" ht="12.75" customHeight="1" x14ac:dyDescent="0.15">
      <c r="A58" s="17" t="s">
        <v>122</v>
      </c>
      <c r="B58" s="18" t="s">
        <v>170</v>
      </c>
      <c r="C58" s="14">
        <f t="shared" si="0"/>
        <v>20</v>
      </c>
      <c r="D58" s="15">
        <f t="shared" si="1"/>
        <v>14</v>
      </c>
      <c r="E58" s="15">
        <v>14</v>
      </c>
      <c r="F58" s="15">
        <v>14</v>
      </c>
      <c r="G58" s="21" t="s">
        <v>170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</row>
    <row r="59" spans="1:19" ht="12.75" customHeight="1" x14ac:dyDescent="0.15">
      <c r="A59" s="17" t="s">
        <v>135</v>
      </c>
      <c r="B59" s="18" t="s">
        <v>180</v>
      </c>
      <c r="C59" s="14">
        <f t="shared" si="0"/>
        <v>20</v>
      </c>
      <c r="D59" s="15">
        <f t="shared" si="1"/>
        <v>14</v>
      </c>
      <c r="E59" s="15">
        <v>14</v>
      </c>
      <c r="F59" s="15">
        <v>14</v>
      </c>
      <c r="G59" s="21" t="s">
        <v>180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</row>
    <row r="60" spans="1:19" ht="12.75" customHeight="1" x14ac:dyDescent="0.15">
      <c r="A60" s="17" t="s">
        <v>169</v>
      </c>
      <c r="B60" s="18" t="s">
        <v>208</v>
      </c>
      <c r="C60" s="14">
        <f t="shared" si="0"/>
        <v>20</v>
      </c>
      <c r="D60" s="15">
        <f t="shared" si="1"/>
        <v>14</v>
      </c>
      <c r="E60" s="15">
        <v>14</v>
      </c>
      <c r="F60" s="15">
        <v>14</v>
      </c>
      <c r="G60" s="21" t="s">
        <v>208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</row>
    <row r="61" spans="1:19" ht="12.75" customHeight="1" x14ac:dyDescent="0.15">
      <c r="A61" s="17" t="s">
        <v>186</v>
      </c>
      <c r="B61" s="18" t="s">
        <v>218</v>
      </c>
      <c r="C61" s="14">
        <f t="shared" si="0"/>
        <v>20</v>
      </c>
      <c r="D61" s="15">
        <f t="shared" si="1"/>
        <v>14</v>
      </c>
      <c r="E61" s="15">
        <v>14</v>
      </c>
      <c r="F61" s="15">
        <v>14</v>
      </c>
      <c r="G61" s="21" t="s">
        <v>218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</row>
    <row r="62" spans="1:19" ht="12.75" customHeight="1" x14ac:dyDescent="0.15">
      <c r="A62" s="17" t="s">
        <v>225</v>
      </c>
      <c r="B62" s="18" t="s">
        <v>226</v>
      </c>
      <c r="C62" s="14">
        <f t="shared" si="0"/>
        <v>20</v>
      </c>
      <c r="D62" s="15">
        <f t="shared" si="1"/>
        <v>14</v>
      </c>
      <c r="E62" s="15">
        <v>14</v>
      </c>
      <c r="F62" s="15">
        <v>14</v>
      </c>
      <c r="G62" s="21" t="s">
        <v>226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</row>
    <row r="63" spans="1:19" ht="12.75" customHeight="1" x14ac:dyDescent="0.15">
      <c r="A63" s="17" t="s">
        <v>161</v>
      </c>
      <c r="B63" s="18" t="s">
        <v>148</v>
      </c>
      <c r="C63" s="14">
        <f t="shared" si="0"/>
        <v>20</v>
      </c>
      <c r="D63" s="15">
        <f t="shared" si="1"/>
        <v>14</v>
      </c>
      <c r="E63" s="15">
        <v>14</v>
      </c>
      <c r="F63" s="15">
        <v>14</v>
      </c>
      <c r="G63" s="21" t="s">
        <v>148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</row>
    <row r="64" spans="1:19" ht="12.75" customHeight="1" x14ac:dyDescent="0.15">
      <c r="A64" s="17" t="s">
        <v>131</v>
      </c>
      <c r="B64" s="18" t="s">
        <v>153</v>
      </c>
      <c r="C64" s="14">
        <f t="shared" si="0"/>
        <v>20</v>
      </c>
      <c r="D64" s="15">
        <f t="shared" si="1"/>
        <v>14</v>
      </c>
      <c r="E64" s="15">
        <v>14</v>
      </c>
      <c r="F64" s="15">
        <v>14</v>
      </c>
      <c r="G64" s="21" t="s">
        <v>261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</row>
    <row r="65" spans="1:19" ht="12.75" customHeight="1" x14ac:dyDescent="0.15">
      <c r="A65" s="17" t="s">
        <v>143</v>
      </c>
      <c r="B65" s="18" t="s">
        <v>115</v>
      </c>
      <c r="C65" s="14">
        <f t="shared" si="0"/>
        <v>20</v>
      </c>
      <c r="D65" s="15">
        <f t="shared" si="1"/>
        <v>14</v>
      </c>
      <c r="E65" s="15">
        <v>14</v>
      </c>
      <c r="F65" s="15">
        <v>14</v>
      </c>
      <c r="G65" s="21" t="s">
        <v>115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</row>
    <row r="66" spans="1:19" ht="12.75" customHeight="1" x14ac:dyDescent="0.15">
      <c r="A66" s="17" t="s">
        <v>195</v>
      </c>
      <c r="B66" s="18" t="s">
        <v>187</v>
      </c>
      <c r="C66" s="14">
        <f t="shared" si="0"/>
        <v>20</v>
      </c>
      <c r="D66" s="15">
        <f t="shared" si="1"/>
        <v>14</v>
      </c>
      <c r="E66" s="15">
        <v>14</v>
      </c>
      <c r="F66" s="15">
        <v>14</v>
      </c>
      <c r="G66" s="21" t="s">
        <v>187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</row>
    <row r="67" spans="1:19" ht="12.75" customHeight="1" x14ac:dyDescent="0.15">
      <c r="A67" s="17" t="s">
        <v>138</v>
      </c>
      <c r="B67" s="18" t="s">
        <v>157</v>
      </c>
      <c r="C67" s="14">
        <f t="shared" si="0"/>
        <v>20</v>
      </c>
      <c r="D67" s="15">
        <f t="shared" si="1"/>
        <v>14</v>
      </c>
      <c r="E67" s="15">
        <v>14</v>
      </c>
      <c r="F67" s="15">
        <v>14</v>
      </c>
      <c r="G67" s="21" t="s">
        <v>157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</row>
    <row r="68" spans="1:19" ht="12.75" customHeight="1" x14ac:dyDescent="0.15">
      <c r="A68" s="17" t="s">
        <v>175</v>
      </c>
      <c r="B68" s="18" t="s">
        <v>159</v>
      </c>
      <c r="C68" s="14">
        <f t="shared" si="0"/>
        <v>20</v>
      </c>
      <c r="D68" s="15">
        <f t="shared" si="1"/>
        <v>14</v>
      </c>
      <c r="E68" s="15">
        <v>14</v>
      </c>
      <c r="F68" s="15">
        <v>14</v>
      </c>
      <c r="G68" s="21" t="s">
        <v>159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</row>
    <row r="69" spans="1:19" ht="12.75" customHeight="1" x14ac:dyDescent="0.15">
      <c r="A69" s="17" t="s">
        <v>248</v>
      </c>
      <c r="B69" s="18" t="s">
        <v>244</v>
      </c>
      <c r="C69" s="14">
        <f t="shared" si="0"/>
        <v>20</v>
      </c>
      <c r="D69" s="15">
        <f t="shared" si="1"/>
        <v>14</v>
      </c>
      <c r="E69" s="15">
        <v>14</v>
      </c>
      <c r="F69" s="15">
        <v>14</v>
      </c>
      <c r="G69" s="21" t="s">
        <v>246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</row>
    <row r="70" spans="1:19" ht="12.75" customHeight="1" x14ac:dyDescent="0.1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</row>
    <row r="71" spans="1:19" ht="12.75" customHeight="1" x14ac:dyDescent="0.1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</row>
    <row r="72" spans="1:19" ht="12.75" customHeight="1" x14ac:dyDescent="0.1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</row>
    <row r="73" spans="1:19" ht="12.75" customHeight="1" x14ac:dyDescent="0.1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</row>
    <row r="74" spans="1:19" ht="12.75" customHeight="1" x14ac:dyDescent="0.1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</row>
    <row r="75" spans="1:19" ht="12.75" customHeight="1" x14ac:dyDescent="0.1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</row>
    <row r="76" spans="1:19" ht="12.75" customHeight="1" x14ac:dyDescent="0.1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</row>
    <row r="77" spans="1:19" ht="12.75" customHeight="1" x14ac:dyDescent="0.1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</row>
    <row r="78" spans="1:19" ht="12.75" customHeight="1" x14ac:dyDescent="0.1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</row>
    <row r="79" spans="1:19" ht="12.75" customHeight="1" x14ac:dyDescent="0.1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</row>
    <row r="80" spans="1:19" ht="12.75" customHeight="1" x14ac:dyDescent="0.1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</row>
    <row r="81" spans="1:19" ht="12.75" customHeight="1" x14ac:dyDescent="0.1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</row>
    <row r="82" spans="1:19" ht="12.75" customHeight="1" x14ac:dyDescent="0.1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</row>
    <row r="83" spans="1:19" ht="12.75" customHeight="1" x14ac:dyDescent="0.1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</row>
    <row r="84" spans="1:19" ht="12.75" customHeight="1" x14ac:dyDescent="0.1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</row>
    <row r="85" spans="1:19" ht="12.75" customHeight="1" x14ac:dyDescent="0.1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</row>
    <row r="86" spans="1:19" ht="12.75" customHeight="1" x14ac:dyDescent="0.1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</row>
    <row r="87" spans="1:19" ht="12.75" customHeight="1" x14ac:dyDescent="0.1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</row>
    <row r="88" spans="1:19" ht="12.75" customHeight="1" x14ac:dyDescent="0.1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</row>
    <row r="89" spans="1:19" ht="12.75" customHeight="1" x14ac:dyDescent="0.1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</row>
    <row r="90" spans="1:19" ht="12.75" customHeight="1" x14ac:dyDescent="0.1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</row>
    <row r="91" spans="1:19" ht="12.75" customHeight="1" x14ac:dyDescent="0.1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</row>
    <row r="92" spans="1:19" ht="12.75" customHeight="1" x14ac:dyDescent="0.1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</row>
    <row r="93" spans="1:19" ht="12.75" customHeight="1" x14ac:dyDescent="0.1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</row>
    <row r="94" spans="1:19" ht="12.75" customHeight="1" x14ac:dyDescent="0.1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</row>
    <row r="95" spans="1:19" ht="12.75" customHeight="1" x14ac:dyDescent="0.1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</row>
    <row r="96" spans="1:19" ht="12.75" customHeight="1" x14ac:dyDescent="0.1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</row>
    <row r="97" spans="1:19" ht="12.75" customHeight="1" x14ac:dyDescent="0.1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</row>
    <row r="98" spans="1:19" ht="12.75" customHeight="1" x14ac:dyDescent="0.1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</row>
    <row r="99" spans="1:19" ht="12.75" customHeight="1" x14ac:dyDescent="0.1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</row>
    <row r="100" spans="1:19" ht="12.75" customHeight="1" x14ac:dyDescent="0.1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</row>
    <row r="101" spans="1:19" ht="12.75" customHeight="1" x14ac:dyDescent="0.1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</row>
    <row r="102" spans="1:19" ht="12.75" customHeight="1" x14ac:dyDescent="0.1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</row>
    <row r="103" spans="1:19" ht="12.75" customHeight="1" x14ac:dyDescent="0.1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</row>
    <row r="104" spans="1:19" ht="12.75" customHeight="1" x14ac:dyDescent="0.1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</row>
    <row r="105" spans="1:19" ht="12.75" customHeight="1" x14ac:dyDescent="0.1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</row>
    <row r="106" spans="1:19" ht="12.75" customHeight="1" x14ac:dyDescent="0.1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</row>
    <row r="107" spans="1:19" ht="12.75" customHeight="1" x14ac:dyDescent="0.1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</row>
    <row r="108" spans="1:19" ht="12.75" customHeight="1" x14ac:dyDescent="0.1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</row>
    <row r="109" spans="1:19" ht="12.75" customHeight="1" x14ac:dyDescent="0.1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</row>
    <row r="110" spans="1:19" ht="12.75" customHeight="1" x14ac:dyDescent="0.1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</row>
    <row r="111" spans="1:19" ht="12.75" customHeight="1" x14ac:dyDescent="0.1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</row>
    <row r="112" spans="1:19" ht="12.75" customHeight="1" x14ac:dyDescent="0.1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</row>
    <row r="113" spans="1:19" ht="12.75" customHeight="1" x14ac:dyDescent="0.1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</row>
    <row r="114" spans="1:19" ht="12.75" customHeight="1" x14ac:dyDescent="0.1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</row>
    <row r="115" spans="1:19" ht="12.75" customHeight="1" x14ac:dyDescent="0.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</row>
    <row r="116" spans="1:19" ht="12.75" customHeight="1" x14ac:dyDescent="0.1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</row>
    <row r="117" spans="1:19" ht="12.75" customHeight="1" x14ac:dyDescent="0.1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</row>
    <row r="118" spans="1:19" ht="12.75" customHeight="1" x14ac:dyDescent="0.1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</row>
    <row r="119" spans="1:19" ht="12.75" customHeight="1" x14ac:dyDescent="0.1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</row>
    <row r="120" spans="1:19" ht="12.75" customHeight="1" x14ac:dyDescent="0.1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</row>
    <row r="121" spans="1:19" ht="12.75" customHeight="1" x14ac:dyDescent="0.1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</row>
    <row r="122" spans="1:19" ht="12.75" customHeight="1" x14ac:dyDescent="0.1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</row>
    <row r="123" spans="1:19" ht="12.75" customHeight="1" x14ac:dyDescent="0.1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</row>
    <row r="124" spans="1:19" ht="12.75" customHeight="1" x14ac:dyDescent="0.1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</row>
    <row r="125" spans="1:19" ht="12.75" customHeight="1" x14ac:dyDescent="0.1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</row>
    <row r="126" spans="1:19" ht="12.75" customHeight="1" x14ac:dyDescent="0.1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</row>
    <row r="127" spans="1:19" ht="12.75" customHeight="1" x14ac:dyDescent="0.1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</row>
    <row r="128" spans="1:19" ht="12.75" customHeight="1" x14ac:dyDescent="0.1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</row>
    <row r="129" spans="1:19" ht="12.75" customHeight="1" x14ac:dyDescent="0.1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</row>
    <row r="130" spans="1:19" ht="12.75" customHeight="1" x14ac:dyDescent="0.1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</row>
    <row r="131" spans="1:19" ht="12.75" customHeight="1" x14ac:dyDescent="0.1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</row>
    <row r="132" spans="1:19" ht="12.75" customHeight="1" x14ac:dyDescent="0.1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</row>
    <row r="133" spans="1:19" ht="12.75" customHeight="1" x14ac:dyDescent="0.1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</row>
    <row r="134" spans="1:19" ht="12.75" customHeight="1" x14ac:dyDescent="0.1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</row>
    <row r="135" spans="1:19" ht="12.75" customHeight="1" x14ac:dyDescent="0.1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</row>
    <row r="136" spans="1:19" ht="12.75" customHeight="1" x14ac:dyDescent="0.1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</row>
    <row r="137" spans="1:19" ht="12.75" customHeight="1" x14ac:dyDescent="0.1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</row>
    <row r="138" spans="1:19" ht="12.75" customHeight="1" x14ac:dyDescent="0.1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</row>
    <row r="139" spans="1:19" ht="12.75" customHeight="1" x14ac:dyDescent="0.1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</row>
    <row r="140" spans="1:19" ht="12.75" customHeight="1" x14ac:dyDescent="0.1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</row>
    <row r="141" spans="1:19" ht="12.75" customHeight="1" x14ac:dyDescent="0.1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</row>
    <row r="142" spans="1:19" ht="12.75" customHeight="1" x14ac:dyDescent="0.1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</row>
    <row r="143" spans="1:19" ht="12.75" customHeight="1" x14ac:dyDescent="0.1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</row>
    <row r="144" spans="1:19" ht="12.75" customHeight="1" x14ac:dyDescent="0.1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</row>
    <row r="145" spans="1:19" ht="12.75" customHeight="1" x14ac:dyDescent="0.1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</row>
    <row r="146" spans="1:19" ht="12.75" customHeight="1" x14ac:dyDescent="0.1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</row>
    <row r="147" spans="1:19" ht="12.75" customHeight="1" x14ac:dyDescent="0.1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</row>
    <row r="148" spans="1:19" ht="12.75" customHeight="1" x14ac:dyDescent="0.1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</row>
    <row r="149" spans="1:19" ht="12.75" customHeight="1" x14ac:dyDescent="0.1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</row>
    <row r="150" spans="1:19" ht="12.75" customHeight="1" x14ac:dyDescent="0.1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</row>
    <row r="151" spans="1:19" ht="12.75" customHeight="1" x14ac:dyDescent="0.1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</row>
    <row r="152" spans="1:19" ht="12.75" customHeight="1" x14ac:dyDescent="0.1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</row>
    <row r="153" spans="1:19" ht="12.75" customHeight="1" x14ac:dyDescent="0.1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</row>
    <row r="154" spans="1:19" ht="12.75" customHeight="1" x14ac:dyDescent="0.1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</row>
    <row r="155" spans="1:19" ht="12.75" customHeight="1" x14ac:dyDescent="0.1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</row>
    <row r="156" spans="1:19" ht="12.75" customHeight="1" x14ac:dyDescent="0.1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</row>
    <row r="157" spans="1:19" ht="12.75" customHeight="1" x14ac:dyDescent="0.1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</row>
    <row r="158" spans="1:19" ht="12.75" customHeight="1" x14ac:dyDescent="0.1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</row>
    <row r="159" spans="1:19" ht="12.75" customHeight="1" x14ac:dyDescent="0.1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</row>
    <row r="160" spans="1:19" ht="12.75" customHeight="1" x14ac:dyDescent="0.1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</row>
    <row r="161" spans="1:19" ht="12.75" customHeight="1" x14ac:dyDescent="0.1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</row>
    <row r="162" spans="1:19" ht="12.75" customHeight="1" x14ac:dyDescent="0.1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</row>
    <row r="163" spans="1:19" ht="12.75" customHeight="1" x14ac:dyDescent="0.1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</row>
    <row r="164" spans="1:19" ht="12.75" customHeight="1" x14ac:dyDescent="0.1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</row>
    <row r="165" spans="1:19" ht="12.75" customHeight="1" x14ac:dyDescent="0.1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</row>
    <row r="166" spans="1:19" ht="12.75" customHeight="1" x14ac:dyDescent="0.1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</row>
    <row r="167" spans="1:19" ht="12.75" customHeight="1" x14ac:dyDescent="0.1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</row>
    <row r="168" spans="1:19" ht="12.75" customHeight="1" x14ac:dyDescent="0.1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</row>
    <row r="169" spans="1:19" ht="12.75" customHeight="1" x14ac:dyDescent="0.1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</row>
    <row r="170" spans="1:19" ht="12.75" customHeight="1" x14ac:dyDescent="0.1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</row>
    <row r="171" spans="1:19" ht="12.75" customHeight="1" x14ac:dyDescent="0.1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</row>
    <row r="172" spans="1:19" ht="12.75" customHeight="1" x14ac:dyDescent="0.1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</row>
    <row r="173" spans="1:19" ht="12.75" customHeight="1" x14ac:dyDescent="0.1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</row>
    <row r="174" spans="1:19" ht="12.75" customHeight="1" x14ac:dyDescent="0.1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</row>
    <row r="175" spans="1:19" ht="12.75" customHeight="1" x14ac:dyDescent="0.1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</row>
    <row r="176" spans="1:19" ht="12.75" customHeight="1" x14ac:dyDescent="0.1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</row>
    <row r="177" spans="1:19" ht="12.75" customHeight="1" x14ac:dyDescent="0.1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</row>
    <row r="178" spans="1:19" ht="12.75" customHeight="1" x14ac:dyDescent="0.1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</row>
    <row r="179" spans="1:19" ht="12.75" customHeight="1" x14ac:dyDescent="0.1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</row>
    <row r="180" spans="1:19" ht="12.75" customHeight="1" x14ac:dyDescent="0.1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</row>
    <row r="181" spans="1:19" ht="12.75" customHeight="1" x14ac:dyDescent="0.1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</row>
    <row r="182" spans="1:19" ht="12.75" customHeight="1" x14ac:dyDescent="0.1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</row>
    <row r="183" spans="1:19" ht="12.75" customHeight="1" x14ac:dyDescent="0.1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</row>
    <row r="184" spans="1:19" ht="12.75" customHeight="1" x14ac:dyDescent="0.1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</row>
    <row r="185" spans="1:19" ht="12.75" customHeight="1" x14ac:dyDescent="0.1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</row>
    <row r="186" spans="1:19" ht="12.75" customHeight="1" x14ac:dyDescent="0.1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</row>
    <row r="187" spans="1:19" ht="12.75" customHeight="1" x14ac:dyDescent="0.1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</row>
    <row r="188" spans="1:19" ht="12.75" customHeight="1" x14ac:dyDescent="0.1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</row>
    <row r="189" spans="1:19" ht="12.75" customHeight="1" x14ac:dyDescent="0.1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</row>
    <row r="190" spans="1:19" ht="12.75" customHeight="1" x14ac:dyDescent="0.1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</row>
    <row r="191" spans="1:19" ht="12.75" customHeight="1" x14ac:dyDescent="0.1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</row>
    <row r="192" spans="1:19" ht="12.75" customHeight="1" x14ac:dyDescent="0.1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</row>
    <row r="193" spans="1:19" ht="12.75" customHeight="1" x14ac:dyDescent="0.1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</row>
    <row r="194" spans="1:19" ht="12.75" customHeight="1" x14ac:dyDescent="0.1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</row>
    <row r="195" spans="1:19" ht="12.75" customHeight="1" x14ac:dyDescent="0.1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</row>
    <row r="196" spans="1:19" ht="12.75" customHeight="1" x14ac:dyDescent="0.1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</row>
    <row r="197" spans="1:19" ht="12.75" customHeight="1" x14ac:dyDescent="0.1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</row>
    <row r="198" spans="1:19" ht="12.75" customHeight="1" x14ac:dyDescent="0.1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</row>
    <row r="199" spans="1:19" ht="12.75" customHeight="1" x14ac:dyDescent="0.1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</row>
    <row r="200" spans="1:19" ht="12.75" customHeight="1" x14ac:dyDescent="0.1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</row>
    <row r="201" spans="1:19" ht="12.75" customHeight="1" x14ac:dyDescent="0.1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</row>
    <row r="202" spans="1:19" ht="12.75" customHeight="1" x14ac:dyDescent="0.1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</row>
    <row r="203" spans="1:19" ht="12.75" customHeight="1" x14ac:dyDescent="0.1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</row>
    <row r="204" spans="1:19" ht="12.75" customHeight="1" x14ac:dyDescent="0.1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</row>
    <row r="205" spans="1:19" ht="12.75" customHeight="1" x14ac:dyDescent="0.1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</row>
    <row r="206" spans="1:19" ht="12.75" customHeight="1" x14ac:dyDescent="0.1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</row>
    <row r="207" spans="1:19" ht="12.75" customHeight="1" x14ac:dyDescent="0.1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</row>
    <row r="208" spans="1:19" ht="12.75" customHeight="1" x14ac:dyDescent="0.1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</row>
    <row r="209" spans="1:19" ht="12.75" customHeight="1" x14ac:dyDescent="0.1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</row>
    <row r="210" spans="1:19" ht="12.75" customHeight="1" x14ac:dyDescent="0.1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</row>
    <row r="211" spans="1:19" ht="12.75" customHeight="1" x14ac:dyDescent="0.1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</row>
    <row r="212" spans="1:19" ht="12.75" customHeight="1" x14ac:dyDescent="0.1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</row>
    <row r="213" spans="1:19" ht="12.75" customHeight="1" x14ac:dyDescent="0.1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</row>
    <row r="214" spans="1:19" ht="12.75" customHeight="1" x14ac:dyDescent="0.1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</row>
    <row r="215" spans="1:19" ht="12.75" customHeight="1" x14ac:dyDescent="0.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</row>
    <row r="216" spans="1:19" ht="12.75" customHeight="1" x14ac:dyDescent="0.1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</row>
    <row r="217" spans="1:19" ht="12.75" customHeight="1" x14ac:dyDescent="0.1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</row>
    <row r="218" spans="1:19" ht="12.75" customHeight="1" x14ac:dyDescent="0.1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</row>
    <row r="219" spans="1:19" ht="12.75" customHeight="1" x14ac:dyDescent="0.1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</row>
    <row r="220" spans="1:19" ht="12.75" customHeight="1" x14ac:dyDescent="0.1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</row>
    <row r="221" spans="1:19" ht="12.75" customHeight="1" x14ac:dyDescent="0.1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</row>
    <row r="222" spans="1:19" ht="12.75" customHeight="1" x14ac:dyDescent="0.1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</row>
    <row r="223" spans="1:19" ht="12.75" customHeight="1" x14ac:dyDescent="0.1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</row>
    <row r="224" spans="1:19" ht="12.75" customHeight="1" x14ac:dyDescent="0.1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</row>
    <row r="225" spans="1:19" ht="12.75" customHeight="1" x14ac:dyDescent="0.1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</row>
    <row r="226" spans="1:19" ht="12.75" customHeight="1" x14ac:dyDescent="0.1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</row>
    <row r="227" spans="1:19" ht="12.75" customHeight="1" x14ac:dyDescent="0.1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</row>
    <row r="228" spans="1:19" ht="12.75" customHeight="1" x14ac:dyDescent="0.1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</row>
    <row r="229" spans="1:19" ht="12.75" customHeight="1" x14ac:dyDescent="0.1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</row>
    <row r="230" spans="1:19" ht="12.75" customHeight="1" x14ac:dyDescent="0.1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</row>
    <row r="231" spans="1:19" ht="12.75" customHeight="1" x14ac:dyDescent="0.1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</row>
    <row r="232" spans="1:19" ht="12.75" customHeight="1" x14ac:dyDescent="0.1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</row>
    <row r="233" spans="1:19" ht="12.75" customHeight="1" x14ac:dyDescent="0.1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</row>
    <row r="234" spans="1:19" ht="12.75" customHeight="1" x14ac:dyDescent="0.1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</row>
    <row r="235" spans="1:19" ht="12.75" customHeight="1" x14ac:dyDescent="0.1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</row>
    <row r="236" spans="1:19" ht="12.75" customHeight="1" x14ac:dyDescent="0.1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</row>
    <row r="237" spans="1:19" ht="12.75" customHeight="1" x14ac:dyDescent="0.1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</row>
    <row r="238" spans="1:19" ht="12.75" customHeight="1" x14ac:dyDescent="0.1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</row>
    <row r="239" spans="1:19" ht="12.75" customHeight="1" x14ac:dyDescent="0.1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</row>
    <row r="240" spans="1:19" ht="12.75" customHeight="1" x14ac:dyDescent="0.1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</row>
    <row r="241" spans="1:19" ht="12.75" customHeight="1" x14ac:dyDescent="0.1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</row>
    <row r="242" spans="1:19" ht="12.75" customHeight="1" x14ac:dyDescent="0.1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</row>
    <row r="243" spans="1:19" ht="12.75" customHeight="1" x14ac:dyDescent="0.1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</row>
    <row r="244" spans="1:19" ht="12.75" customHeight="1" x14ac:dyDescent="0.1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</row>
    <row r="245" spans="1:19" ht="12.75" customHeight="1" x14ac:dyDescent="0.1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</row>
    <row r="246" spans="1:19" ht="12.75" customHeight="1" x14ac:dyDescent="0.1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</row>
    <row r="247" spans="1:19" ht="12.75" customHeight="1" x14ac:dyDescent="0.1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</row>
    <row r="248" spans="1:19" ht="12.75" customHeight="1" x14ac:dyDescent="0.1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</row>
    <row r="249" spans="1:19" ht="12.75" customHeight="1" x14ac:dyDescent="0.1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</row>
    <row r="250" spans="1:19" ht="12.75" customHeight="1" x14ac:dyDescent="0.1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</row>
    <row r="251" spans="1:19" ht="12.75" customHeight="1" x14ac:dyDescent="0.1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</row>
    <row r="252" spans="1:19" ht="12.75" customHeight="1" x14ac:dyDescent="0.1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</row>
    <row r="253" spans="1:19" ht="12.75" customHeight="1" x14ac:dyDescent="0.1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</row>
    <row r="254" spans="1:19" ht="12.75" customHeight="1" x14ac:dyDescent="0.1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</row>
    <row r="255" spans="1:19" ht="12.75" customHeight="1" x14ac:dyDescent="0.1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</row>
    <row r="256" spans="1:19" ht="12.75" customHeight="1" x14ac:dyDescent="0.1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</row>
    <row r="257" spans="1:19" ht="12.75" customHeight="1" x14ac:dyDescent="0.1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</row>
    <row r="258" spans="1:19" ht="12.75" customHeight="1" x14ac:dyDescent="0.1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</row>
    <row r="259" spans="1:19" ht="12.75" customHeight="1" x14ac:dyDescent="0.1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</row>
    <row r="260" spans="1:19" ht="12.75" customHeight="1" x14ac:dyDescent="0.1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</row>
    <row r="261" spans="1:19" ht="12.75" customHeight="1" x14ac:dyDescent="0.1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</row>
    <row r="262" spans="1:19" ht="12.75" customHeight="1" x14ac:dyDescent="0.1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</row>
    <row r="263" spans="1:19" ht="12.75" customHeight="1" x14ac:dyDescent="0.1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</row>
    <row r="264" spans="1:19" ht="12.75" customHeight="1" x14ac:dyDescent="0.1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</row>
    <row r="265" spans="1:19" ht="12.75" customHeight="1" x14ac:dyDescent="0.1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</row>
    <row r="266" spans="1:19" ht="12.75" customHeight="1" x14ac:dyDescent="0.1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</row>
    <row r="267" spans="1:19" ht="12.75" customHeight="1" x14ac:dyDescent="0.1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</row>
    <row r="268" spans="1:19" ht="12.75" customHeight="1" x14ac:dyDescent="0.1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</row>
    <row r="269" spans="1:19" ht="12.75" customHeight="1" x14ac:dyDescent="0.1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</row>
    <row r="270" spans="1:19" ht="12.75" customHeight="1" x14ac:dyDescent="0.1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</row>
    <row r="271" spans="1:19" ht="12.75" customHeight="1" x14ac:dyDescent="0.1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</row>
    <row r="272" spans="1:19" ht="12.75" customHeight="1" x14ac:dyDescent="0.1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</row>
    <row r="273" spans="1:19" ht="12.75" customHeight="1" x14ac:dyDescent="0.1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</row>
    <row r="274" spans="1:19" ht="12.75" customHeight="1" x14ac:dyDescent="0.1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</row>
    <row r="275" spans="1:19" ht="12.75" customHeight="1" x14ac:dyDescent="0.1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</row>
    <row r="276" spans="1:19" ht="12.75" customHeight="1" x14ac:dyDescent="0.1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</row>
    <row r="277" spans="1:19" ht="12.75" customHeight="1" x14ac:dyDescent="0.1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</row>
    <row r="278" spans="1:19" ht="12.75" customHeight="1" x14ac:dyDescent="0.1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</row>
    <row r="279" spans="1:19" ht="12.75" customHeight="1" x14ac:dyDescent="0.1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</row>
    <row r="280" spans="1:19" ht="12.75" customHeight="1" x14ac:dyDescent="0.1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</row>
    <row r="281" spans="1:19" ht="12.75" customHeight="1" x14ac:dyDescent="0.1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</row>
    <row r="282" spans="1:19" ht="12.75" customHeight="1" x14ac:dyDescent="0.1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</row>
    <row r="283" spans="1:19" ht="12.75" customHeight="1" x14ac:dyDescent="0.1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</row>
    <row r="284" spans="1:19" ht="12.75" customHeight="1" x14ac:dyDescent="0.1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</row>
    <row r="285" spans="1:19" ht="12.75" customHeight="1" x14ac:dyDescent="0.1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</row>
    <row r="286" spans="1:19" ht="12.75" customHeight="1" x14ac:dyDescent="0.1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</row>
    <row r="287" spans="1:19" ht="12.75" customHeight="1" x14ac:dyDescent="0.1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</row>
    <row r="288" spans="1:19" ht="12.75" customHeight="1" x14ac:dyDescent="0.1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</row>
    <row r="289" spans="1:19" ht="12.75" customHeight="1" x14ac:dyDescent="0.1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</row>
    <row r="290" spans="1:19" ht="12.75" customHeight="1" x14ac:dyDescent="0.1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</row>
    <row r="291" spans="1:19" ht="12.75" customHeight="1" x14ac:dyDescent="0.1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</row>
    <row r="292" spans="1:19" ht="12.75" customHeight="1" x14ac:dyDescent="0.1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</row>
    <row r="293" spans="1:19" ht="12.75" customHeight="1" x14ac:dyDescent="0.1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</row>
    <row r="294" spans="1:19" ht="12.75" customHeight="1" x14ac:dyDescent="0.1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</row>
    <row r="295" spans="1:19" ht="12.75" customHeight="1" x14ac:dyDescent="0.1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</row>
    <row r="296" spans="1:19" ht="12.75" customHeight="1" x14ac:dyDescent="0.1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</row>
    <row r="297" spans="1:19" ht="12.75" customHeight="1" x14ac:dyDescent="0.1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</row>
    <row r="298" spans="1:19" ht="12.75" customHeight="1" x14ac:dyDescent="0.1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</row>
    <row r="299" spans="1:19" ht="12.75" customHeight="1" x14ac:dyDescent="0.1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</row>
    <row r="300" spans="1:19" ht="12.75" customHeight="1" x14ac:dyDescent="0.1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</row>
    <row r="301" spans="1:19" ht="12.75" customHeight="1" x14ac:dyDescent="0.1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</row>
    <row r="302" spans="1:19" ht="12.75" customHeight="1" x14ac:dyDescent="0.1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</row>
    <row r="303" spans="1:19" ht="12.75" customHeight="1" x14ac:dyDescent="0.1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</row>
    <row r="304" spans="1:19" ht="12.75" customHeight="1" x14ac:dyDescent="0.1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</row>
    <row r="305" spans="1:19" ht="12.75" customHeight="1" x14ac:dyDescent="0.1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</row>
    <row r="306" spans="1:19" ht="12.75" customHeight="1" x14ac:dyDescent="0.1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</row>
    <row r="307" spans="1:19" ht="12.75" customHeight="1" x14ac:dyDescent="0.1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</row>
    <row r="308" spans="1:19" ht="12.75" customHeight="1" x14ac:dyDescent="0.1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</row>
    <row r="309" spans="1:19" ht="12.75" customHeight="1" x14ac:dyDescent="0.1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</row>
    <row r="310" spans="1:19" ht="12.75" customHeight="1" x14ac:dyDescent="0.1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</row>
    <row r="311" spans="1:19" ht="12.75" customHeight="1" x14ac:dyDescent="0.1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</row>
    <row r="312" spans="1:19" ht="12.75" customHeight="1" x14ac:dyDescent="0.1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</row>
    <row r="313" spans="1:19" ht="12.75" customHeight="1" x14ac:dyDescent="0.1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</row>
    <row r="314" spans="1:19" ht="12.75" customHeight="1" x14ac:dyDescent="0.1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</row>
    <row r="315" spans="1:19" ht="12.75" customHeight="1" x14ac:dyDescent="0.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</row>
    <row r="316" spans="1:19" ht="12.75" customHeight="1" x14ac:dyDescent="0.1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</row>
    <row r="317" spans="1:19" ht="12.75" customHeight="1" x14ac:dyDescent="0.1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</row>
    <row r="318" spans="1:19" ht="12.75" customHeight="1" x14ac:dyDescent="0.1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</row>
    <row r="319" spans="1:19" ht="12.75" customHeight="1" x14ac:dyDescent="0.1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</row>
    <row r="320" spans="1:19" ht="12.75" customHeight="1" x14ac:dyDescent="0.1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</row>
    <row r="321" spans="1:19" ht="12.75" customHeight="1" x14ac:dyDescent="0.1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</row>
    <row r="322" spans="1:19" ht="12.75" customHeight="1" x14ac:dyDescent="0.1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</row>
    <row r="323" spans="1:19" ht="12.75" customHeight="1" x14ac:dyDescent="0.1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</row>
    <row r="324" spans="1:19" ht="12.75" customHeight="1" x14ac:dyDescent="0.1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</row>
    <row r="325" spans="1:19" ht="12.75" customHeight="1" x14ac:dyDescent="0.1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</row>
    <row r="326" spans="1:19" ht="12.75" customHeight="1" x14ac:dyDescent="0.1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</row>
    <row r="327" spans="1:19" ht="12.75" customHeight="1" x14ac:dyDescent="0.1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</row>
    <row r="328" spans="1:19" ht="12.75" customHeight="1" x14ac:dyDescent="0.1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</row>
    <row r="329" spans="1:19" ht="12.75" customHeight="1" x14ac:dyDescent="0.1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</row>
    <row r="330" spans="1:19" ht="12.75" customHeight="1" x14ac:dyDescent="0.1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</row>
    <row r="331" spans="1:19" ht="12.75" customHeight="1" x14ac:dyDescent="0.1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</row>
    <row r="332" spans="1:19" ht="12.75" customHeight="1" x14ac:dyDescent="0.1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</row>
    <row r="333" spans="1:19" ht="12.75" customHeight="1" x14ac:dyDescent="0.1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</row>
    <row r="334" spans="1:19" ht="12.75" customHeight="1" x14ac:dyDescent="0.1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</row>
    <row r="335" spans="1:19" ht="12.75" customHeight="1" x14ac:dyDescent="0.1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</row>
    <row r="336" spans="1:19" ht="12.75" customHeight="1" x14ac:dyDescent="0.1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</row>
    <row r="337" spans="1:19" ht="12.75" customHeight="1" x14ac:dyDescent="0.1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</row>
    <row r="338" spans="1:19" ht="12.75" customHeight="1" x14ac:dyDescent="0.1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</row>
    <row r="339" spans="1:19" ht="12.75" customHeight="1" x14ac:dyDescent="0.1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</row>
    <row r="340" spans="1:19" ht="12.75" customHeight="1" x14ac:dyDescent="0.1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</row>
    <row r="341" spans="1:19" ht="12.75" customHeight="1" x14ac:dyDescent="0.1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</row>
    <row r="342" spans="1:19" ht="12.75" customHeight="1" x14ac:dyDescent="0.1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</row>
    <row r="343" spans="1:19" ht="12.75" customHeight="1" x14ac:dyDescent="0.1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</row>
    <row r="344" spans="1:19" ht="12.75" customHeight="1" x14ac:dyDescent="0.1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</row>
    <row r="345" spans="1:19" ht="12.75" customHeight="1" x14ac:dyDescent="0.1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</row>
    <row r="346" spans="1:19" ht="12.75" customHeight="1" x14ac:dyDescent="0.1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</row>
    <row r="347" spans="1:19" ht="12.75" customHeight="1" x14ac:dyDescent="0.1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</row>
    <row r="348" spans="1:19" ht="12.75" customHeight="1" x14ac:dyDescent="0.1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</row>
    <row r="349" spans="1:19" ht="12.75" customHeight="1" x14ac:dyDescent="0.1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</row>
    <row r="350" spans="1:19" ht="12.75" customHeight="1" x14ac:dyDescent="0.1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</row>
    <row r="351" spans="1:19" ht="12.75" customHeight="1" x14ac:dyDescent="0.1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</row>
    <row r="352" spans="1:19" ht="12.75" customHeight="1" x14ac:dyDescent="0.1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</row>
    <row r="353" spans="1:19" ht="12.75" customHeight="1" x14ac:dyDescent="0.1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</row>
    <row r="354" spans="1:19" ht="12.75" customHeight="1" x14ac:dyDescent="0.1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</row>
    <row r="355" spans="1:19" ht="12.75" customHeight="1" x14ac:dyDescent="0.1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</row>
    <row r="356" spans="1:19" ht="12.75" customHeight="1" x14ac:dyDescent="0.1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</row>
    <row r="357" spans="1:19" ht="12.75" customHeight="1" x14ac:dyDescent="0.1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</row>
    <row r="358" spans="1:19" ht="12.75" customHeight="1" x14ac:dyDescent="0.1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</row>
    <row r="359" spans="1:19" ht="12.75" customHeight="1" x14ac:dyDescent="0.1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</row>
    <row r="360" spans="1:19" ht="12.75" customHeight="1" x14ac:dyDescent="0.1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</row>
    <row r="361" spans="1:19" ht="12.75" customHeight="1" x14ac:dyDescent="0.1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</row>
    <row r="362" spans="1:19" ht="12.75" customHeight="1" x14ac:dyDescent="0.1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</row>
    <row r="363" spans="1:19" ht="12.75" customHeight="1" x14ac:dyDescent="0.1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</row>
    <row r="364" spans="1:19" ht="12.75" customHeight="1" x14ac:dyDescent="0.1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</row>
    <row r="365" spans="1:19" ht="12.75" customHeight="1" x14ac:dyDescent="0.1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</row>
    <row r="366" spans="1:19" ht="12.75" customHeight="1" x14ac:dyDescent="0.1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</row>
    <row r="367" spans="1:19" ht="12.75" customHeight="1" x14ac:dyDescent="0.1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</row>
    <row r="368" spans="1:19" ht="12.75" customHeight="1" x14ac:dyDescent="0.1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</row>
    <row r="369" spans="1:19" ht="12.75" customHeight="1" x14ac:dyDescent="0.1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</row>
    <row r="370" spans="1:19" ht="12.75" customHeight="1" x14ac:dyDescent="0.1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</row>
    <row r="371" spans="1:19" ht="12.75" customHeight="1" x14ac:dyDescent="0.1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</row>
    <row r="372" spans="1:19" ht="12.75" customHeight="1" x14ac:dyDescent="0.1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</row>
    <row r="373" spans="1:19" ht="12.75" customHeight="1" x14ac:dyDescent="0.1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</row>
    <row r="374" spans="1:19" ht="12.75" customHeight="1" x14ac:dyDescent="0.1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</row>
    <row r="375" spans="1:19" ht="12.75" customHeight="1" x14ac:dyDescent="0.1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</row>
    <row r="376" spans="1:19" ht="12.75" customHeight="1" x14ac:dyDescent="0.1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</row>
    <row r="377" spans="1:19" ht="12.75" customHeight="1" x14ac:dyDescent="0.1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</row>
    <row r="378" spans="1:19" ht="12.75" customHeight="1" x14ac:dyDescent="0.1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</row>
    <row r="379" spans="1:19" ht="12.75" customHeight="1" x14ac:dyDescent="0.1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</row>
    <row r="380" spans="1:19" ht="12.75" customHeight="1" x14ac:dyDescent="0.1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</row>
    <row r="381" spans="1:19" ht="12.75" customHeight="1" x14ac:dyDescent="0.1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</row>
    <row r="382" spans="1:19" ht="12.75" customHeight="1" x14ac:dyDescent="0.1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</row>
    <row r="383" spans="1:19" ht="12.75" customHeight="1" x14ac:dyDescent="0.1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</row>
    <row r="384" spans="1:19" ht="12.75" customHeight="1" x14ac:dyDescent="0.1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</row>
    <row r="385" spans="1:19" ht="12.75" customHeight="1" x14ac:dyDescent="0.1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</row>
    <row r="386" spans="1:19" ht="12.75" customHeight="1" x14ac:dyDescent="0.1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</row>
    <row r="387" spans="1:19" ht="12.75" customHeight="1" x14ac:dyDescent="0.1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</row>
    <row r="388" spans="1:19" ht="12.75" customHeight="1" x14ac:dyDescent="0.1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</row>
    <row r="389" spans="1:19" ht="12.75" customHeight="1" x14ac:dyDescent="0.1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</row>
    <row r="390" spans="1:19" ht="12.75" customHeight="1" x14ac:dyDescent="0.1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</row>
    <row r="391" spans="1:19" ht="12.75" customHeight="1" x14ac:dyDescent="0.1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</row>
    <row r="392" spans="1:19" ht="12.75" customHeight="1" x14ac:dyDescent="0.1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</row>
    <row r="393" spans="1:19" ht="12.75" customHeight="1" x14ac:dyDescent="0.1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</row>
    <row r="394" spans="1:19" ht="12.75" customHeight="1" x14ac:dyDescent="0.1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</row>
    <row r="395" spans="1:19" ht="12.75" customHeight="1" x14ac:dyDescent="0.1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</row>
    <row r="396" spans="1:19" ht="12.75" customHeight="1" x14ac:dyDescent="0.1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</row>
    <row r="397" spans="1:19" ht="12.75" customHeight="1" x14ac:dyDescent="0.1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</row>
    <row r="398" spans="1:19" ht="12.75" customHeight="1" x14ac:dyDescent="0.1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</row>
    <row r="399" spans="1:19" ht="12.75" customHeight="1" x14ac:dyDescent="0.1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</row>
    <row r="400" spans="1:19" ht="12.75" customHeight="1" x14ac:dyDescent="0.1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</row>
    <row r="401" spans="1:19" ht="12.75" customHeight="1" x14ac:dyDescent="0.1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</row>
    <row r="402" spans="1:19" ht="12.75" customHeight="1" x14ac:dyDescent="0.1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</row>
    <row r="403" spans="1:19" ht="12.75" customHeight="1" x14ac:dyDescent="0.1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</row>
    <row r="404" spans="1:19" ht="12.75" customHeight="1" x14ac:dyDescent="0.1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</row>
    <row r="405" spans="1:19" ht="12.75" customHeight="1" x14ac:dyDescent="0.1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</row>
    <row r="406" spans="1:19" ht="12.75" customHeight="1" x14ac:dyDescent="0.1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</row>
    <row r="407" spans="1:19" ht="12.75" customHeight="1" x14ac:dyDescent="0.1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</row>
    <row r="408" spans="1:19" ht="12.75" customHeight="1" x14ac:dyDescent="0.1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</row>
    <row r="409" spans="1:19" ht="12.75" customHeight="1" x14ac:dyDescent="0.1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</row>
    <row r="410" spans="1:19" ht="12.75" customHeight="1" x14ac:dyDescent="0.1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</row>
    <row r="411" spans="1:19" ht="12.75" customHeight="1" x14ac:dyDescent="0.1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</row>
    <row r="412" spans="1:19" ht="12.75" customHeight="1" x14ac:dyDescent="0.1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</row>
    <row r="413" spans="1:19" ht="12.75" customHeight="1" x14ac:dyDescent="0.1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</row>
    <row r="414" spans="1:19" ht="12.75" customHeight="1" x14ac:dyDescent="0.1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</row>
    <row r="415" spans="1:19" ht="12.75" customHeight="1" x14ac:dyDescent="0.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</row>
    <row r="416" spans="1:19" ht="12.75" customHeight="1" x14ac:dyDescent="0.1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</row>
    <row r="417" spans="1:19" ht="12.75" customHeight="1" x14ac:dyDescent="0.1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</row>
    <row r="418" spans="1:19" ht="12.75" customHeight="1" x14ac:dyDescent="0.1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</row>
    <row r="419" spans="1:19" ht="12.75" customHeight="1" x14ac:dyDescent="0.1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</row>
    <row r="420" spans="1:19" ht="12.75" customHeight="1" x14ac:dyDescent="0.1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</row>
    <row r="421" spans="1:19" ht="12.75" customHeight="1" x14ac:dyDescent="0.1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</row>
    <row r="422" spans="1:19" ht="12.75" customHeight="1" x14ac:dyDescent="0.1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</row>
    <row r="423" spans="1:19" ht="12.75" customHeight="1" x14ac:dyDescent="0.1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</row>
    <row r="424" spans="1:19" ht="12.75" customHeight="1" x14ac:dyDescent="0.1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</row>
    <row r="425" spans="1:19" ht="12.75" customHeight="1" x14ac:dyDescent="0.1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</row>
    <row r="426" spans="1:19" ht="12.75" customHeight="1" x14ac:dyDescent="0.1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</row>
    <row r="427" spans="1:19" ht="12.75" customHeight="1" x14ac:dyDescent="0.1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</row>
    <row r="428" spans="1:19" ht="12.75" customHeight="1" x14ac:dyDescent="0.1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</row>
    <row r="429" spans="1:19" ht="12.75" customHeight="1" x14ac:dyDescent="0.1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</row>
    <row r="430" spans="1:19" ht="12.75" customHeight="1" x14ac:dyDescent="0.1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</row>
    <row r="431" spans="1:19" ht="12.75" customHeight="1" x14ac:dyDescent="0.1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</row>
    <row r="432" spans="1:19" ht="12.75" customHeight="1" x14ac:dyDescent="0.1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</row>
    <row r="433" spans="1:19" ht="12.75" customHeight="1" x14ac:dyDescent="0.1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</row>
    <row r="434" spans="1:19" ht="12.75" customHeight="1" x14ac:dyDescent="0.1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</row>
    <row r="435" spans="1:19" ht="12.75" customHeight="1" x14ac:dyDescent="0.1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</row>
    <row r="436" spans="1:19" ht="12.75" customHeight="1" x14ac:dyDescent="0.1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</row>
    <row r="437" spans="1:19" ht="12.75" customHeight="1" x14ac:dyDescent="0.1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</row>
    <row r="438" spans="1:19" ht="12.75" customHeight="1" x14ac:dyDescent="0.1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</row>
    <row r="439" spans="1:19" ht="12.75" customHeight="1" x14ac:dyDescent="0.1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</row>
    <row r="440" spans="1:19" ht="12.75" customHeight="1" x14ac:dyDescent="0.1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</row>
    <row r="441" spans="1:19" ht="12.75" customHeight="1" x14ac:dyDescent="0.1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</row>
    <row r="442" spans="1:19" ht="12.75" customHeight="1" x14ac:dyDescent="0.1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</row>
    <row r="443" spans="1:19" ht="12.75" customHeight="1" x14ac:dyDescent="0.1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</row>
    <row r="444" spans="1:19" ht="12.75" customHeight="1" x14ac:dyDescent="0.1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</row>
    <row r="445" spans="1:19" ht="12.75" customHeight="1" x14ac:dyDescent="0.1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</row>
    <row r="446" spans="1:19" ht="12.75" customHeight="1" x14ac:dyDescent="0.1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</row>
    <row r="447" spans="1:19" ht="12.75" customHeight="1" x14ac:dyDescent="0.1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</row>
    <row r="448" spans="1:19" ht="12.75" customHeight="1" x14ac:dyDescent="0.1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</row>
    <row r="449" spans="1:19" ht="12.75" customHeight="1" x14ac:dyDescent="0.1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</row>
    <row r="450" spans="1:19" ht="12.75" customHeight="1" x14ac:dyDescent="0.1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</row>
    <row r="451" spans="1:19" ht="12.75" customHeight="1" x14ac:dyDescent="0.1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</row>
    <row r="452" spans="1:19" ht="12.75" customHeight="1" x14ac:dyDescent="0.1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</row>
    <row r="453" spans="1:19" ht="12.75" customHeight="1" x14ac:dyDescent="0.1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</row>
    <row r="454" spans="1:19" ht="12.75" customHeight="1" x14ac:dyDescent="0.1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</row>
    <row r="455" spans="1:19" ht="12.75" customHeight="1" x14ac:dyDescent="0.1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</row>
    <row r="456" spans="1:19" ht="12.75" customHeight="1" x14ac:dyDescent="0.1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</row>
    <row r="457" spans="1:19" ht="12.75" customHeight="1" x14ac:dyDescent="0.1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</row>
    <row r="458" spans="1:19" ht="12.75" customHeight="1" x14ac:dyDescent="0.1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</row>
    <row r="459" spans="1:19" ht="12.75" customHeight="1" x14ac:dyDescent="0.1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</row>
    <row r="460" spans="1:19" ht="12.75" customHeight="1" x14ac:dyDescent="0.1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</row>
    <row r="461" spans="1:19" ht="12.75" customHeight="1" x14ac:dyDescent="0.1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</row>
    <row r="462" spans="1:19" ht="12.75" customHeight="1" x14ac:dyDescent="0.1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</row>
    <row r="463" spans="1:19" ht="12.75" customHeight="1" x14ac:dyDescent="0.1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</row>
    <row r="464" spans="1:19" ht="12.75" customHeight="1" x14ac:dyDescent="0.1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</row>
    <row r="465" spans="1:19" ht="12.75" customHeight="1" x14ac:dyDescent="0.1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</row>
    <row r="466" spans="1:19" ht="12.75" customHeight="1" x14ac:dyDescent="0.1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</row>
    <row r="467" spans="1:19" ht="12.75" customHeight="1" x14ac:dyDescent="0.1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</row>
    <row r="468" spans="1:19" ht="12.75" customHeight="1" x14ac:dyDescent="0.1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</row>
    <row r="469" spans="1:19" ht="12.75" customHeight="1" x14ac:dyDescent="0.1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</row>
    <row r="470" spans="1:19" ht="12.75" customHeight="1" x14ac:dyDescent="0.1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</row>
    <row r="471" spans="1:19" ht="12.75" customHeight="1" x14ac:dyDescent="0.1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</row>
    <row r="472" spans="1:19" ht="12.75" customHeight="1" x14ac:dyDescent="0.1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</row>
    <row r="473" spans="1:19" ht="12.75" customHeight="1" x14ac:dyDescent="0.1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</row>
    <row r="474" spans="1:19" ht="12.75" customHeight="1" x14ac:dyDescent="0.1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</row>
    <row r="475" spans="1:19" ht="12.75" customHeight="1" x14ac:dyDescent="0.1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</row>
    <row r="476" spans="1:19" ht="12.75" customHeight="1" x14ac:dyDescent="0.1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</row>
    <row r="477" spans="1:19" ht="12.75" customHeight="1" x14ac:dyDescent="0.1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</row>
    <row r="478" spans="1:19" ht="12.75" customHeight="1" x14ac:dyDescent="0.1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</row>
    <row r="479" spans="1:19" ht="12.75" customHeight="1" x14ac:dyDescent="0.1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</row>
    <row r="480" spans="1:19" ht="12.75" customHeight="1" x14ac:dyDescent="0.1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</row>
    <row r="481" spans="1:19" ht="12.75" customHeight="1" x14ac:dyDescent="0.1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</row>
    <row r="482" spans="1:19" ht="12.75" customHeight="1" x14ac:dyDescent="0.1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</row>
    <row r="483" spans="1:19" ht="12.75" customHeight="1" x14ac:dyDescent="0.1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</row>
    <row r="484" spans="1:19" ht="12.75" customHeight="1" x14ac:dyDescent="0.1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</row>
    <row r="485" spans="1:19" ht="12.75" customHeight="1" x14ac:dyDescent="0.1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</row>
    <row r="486" spans="1:19" ht="12.75" customHeight="1" x14ac:dyDescent="0.1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</row>
    <row r="487" spans="1:19" ht="12.75" customHeight="1" x14ac:dyDescent="0.1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</row>
    <row r="488" spans="1:19" ht="12.75" customHeight="1" x14ac:dyDescent="0.1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</row>
    <row r="489" spans="1:19" ht="12.75" customHeight="1" x14ac:dyDescent="0.1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</row>
    <row r="490" spans="1:19" ht="12.75" customHeight="1" x14ac:dyDescent="0.1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</row>
    <row r="491" spans="1:19" ht="12.75" customHeight="1" x14ac:dyDescent="0.1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</row>
    <row r="492" spans="1:19" ht="12.75" customHeight="1" x14ac:dyDescent="0.1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</row>
    <row r="493" spans="1:19" ht="12.75" customHeight="1" x14ac:dyDescent="0.1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</row>
    <row r="494" spans="1:19" ht="12.75" customHeight="1" x14ac:dyDescent="0.1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</row>
    <row r="495" spans="1:19" ht="12.75" customHeight="1" x14ac:dyDescent="0.1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</row>
    <row r="496" spans="1:19" ht="12.75" customHeight="1" x14ac:dyDescent="0.1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</row>
    <row r="497" spans="1:19" ht="12.75" customHeight="1" x14ac:dyDescent="0.1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</row>
    <row r="498" spans="1:19" ht="12.75" customHeight="1" x14ac:dyDescent="0.1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</row>
    <row r="499" spans="1:19" ht="12.75" customHeight="1" x14ac:dyDescent="0.1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</row>
    <row r="500" spans="1:19" ht="12.75" customHeight="1" x14ac:dyDescent="0.1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</row>
    <row r="501" spans="1:19" ht="12.75" customHeight="1" x14ac:dyDescent="0.1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</row>
    <row r="502" spans="1:19" ht="12.75" customHeight="1" x14ac:dyDescent="0.1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</row>
    <row r="503" spans="1:19" ht="12.75" customHeight="1" x14ac:dyDescent="0.1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</row>
    <row r="504" spans="1:19" ht="12.75" customHeight="1" x14ac:dyDescent="0.1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</row>
    <row r="505" spans="1:19" ht="12.75" customHeight="1" x14ac:dyDescent="0.1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</row>
    <row r="506" spans="1:19" ht="12.75" customHeight="1" x14ac:dyDescent="0.1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</row>
    <row r="507" spans="1:19" ht="12.75" customHeight="1" x14ac:dyDescent="0.1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</row>
    <row r="508" spans="1:19" ht="12.75" customHeight="1" x14ac:dyDescent="0.1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</row>
    <row r="509" spans="1:19" ht="12.75" customHeight="1" x14ac:dyDescent="0.1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</row>
    <row r="510" spans="1:19" ht="12.75" customHeight="1" x14ac:dyDescent="0.1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</row>
    <row r="511" spans="1:19" ht="12.75" customHeight="1" x14ac:dyDescent="0.1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</row>
    <row r="512" spans="1:19" ht="12.75" customHeight="1" x14ac:dyDescent="0.1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</row>
    <row r="513" spans="1:19" ht="12.75" customHeight="1" x14ac:dyDescent="0.1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</row>
    <row r="514" spans="1:19" ht="12.75" customHeight="1" x14ac:dyDescent="0.1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</row>
    <row r="515" spans="1:19" ht="12.75" customHeight="1" x14ac:dyDescent="0.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</row>
    <row r="516" spans="1:19" ht="12.75" customHeight="1" x14ac:dyDescent="0.1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</row>
    <row r="517" spans="1:19" ht="12.75" customHeight="1" x14ac:dyDescent="0.1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</row>
    <row r="518" spans="1:19" ht="12.75" customHeight="1" x14ac:dyDescent="0.1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</row>
    <row r="519" spans="1:19" ht="12.75" customHeight="1" x14ac:dyDescent="0.1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</row>
    <row r="520" spans="1:19" ht="12.75" customHeight="1" x14ac:dyDescent="0.1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</row>
    <row r="521" spans="1:19" ht="12.75" customHeight="1" x14ac:dyDescent="0.1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</row>
    <row r="522" spans="1:19" ht="12.75" customHeight="1" x14ac:dyDescent="0.1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</row>
    <row r="523" spans="1:19" ht="12.75" customHeight="1" x14ac:dyDescent="0.1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</row>
    <row r="524" spans="1:19" ht="12.75" customHeight="1" x14ac:dyDescent="0.1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</row>
    <row r="525" spans="1:19" ht="12.75" customHeight="1" x14ac:dyDescent="0.1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</row>
    <row r="526" spans="1:19" ht="12.75" customHeight="1" x14ac:dyDescent="0.1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</row>
    <row r="527" spans="1:19" ht="12.75" customHeight="1" x14ac:dyDescent="0.1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</row>
    <row r="528" spans="1:19" ht="12.75" customHeight="1" x14ac:dyDescent="0.1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</row>
    <row r="529" spans="1:19" ht="12.75" customHeight="1" x14ac:dyDescent="0.1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</row>
    <row r="530" spans="1:19" ht="12.75" customHeight="1" x14ac:dyDescent="0.1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</row>
    <row r="531" spans="1:19" ht="12.75" customHeight="1" x14ac:dyDescent="0.1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</row>
    <row r="532" spans="1:19" ht="12.75" customHeight="1" x14ac:dyDescent="0.1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</row>
    <row r="533" spans="1:19" ht="12.75" customHeight="1" x14ac:dyDescent="0.1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</row>
    <row r="534" spans="1:19" ht="12.75" customHeight="1" x14ac:dyDescent="0.1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</row>
    <row r="535" spans="1:19" ht="12.75" customHeight="1" x14ac:dyDescent="0.1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</row>
    <row r="536" spans="1:19" ht="12.75" customHeight="1" x14ac:dyDescent="0.1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</row>
    <row r="537" spans="1:19" ht="12.75" customHeight="1" x14ac:dyDescent="0.1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</row>
    <row r="538" spans="1:19" ht="12.75" customHeight="1" x14ac:dyDescent="0.1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</row>
    <row r="539" spans="1:19" ht="12.75" customHeight="1" x14ac:dyDescent="0.1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</row>
    <row r="540" spans="1:19" ht="12.75" customHeight="1" x14ac:dyDescent="0.1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</row>
    <row r="541" spans="1:19" ht="12.75" customHeight="1" x14ac:dyDescent="0.1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</row>
    <row r="542" spans="1:19" ht="12.75" customHeight="1" x14ac:dyDescent="0.1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</row>
    <row r="543" spans="1:19" ht="12.75" customHeight="1" x14ac:dyDescent="0.1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</row>
    <row r="544" spans="1:19" ht="12.75" customHeight="1" x14ac:dyDescent="0.1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</row>
    <row r="545" spans="1:19" ht="12.75" customHeight="1" x14ac:dyDescent="0.1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</row>
    <row r="546" spans="1:19" ht="12.75" customHeight="1" x14ac:dyDescent="0.1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</row>
    <row r="547" spans="1:19" ht="12.75" customHeight="1" x14ac:dyDescent="0.1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</row>
    <row r="548" spans="1:19" ht="12.75" customHeight="1" x14ac:dyDescent="0.1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</row>
    <row r="549" spans="1:19" ht="12.75" customHeight="1" x14ac:dyDescent="0.1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</row>
    <row r="550" spans="1:19" ht="12.75" customHeight="1" x14ac:dyDescent="0.1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</row>
    <row r="551" spans="1:19" ht="12.75" customHeight="1" x14ac:dyDescent="0.1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</row>
    <row r="552" spans="1:19" ht="12.75" customHeight="1" x14ac:dyDescent="0.1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</row>
    <row r="553" spans="1:19" ht="12.75" customHeight="1" x14ac:dyDescent="0.1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</row>
    <row r="554" spans="1:19" ht="12.75" customHeight="1" x14ac:dyDescent="0.1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</row>
    <row r="555" spans="1:19" ht="12.75" customHeight="1" x14ac:dyDescent="0.1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</row>
    <row r="556" spans="1:19" ht="12.75" customHeight="1" x14ac:dyDescent="0.1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</row>
    <row r="557" spans="1:19" ht="12.75" customHeight="1" x14ac:dyDescent="0.1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</row>
    <row r="558" spans="1:19" ht="12.75" customHeight="1" x14ac:dyDescent="0.1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</row>
    <row r="559" spans="1:19" ht="12.75" customHeight="1" x14ac:dyDescent="0.1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</row>
    <row r="560" spans="1:19" ht="12.75" customHeight="1" x14ac:dyDescent="0.1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</row>
    <row r="561" spans="1:19" ht="12.75" customHeight="1" x14ac:dyDescent="0.1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</row>
    <row r="562" spans="1:19" ht="12.75" customHeight="1" x14ac:dyDescent="0.1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</row>
    <row r="563" spans="1:19" ht="12.75" customHeight="1" x14ac:dyDescent="0.1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</row>
    <row r="564" spans="1:19" ht="12.75" customHeight="1" x14ac:dyDescent="0.1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</row>
    <row r="565" spans="1:19" ht="12.75" customHeight="1" x14ac:dyDescent="0.1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</row>
    <row r="566" spans="1:19" ht="12.75" customHeight="1" x14ac:dyDescent="0.1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</row>
    <row r="567" spans="1:19" ht="12.75" customHeight="1" x14ac:dyDescent="0.1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</row>
    <row r="568" spans="1:19" ht="12.75" customHeight="1" x14ac:dyDescent="0.1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</row>
    <row r="569" spans="1:19" ht="12.75" customHeight="1" x14ac:dyDescent="0.1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</row>
    <row r="570" spans="1:19" ht="12.75" customHeight="1" x14ac:dyDescent="0.1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</row>
    <row r="571" spans="1:19" ht="12.75" customHeight="1" x14ac:dyDescent="0.1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</row>
    <row r="572" spans="1:19" ht="12.75" customHeight="1" x14ac:dyDescent="0.1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</row>
    <row r="573" spans="1:19" ht="12.75" customHeight="1" x14ac:dyDescent="0.1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</row>
    <row r="574" spans="1:19" ht="12.75" customHeight="1" x14ac:dyDescent="0.1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</row>
    <row r="575" spans="1:19" ht="12.75" customHeight="1" x14ac:dyDescent="0.1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</row>
    <row r="576" spans="1:19" ht="12.75" customHeight="1" x14ac:dyDescent="0.1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</row>
    <row r="577" spans="1:19" ht="12.75" customHeight="1" x14ac:dyDescent="0.1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</row>
    <row r="578" spans="1:19" ht="12.75" customHeight="1" x14ac:dyDescent="0.1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</row>
    <row r="579" spans="1:19" ht="12.75" customHeight="1" x14ac:dyDescent="0.1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</row>
    <row r="580" spans="1:19" ht="12.75" customHeight="1" x14ac:dyDescent="0.1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</row>
    <row r="581" spans="1:19" ht="12.75" customHeight="1" x14ac:dyDescent="0.1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</row>
    <row r="582" spans="1:19" ht="12.75" customHeight="1" x14ac:dyDescent="0.1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</row>
    <row r="583" spans="1:19" ht="12.75" customHeight="1" x14ac:dyDescent="0.1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</row>
    <row r="584" spans="1:19" ht="12.75" customHeight="1" x14ac:dyDescent="0.1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</row>
    <row r="585" spans="1:19" ht="12.75" customHeight="1" x14ac:dyDescent="0.1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</row>
    <row r="586" spans="1:19" ht="12.75" customHeight="1" x14ac:dyDescent="0.1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</row>
    <row r="587" spans="1:19" ht="12.75" customHeight="1" x14ac:dyDescent="0.1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</row>
    <row r="588" spans="1:19" ht="12.75" customHeight="1" x14ac:dyDescent="0.1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</row>
    <row r="589" spans="1:19" ht="12.75" customHeight="1" x14ac:dyDescent="0.1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</row>
    <row r="590" spans="1:19" ht="12.75" customHeight="1" x14ac:dyDescent="0.1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</row>
    <row r="591" spans="1:19" ht="12.75" customHeight="1" x14ac:dyDescent="0.1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</row>
    <row r="592" spans="1:19" ht="12.75" customHeight="1" x14ac:dyDescent="0.1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</row>
    <row r="593" spans="1:19" ht="12.75" customHeight="1" x14ac:dyDescent="0.1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</row>
    <row r="594" spans="1:19" ht="12.75" customHeight="1" x14ac:dyDescent="0.1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</row>
    <row r="595" spans="1:19" ht="12.75" customHeight="1" x14ac:dyDescent="0.1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</row>
    <row r="596" spans="1:19" ht="12.75" customHeight="1" x14ac:dyDescent="0.1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</row>
    <row r="597" spans="1:19" ht="12.75" customHeight="1" x14ac:dyDescent="0.1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</row>
    <row r="598" spans="1:19" ht="12.75" customHeight="1" x14ac:dyDescent="0.1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</row>
    <row r="599" spans="1:19" ht="12.75" customHeight="1" x14ac:dyDescent="0.1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</row>
    <row r="600" spans="1:19" ht="12.75" customHeight="1" x14ac:dyDescent="0.1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</row>
    <row r="601" spans="1:19" ht="12.75" customHeight="1" x14ac:dyDescent="0.1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</row>
    <row r="602" spans="1:19" ht="12.75" customHeight="1" x14ac:dyDescent="0.1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</row>
    <row r="603" spans="1:19" ht="12.75" customHeight="1" x14ac:dyDescent="0.1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</row>
    <row r="604" spans="1:19" ht="12.75" customHeight="1" x14ac:dyDescent="0.1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</row>
    <row r="605" spans="1:19" ht="12.75" customHeight="1" x14ac:dyDescent="0.1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</row>
    <row r="606" spans="1:19" ht="12.75" customHeight="1" x14ac:dyDescent="0.1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</row>
    <row r="607" spans="1:19" ht="12.75" customHeight="1" x14ac:dyDescent="0.1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</row>
    <row r="608" spans="1:19" ht="12.75" customHeight="1" x14ac:dyDescent="0.1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</row>
    <row r="609" spans="1:19" ht="12.75" customHeight="1" x14ac:dyDescent="0.1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</row>
    <row r="610" spans="1:19" ht="12.75" customHeight="1" x14ac:dyDescent="0.1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</row>
    <row r="611" spans="1:19" ht="12.75" customHeight="1" x14ac:dyDescent="0.1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</row>
    <row r="612" spans="1:19" ht="12.75" customHeight="1" x14ac:dyDescent="0.1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</row>
    <row r="613" spans="1:19" ht="12.75" customHeight="1" x14ac:dyDescent="0.1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</row>
    <row r="614" spans="1:19" ht="12.75" customHeight="1" x14ac:dyDescent="0.1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</row>
    <row r="615" spans="1:19" ht="12.75" customHeight="1" x14ac:dyDescent="0.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</row>
    <row r="616" spans="1:19" ht="12.75" customHeight="1" x14ac:dyDescent="0.1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</row>
    <row r="617" spans="1:19" ht="12.75" customHeight="1" x14ac:dyDescent="0.1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</row>
    <row r="618" spans="1:19" ht="12.75" customHeight="1" x14ac:dyDescent="0.1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</row>
    <row r="619" spans="1:19" ht="12.75" customHeight="1" x14ac:dyDescent="0.1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</row>
    <row r="620" spans="1:19" ht="12.75" customHeight="1" x14ac:dyDescent="0.1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</row>
    <row r="621" spans="1:19" ht="12.75" customHeight="1" x14ac:dyDescent="0.1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</row>
    <row r="622" spans="1:19" ht="12.75" customHeight="1" x14ac:dyDescent="0.1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</row>
    <row r="623" spans="1:19" ht="12.75" customHeight="1" x14ac:dyDescent="0.1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</row>
    <row r="624" spans="1:19" ht="12.75" customHeight="1" x14ac:dyDescent="0.1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</row>
    <row r="625" spans="1:19" ht="12.75" customHeight="1" x14ac:dyDescent="0.1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</row>
    <row r="626" spans="1:19" ht="12.75" customHeight="1" x14ac:dyDescent="0.1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</row>
    <row r="627" spans="1:19" ht="12.75" customHeight="1" x14ac:dyDescent="0.1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</row>
    <row r="628" spans="1:19" ht="12.75" customHeight="1" x14ac:dyDescent="0.1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</row>
    <row r="629" spans="1:19" ht="12.75" customHeight="1" x14ac:dyDescent="0.1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</row>
    <row r="630" spans="1:19" ht="12.75" customHeight="1" x14ac:dyDescent="0.1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</row>
    <row r="631" spans="1:19" ht="12.75" customHeight="1" x14ac:dyDescent="0.1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</row>
    <row r="632" spans="1:19" ht="12.75" customHeight="1" x14ac:dyDescent="0.1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</row>
    <row r="633" spans="1:19" ht="12.75" customHeight="1" x14ac:dyDescent="0.1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</row>
    <row r="634" spans="1:19" ht="12.75" customHeight="1" x14ac:dyDescent="0.1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</row>
    <row r="635" spans="1:19" ht="12.75" customHeight="1" x14ac:dyDescent="0.1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</row>
    <row r="636" spans="1:19" ht="12.75" customHeight="1" x14ac:dyDescent="0.1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</row>
    <row r="637" spans="1:19" ht="12.75" customHeight="1" x14ac:dyDescent="0.1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</row>
    <row r="638" spans="1:19" ht="12.75" customHeight="1" x14ac:dyDescent="0.1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</row>
    <row r="639" spans="1:19" ht="12.75" customHeight="1" x14ac:dyDescent="0.1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</row>
    <row r="640" spans="1:19" ht="12.75" customHeight="1" x14ac:dyDescent="0.1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</row>
    <row r="641" spans="1:19" ht="12.75" customHeight="1" x14ac:dyDescent="0.1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</row>
    <row r="642" spans="1:19" ht="12.75" customHeight="1" x14ac:dyDescent="0.1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</row>
    <row r="643" spans="1:19" ht="12.75" customHeight="1" x14ac:dyDescent="0.1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</row>
    <row r="644" spans="1:19" ht="12.75" customHeight="1" x14ac:dyDescent="0.1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</row>
    <row r="645" spans="1:19" ht="12.75" customHeight="1" x14ac:dyDescent="0.1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</row>
    <row r="646" spans="1:19" ht="12.75" customHeight="1" x14ac:dyDescent="0.1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</row>
    <row r="647" spans="1:19" ht="12.75" customHeight="1" x14ac:dyDescent="0.1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</row>
    <row r="648" spans="1:19" ht="12.75" customHeight="1" x14ac:dyDescent="0.1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</row>
    <row r="649" spans="1:19" ht="12.75" customHeight="1" x14ac:dyDescent="0.1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</row>
    <row r="650" spans="1:19" ht="12.75" customHeight="1" x14ac:dyDescent="0.1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</row>
    <row r="651" spans="1:19" ht="12.75" customHeight="1" x14ac:dyDescent="0.1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</row>
    <row r="652" spans="1:19" ht="12.75" customHeight="1" x14ac:dyDescent="0.1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</row>
    <row r="653" spans="1:19" ht="12.75" customHeight="1" x14ac:dyDescent="0.1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</row>
    <row r="654" spans="1:19" ht="12.75" customHeight="1" x14ac:dyDescent="0.1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</row>
    <row r="655" spans="1:19" ht="12.75" customHeight="1" x14ac:dyDescent="0.1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</row>
    <row r="656" spans="1:19" ht="12.75" customHeight="1" x14ac:dyDescent="0.1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</row>
    <row r="657" spans="1:19" ht="12.75" customHeight="1" x14ac:dyDescent="0.1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</row>
    <row r="658" spans="1:19" ht="12.75" customHeight="1" x14ac:dyDescent="0.1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</row>
    <row r="659" spans="1:19" ht="12.75" customHeight="1" x14ac:dyDescent="0.1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</row>
    <row r="660" spans="1:19" ht="12.75" customHeight="1" x14ac:dyDescent="0.1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</row>
    <row r="661" spans="1:19" ht="12.75" customHeight="1" x14ac:dyDescent="0.1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</row>
    <row r="662" spans="1:19" ht="12.75" customHeight="1" x14ac:dyDescent="0.1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</row>
    <row r="663" spans="1:19" ht="12.75" customHeight="1" x14ac:dyDescent="0.1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</row>
    <row r="664" spans="1:19" ht="12.75" customHeight="1" x14ac:dyDescent="0.1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</row>
    <row r="665" spans="1:19" ht="12.75" customHeight="1" x14ac:dyDescent="0.1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</row>
    <row r="666" spans="1:19" ht="12.75" customHeight="1" x14ac:dyDescent="0.1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</row>
    <row r="667" spans="1:19" ht="12.75" customHeight="1" x14ac:dyDescent="0.1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</row>
    <row r="668" spans="1:19" ht="12.75" customHeight="1" x14ac:dyDescent="0.1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</row>
    <row r="669" spans="1:19" ht="12.75" customHeight="1" x14ac:dyDescent="0.1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</row>
    <row r="670" spans="1:19" ht="12.75" customHeight="1" x14ac:dyDescent="0.1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</row>
    <row r="671" spans="1:19" ht="12.75" customHeight="1" x14ac:dyDescent="0.1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</row>
    <row r="672" spans="1:19" ht="12.75" customHeight="1" x14ac:dyDescent="0.1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</row>
    <row r="673" spans="1:19" ht="12.75" customHeight="1" x14ac:dyDescent="0.1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</row>
    <row r="674" spans="1:19" ht="12.75" customHeight="1" x14ac:dyDescent="0.1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</row>
    <row r="675" spans="1:19" ht="12.75" customHeight="1" x14ac:dyDescent="0.1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</row>
    <row r="676" spans="1:19" ht="12.75" customHeight="1" x14ac:dyDescent="0.1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</row>
    <row r="677" spans="1:19" ht="12.75" customHeight="1" x14ac:dyDescent="0.1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</row>
    <row r="678" spans="1:19" ht="12.75" customHeight="1" x14ac:dyDescent="0.1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</row>
    <row r="679" spans="1:19" ht="12.75" customHeight="1" x14ac:dyDescent="0.1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</row>
    <row r="680" spans="1:19" ht="12.75" customHeight="1" x14ac:dyDescent="0.1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</row>
    <row r="681" spans="1:19" ht="12.75" customHeight="1" x14ac:dyDescent="0.1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</row>
    <row r="682" spans="1:19" ht="12.75" customHeight="1" x14ac:dyDescent="0.1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</row>
    <row r="683" spans="1:19" ht="12.75" customHeight="1" x14ac:dyDescent="0.1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</row>
    <row r="684" spans="1:19" ht="12.75" customHeight="1" x14ac:dyDescent="0.1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</row>
    <row r="685" spans="1:19" ht="12.75" customHeight="1" x14ac:dyDescent="0.1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</row>
    <row r="686" spans="1:19" ht="12.75" customHeight="1" x14ac:dyDescent="0.1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</row>
    <row r="687" spans="1:19" ht="12.75" customHeight="1" x14ac:dyDescent="0.1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</row>
    <row r="688" spans="1:19" ht="12.75" customHeight="1" x14ac:dyDescent="0.1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</row>
    <row r="689" spans="1:19" ht="12.75" customHeight="1" x14ac:dyDescent="0.1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</row>
    <row r="690" spans="1:19" ht="12.75" customHeight="1" x14ac:dyDescent="0.1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</row>
    <row r="691" spans="1:19" ht="12.75" customHeight="1" x14ac:dyDescent="0.1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</row>
    <row r="692" spans="1:19" ht="12.75" customHeight="1" x14ac:dyDescent="0.1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</row>
    <row r="693" spans="1:19" ht="12.75" customHeight="1" x14ac:dyDescent="0.1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</row>
    <row r="694" spans="1:19" ht="12.75" customHeight="1" x14ac:dyDescent="0.1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</row>
    <row r="695" spans="1:19" ht="12.75" customHeight="1" x14ac:dyDescent="0.1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</row>
    <row r="696" spans="1:19" ht="12.75" customHeight="1" x14ac:dyDescent="0.1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</row>
    <row r="697" spans="1:19" ht="12.75" customHeight="1" x14ac:dyDescent="0.1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</row>
    <row r="698" spans="1:19" ht="12.75" customHeight="1" x14ac:dyDescent="0.1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</row>
    <row r="699" spans="1:19" ht="12.75" customHeight="1" x14ac:dyDescent="0.1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</row>
    <row r="700" spans="1:19" ht="12.75" customHeight="1" x14ac:dyDescent="0.1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</row>
    <row r="701" spans="1:19" ht="12.75" customHeight="1" x14ac:dyDescent="0.1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</row>
    <row r="702" spans="1:19" ht="12.75" customHeight="1" x14ac:dyDescent="0.1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</row>
    <row r="703" spans="1:19" ht="12.75" customHeight="1" x14ac:dyDescent="0.1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</row>
    <row r="704" spans="1:19" ht="12.75" customHeight="1" x14ac:dyDescent="0.1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</row>
    <row r="705" spans="1:19" ht="12.75" customHeight="1" x14ac:dyDescent="0.1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</row>
    <row r="706" spans="1:19" ht="12.75" customHeight="1" x14ac:dyDescent="0.1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</row>
    <row r="707" spans="1:19" ht="12.75" customHeight="1" x14ac:dyDescent="0.1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</row>
    <row r="708" spans="1:19" ht="12.75" customHeight="1" x14ac:dyDescent="0.1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</row>
    <row r="709" spans="1:19" ht="12.75" customHeight="1" x14ac:dyDescent="0.1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</row>
    <row r="710" spans="1:19" ht="12.75" customHeight="1" x14ac:dyDescent="0.1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</row>
    <row r="711" spans="1:19" ht="12.75" customHeight="1" x14ac:dyDescent="0.1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</row>
    <row r="712" spans="1:19" ht="12.75" customHeight="1" x14ac:dyDescent="0.1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</row>
    <row r="713" spans="1:19" ht="12.75" customHeight="1" x14ac:dyDescent="0.1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</row>
    <row r="714" spans="1:19" ht="12.75" customHeight="1" x14ac:dyDescent="0.1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</row>
    <row r="715" spans="1:19" ht="12.75" customHeight="1" x14ac:dyDescent="0.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</row>
    <row r="716" spans="1:19" ht="12.75" customHeight="1" x14ac:dyDescent="0.1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</row>
    <row r="717" spans="1:19" ht="12.75" customHeight="1" x14ac:dyDescent="0.1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</row>
    <row r="718" spans="1:19" ht="12.75" customHeight="1" x14ac:dyDescent="0.1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</row>
    <row r="719" spans="1:19" ht="12.75" customHeight="1" x14ac:dyDescent="0.1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</row>
    <row r="720" spans="1:19" ht="12.75" customHeight="1" x14ac:dyDescent="0.1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</row>
    <row r="721" spans="1:19" ht="12.75" customHeight="1" x14ac:dyDescent="0.1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</row>
    <row r="722" spans="1:19" ht="12.75" customHeight="1" x14ac:dyDescent="0.1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</row>
    <row r="723" spans="1:19" ht="12.75" customHeight="1" x14ac:dyDescent="0.1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</row>
    <row r="724" spans="1:19" ht="12.75" customHeight="1" x14ac:dyDescent="0.1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</row>
    <row r="725" spans="1:19" ht="12.75" customHeight="1" x14ac:dyDescent="0.1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</row>
    <row r="726" spans="1:19" ht="12.75" customHeight="1" x14ac:dyDescent="0.1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</row>
    <row r="727" spans="1:19" ht="12.75" customHeight="1" x14ac:dyDescent="0.1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</row>
    <row r="728" spans="1:19" ht="12.75" customHeight="1" x14ac:dyDescent="0.1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</row>
    <row r="729" spans="1:19" ht="12.75" customHeight="1" x14ac:dyDescent="0.1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</row>
    <row r="730" spans="1:19" ht="12.75" customHeight="1" x14ac:dyDescent="0.1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</row>
    <row r="731" spans="1:19" ht="12.75" customHeight="1" x14ac:dyDescent="0.1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</row>
    <row r="732" spans="1:19" ht="12.75" customHeight="1" x14ac:dyDescent="0.1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</row>
    <row r="733" spans="1:19" ht="12.75" customHeight="1" x14ac:dyDescent="0.1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</row>
    <row r="734" spans="1:19" ht="12.75" customHeight="1" x14ac:dyDescent="0.1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</row>
    <row r="735" spans="1:19" ht="12.75" customHeight="1" x14ac:dyDescent="0.1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</row>
    <row r="736" spans="1:19" ht="12.75" customHeight="1" x14ac:dyDescent="0.1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</row>
    <row r="737" spans="1:19" ht="12.75" customHeight="1" x14ac:dyDescent="0.1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</row>
    <row r="738" spans="1:19" ht="12.75" customHeight="1" x14ac:dyDescent="0.1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</row>
    <row r="739" spans="1:19" ht="12.75" customHeight="1" x14ac:dyDescent="0.1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</row>
    <row r="740" spans="1:19" ht="12.75" customHeight="1" x14ac:dyDescent="0.1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</row>
    <row r="741" spans="1:19" ht="12.75" customHeight="1" x14ac:dyDescent="0.1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</row>
    <row r="742" spans="1:19" ht="12.75" customHeight="1" x14ac:dyDescent="0.1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</row>
    <row r="743" spans="1:19" ht="12.75" customHeight="1" x14ac:dyDescent="0.1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</row>
    <row r="744" spans="1:19" ht="12.75" customHeight="1" x14ac:dyDescent="0.1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</row>
    <row r="745" spans="1:19" ht="12.75" customHeight="1" x14ac:dyDescent="0.1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</row>
    <row r="746" spans="1:19" ht="12.75" customHeight="1" x14ac:dyDescent="0.1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</row>
    <row r="747" spans="1:19" ht="12.75" customHeight="1" x14ac:dyDescent="0.1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</row>
    <row r="748" spans="1:19" ht="12.75" customHeight="1" x14ac:dyDescent="0.1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</row>
    <row r="749" spans="1:19" ht="12.75" customHeight="1" x14ac:dyDescent="0.1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</row>
    <row r="750" spans="1:19" ht="12.75" customHeight="1" x14ac:dyDescent="0.1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</row>
    <row r="751" spans="1:19" ht="12.75" customHeight="1" x14ac:dyDescent="0.1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</row>
    <row r="752" spans="1:19" ht="12.75" customHeight="1" x14ac:dyDescent="0.1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</row>
    <row r="753" spans="1:19" ht="12.75" customHeight="1" x14ac:dyDescent="0.1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</row>
    <row r="754" spans="1:19" ht="12.75" customHeight="1" x14ac:dyDescent="0.1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</row>
    <row r="755" spans="1:19" ht="12.75" customHeight="1" x14ac:dyDescent="0.1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</row>
    <row r="756" spans="1:19" ht="12.75" customHeight="1" x14ac:dyDescent="0.1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</row>
    <row r="757" spans="1:19" ht="12.75" customHeight="1" x14ac:dyDescent="0.1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</row>
    <row r="758" spans="1:19" ht="12.75" customHeight="1" x14ac:dyDescent="0.1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</row>
    <row r="759" spans="1:19" ht="12.75" customHeight="1" x14ac:dyDescent="0.1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</row>
    <row r="760" spans="1:19" ht="12.75" customHeight="1" x14ac:dyDescent="0.1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</row>
    <row r="761" spans="1:19" ht="12.75" customHeight="1" x14ac:dyDescent="0.1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</row>
    <row r="762" spans="1:19" ht="12.75" customHeight="1" x14ac:dyDescent="0.1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</row>
    <row r="763" spans="1:19" ht="12.75" customHeight="1" x14ac:dyDescent="0.1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</row>
    <row r="764" spans="1:19" ht="12.75" customHeight="1" x14ac:dyDescent="0.1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</row>
    <row r="765" spans="1:19" ht="12.75" customHeight="1" x14ac:dyDescent="0.1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</row>
    <row r="766" spans="1:19" ht="12.75" customHeight="1" x14ac:dyDescent="0.1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</row>
    <row r="767" spans="1:19" ht="12.75" customHeight="1" x14ac:dyDescent="0.1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</row>
    <row r="768" spans="1:19" ht="12.75" customHeight="1" x14ac:dyDescent="0.1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</row>
    <row r="769" spans="1:19" ht="12.75" customHeight="1" x14ac:dyDescent="0.1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</row>
    <row r="770" spans="1:19" ht="12.75" customHeight="1" x14ac:dyDescent="0.1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</row>
    <row r="771" spans="1:19" ht="12.75" customHeight="1" x14ac:dyDescent="0.1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</row>
    <row r="772" spans="1:19" ht="12.75" customHeight="1" x14ac:dyDescent="0.1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</row>
    <row r="773" spans="1:19" ht="12.75" customHeight="1" x14ac:dyDescent="0.1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</row>
    <row r="774" spans="1:19" ht="12.75" customHeight="1" x14ac:dyDescent="0.1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</row>
    <row r="775" spans="1:19" ht="12.75" customHeight="1" x14ac:dyDescent="0.1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</row>
    <row r="776" spans="1:19" ht="12.75" customHeight="1" x14ac:dyDescent="0.1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</row>
    <row r="777" spans="1:19" ht="12.75" customHeight="1" x14ac:dyDescent="0.1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</row>
    <row r="778" spans="1:19" ht="12.75" customHeight="1" x14ac:dyDescent="0.1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</row>
    <row r="779" spans="1:19" ht="12.75" customHeight="1" x14ac:dyDescent="0.1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</row>
    <row r="780" spans="1:19" ht="12.75" customHeight="1" x14ac:dyDescent="0.1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</row>
    <row r="781" spans="1:19" ht="12.75" customHeight="1" x14ac:dyDescent="0.1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</row>
    <row r="782" spans="1:19" ht="12.75" customHeight="1" x14ac:dyDescent="0.1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</row>
    <row r="783" spans="1:19" ht="12.75" customHeight="1" x14ac:dyDescent="0.1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</row>
    <row r="784" spans="1:19" ht="12.75" customHeight="1" x14ac:dyDescent="0.1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</row>
    <row r="785" spans="1:19" ht="12.75" customHeight="1" x14ac:dyDescent="0.1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</row>
    <row r="786" spans="1:19" ht="12.75" customHeight="1" x14ac:dyDescent="0.1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</row>
    <row r="787" spans="1:19" ht="12.75" customHeight="1" x14ac:dyDescent="0.1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</row>
    <row r="788" spans="1:19" ht="12.75" customHeight="1" x14ac:dyDescent="0.1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</row>
    <row r="789" spans="1:19" ht="12.75" customHeight="1" x14ac:dyDescent="0.1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</row>
    <row r="790" spans="1:19" ht="12.75" customHeight="1" x14ac:dyDescent="0.1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</row>
    <row r="791" spans="1:19" ht="12.75" customHeight="1" x14ac:dyDescent="0.1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</row>
    <row r="792" spans="1:19" ht="12.75" customHeight="1" x14ac:dyDescent="0.1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</row>
    <row r="793" spans="1:19" ht="12.75" customHeight="1" x14ac:dyDescent="0.1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</row>
    <row r="794" spans="1:19" ht="12.75" customHeight="1" x14ac:dyDescent="0.1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</row>
    <row r="795" spans="1:19" ht="12.75" customHeight="1" x14ac:dyDescent="0.1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</row>
    <row r="796" spans="1:19" ht="12.75" customHeight="1" x14ac:dyDescent="0.1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</row>
    <row r="797" spans="1:19" ht="12.75" customHeight="1" x14ac:dyDescent="0.1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</row>
    <row r="798" spans="1:19" ht="12.75" customHeight="1" x14ac:dyDescent="0.1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</row>
    <row r="799" spans="1:19" ht="12.75" customHeight="1" x14ac:dyDescent="0.1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</row>
    <row r="800" spans="1:19" ht="12.75" customHeight="1" x14ac:dyDescent="0.1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</row>
    <row r="801" spans="1:19" ht="12.75" customHeight="1" x14ac:dyDescent="0.1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</row>
    <row r="802" spans="1:19" ht="12.75" customHeight="1" x14ac:dyDescent="0.1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</row>
    <row r="803" spans="1:19" ht="12.75" customHeight="1" x14ac:dyDescent="0.1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</row>
    <row r="804" spans="1:19" ht="12.75" customHeight="1" x14ac:dyDescent="0.1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</row>
    <row r="805" spans="1:19" ht="12.75" customHeight="1" x14ac:dyDescent="0.1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</row>
    <row r="806" spans="1:19" ht="12.75" customHeight="1" x14ac:dyDescent="0.1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</row>
    <row r="807" spans="1:19" ht="12.75" customHeight="1" x14ac:dyDescent="0.1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</row>
    <row r="808" spans="1:19" ht="12.75" customHeight="1" x14ac:dyDescent="0.1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</row>
    <row r="809" spans="1:19" ht="12.75" customHeight="1" x14ac:dyDescent="0.1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</row>
    <row r="810" spans="1:19" ht="12.75" customHeight="1" x14ac:dyDescent="0.1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</row>
    <row r="811" spans="1:19" ht="12.75" customHeight="1" x14ac:dyDescent="0.1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</row>
    <row r="812" spans="1:19" ht="12.75" customHeight="1" x14ac:dyDescent="0.1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</row>
    <row r="813" spans="1:19" ht="12.75" customHeight="1" x14ac:dyDescent="0.1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</row>
    <row r="814" spans="1:19" ht="12.75" customHeight="1" x14ac:dyDescent="0.1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</row>
    <row r="815" spans="1:19" ht="12.75" customHeight="1" x14ac:dyDescent="0.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</row>
    <row r="816" spans="1:19" ht="12.75" customHeight="1" x14ac:dyDescent="0.1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</row>
    <row r="817" spans="1:19" ht="12.75" customHeight="1" x14ac:dyDescent="0.1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</row>
    <row r="818" spans="1:19" ht="12.75" customHeight="1" x14ac:dyDescent="0.1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</row>
    <row r="819" spans="1:19" ht="12.75" customHeight="1" x14ac:dyDescent="0.1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</row>
    <row r="820" spans="1:19" ht="12.75" customHeight="1" x14ac:dyDescent="0.1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</row>
    <row r="821" spans="1:19" ht="12.75" customHeight="1" x14ac:dyDescent="0.1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</row>
    <row r="822" spans="1:19" ht="12.75" customHeight="1" x14ac:dyDescent="0.1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</row>
    <row r="823" spans="1:19" ht="12.75" customHeight="1" x14ac:dyDescent="0.1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</row>
    <row r="824" spans="1:19" ht="12.75" customHeight="1" x14ac:dyDescent="0.1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</row>
    <row r="825" spans="1:19" ht="12.75" customHeight="1" x14ac:dyDescent="0.1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</row>
    <row r="826" spans="1:19" ht="12.75" customHeight="1" x14ac:dyDescent="0.1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</row>
    <row r="827" spans="1:19" ht="12.75" customHeight="1" x14ac:dyDescent="0.1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</row>
    <row r="828" spans="1:19" ht="12.75" customHeight="1" x14ac:dyDescent="0.1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</row>
    <row r="829" spans="1:19" ht="12.75" customHeight="1" x14ac:dyDescent="0.1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</row>
    <row r="830" spans="1:19" ht="12.75" customHeight="1" x14ac:dyDescent="0.1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</row>
    <row r="831" spans="1:19" ht="12.75" customHeight="1" x14ac:dyDescent="0.1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</row>
    <row r="832" spans="1:19" ht="12.75" customHeight="1" x14ac:dyDescent="0.1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</row>
    <row r="833" spans="1:19" ht="12.75" customHeight="1" x14ac:dyDescent="0.1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</row>
    <row r="834" spans="1:19" ht="12.75" customHeight="1" x14ac:dyDescent="0.1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</row>
    <row r="835" spans="1:19" ht="12.75" customHeight="1" x14ac:dyDescent="0.1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</row>
    <row r="836" spans="1:19" ht="12.75" customHeight="1" x14ac:dyDescent="0.1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</row>
    <row r="837" spans="1:19" ht="12.75" customHeight="1" x14ac:dyDescent="0.1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</row>
    <row r="838" spans="1:19" ht="12.75" customHeight="1" x14ac:dyDescent="0.1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</row>
    <row r="839" spans="1:19" ht="12.75" customHeight="1" x14ac:dyDescent="0.1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</row>
    <row r="840" spans="1:19" ht="12.75" customHeight="1" x14ac:dyDescent="0.1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</row>
    <row r="841" spans="1:19" ht="12.75" customHeight="1" x14ac:dyDescent="0.1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</row>
    <row r="842" spans="1:19" ht="12.75" customHeight="1" x14ac:dyDescent="0.1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</row>
    <row r="843" spans="1:19" ht="12.75" customHeight="1" x14ac:dyDescent="0.1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</row>
    <row r="844" spans="1:19" ht="12.75" customHeight="1" x14ac:dyDescent="0.1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</row>
    <row r="845" spans="1:19" ht="12.75" customHeight="1" x14ac:dyDescent="0.1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</row>
    <row r="846" spans="1:19" ht="12.75" customHeight="1" x14ac:dyDescent="0.1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</row>
    <row r="847" spans="1:19" ht="12.75" customHeight="1" x14ac:dyDescent="0.1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</row>
    <row r="848" spans="1:19" ht="12.75" customHeight="1" x14ac:dyDescent="0.1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</row>
    <row r="849" spans="1:19" ht="12.75" customHeight="1" x14ac:dyDescent="0.1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</row>
    <row r="850" spans="1:19" ht="12.75" customHeight="1" x14ac:dyDescent="0.1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</row>
    <row r="851" spans="1:19" ht="12.75" customHeight="1" x14ac:dyDescent="0.1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</row>
    <row r="852" spans="1:19" ht="12.75" customHeight="1" x14ac:dyDescent="0.1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</row>
    <row r="853" spans="1:19" ht="12.75" customHeight="1" x14ac:dyDescent="0.1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</row>
    <row r="854" spans="1:19" ht="12.75" customHeight="1" x14ac:dyDescent="0.1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</row>
    <row r="855" spans="1:19" ht="12.75" customHeight="1" x14ac:dyDescent="0.1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</row>
    <row r="856" spans="1:19" ht="12.75" customHeight="1" x14ac:dyDescent="0.1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</row>
    <row r="857" spans="1:19" ht="12.75" customHeight="1" x14ac:dyDescent="0.1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</row>
    <row r="858" spans="1:19" ht="12.75" customHeight="1" x14ac:dyDescent="0.1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</row>
    <row r="859" spans="1:19" ht="12.75" customHeight="1" x14ac:dyDescent="0.1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</row>
    <row r="860" spans="1:19" ht="12.75" customHeight="1" x14ac:dyDescent="0.1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</row>
    <row r="861" spans="1:19" ht="12.75" customHeight="1" x14ac:dyDescent="0.1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</row>
    <row r="862" spans="1:19" ht="12.75" customHeight="1" x14ac:dyDescent="0.1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</row>
    <row r="863" spans="1:19" ht="12.75" customHeight="1" x14ac:dyDescent="0.1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</row>
    <row r="864" spans="1:19" ht="12.75" customHeight="1" x14ac:dyDescent="0.1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</row>
    <row r="865" spans="1:19" ht="12.75" customHeight="1" x14ac:dyDescent="0.1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</row>
    <row r="866" spans="1:19" ht="12.75" customHeight="1" x14ac:dyDescent="0.1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</row>
    <row r="867" spans="1:19" ht="12.75" customHeight="1" x14ac:dyDescent="0.1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</row>
    <row r="868" spans="1:19" ht="12.75" customHeight="1" x14ac:dyDescent="0.1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</row>
    <row r="869" spans="1:19" ht="12.75" customHeight="1" x14ac:dyDescent="0.1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</row>
    <row r="870" spans="1:19" ht="12.75" customHeight="1" x14ac:dyDescent="0.1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</row>
    <row r="871" spans="1:19" ht="12.75" customHeight="1" x14ac:dyDescent="0.1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</row>
    <row r="872" spans="1:19" ht="12.75" customHeight="1" x14ac:dyDescent="0.1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</row>
    <row r="873" spans="1:19" ht="12.75" customHeight="1" x14ac:dyDescent="0.1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</row>
    <row r="874" spans="1:19" ht="12.75" customHeight="1" x14ac:dyDescent="0.1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</row>
    <row r="875" spans="1:19" ht="12.75" customHeight="1" x14ac:dyDescent="0.1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</row>
    <row r="876" spans="1:19" ht="12.75" customHeight="1" x14ac:dyDescent="0.1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</row>
    <row r="877" spans="1:19" ht="12.75" customHeight="1" x14ac:dyDescent="0.1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</row>
    <row r="878" spans="1:19" ht="12.75" customHeight="1" x14ac:dyDescent="0.1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</row>
    <row r="879" spans="1:19" ht="12.75" customHeight="1" x14ac:dyDescent="0.1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</row>
    <row r="880" spans="1:19" ht="12.75" customHeight="1" x14ac:dyDescent="0.1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</row>
    <row r="881" spans="1:19" ht="12.75" customHeight="1" x14ac:dyDescent="0.1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</row>
    <row r="882" spans="1:19" ht="12.75" customHeight="1" x14ac:dyDescent="0.1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</row>
    <row r="883" spans="1:19" ht="12.75" customHeight="1" x14ac:dyDescent="0.1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</row>
    <row r="884" spans="1:19" ht="12.75" customHeight="1" x14ac:dyDescent="0.1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</row>
    <row r="885" spans="1:19" ht="12.75" customHeight="1" x14ac:dyDescent="0.1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</row>
    <row r="886" spans="1:19" ht="12.75" customHeight="1" x14ac:dyDescent="0.1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</row>
    <row r="887" spans="1:19" ht="12.75" customHeight="1" x14ac:dyDescent="0.1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</row>
    <row r="888" spans="1:19" ht="12.75" customHeight="1" x14ac:dyDescent="0.1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</row>
    <row r="889" spans="1:19" ht="12.75" customHeight="1" x14ac:dyDescent="0.1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</row>
    <row r="890" spans="1:19" ht="12.75" customHeight="1" x14ac:dyDescent="0.1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</row>
    <row r="891" spans="1:19" ht="12.75" customHeight="1" x14ac:dyDescent="0.1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</row>
    <row r="892" spans="1:19" ht="12.75" customHeight="1" x14ac:dyDescent="0.1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</row>
    <row r="893" spans="1:19" ht="12.75" customHeight="1" x14ac:dyDescent="0.1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</row>
    <row r="894" spans="1:19" ht="12.75" customHeight="1" x14ac:dyDescent="0.1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</row>
    <row r="895" spans="1:19" ht="12.75" customHeight="1" x14ac:dyDescent="0.1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</row>
    <row r="896" spans="1:19" ht="12.75" customHeight="1" x14ac:dyDescent="0.1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</row>
    <row r="897" spans="1:19" ht="12.75" customHeight="1" x14ac:dyDescent="0.1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</row>
    <row r="898" spans="1:19" ht="12.75" customHeight="1" x14ac:dyDescent="0.1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</row>
    <row r="899" spans="1:19" ht="12.75" customHeight="1" x14ac:dyDescent="0.1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</row>
    <row r="900" spans="1:19" ht="12.75" customHeight="1" x14ac:dyDescent="0.1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</row>
    <row r="901" spans="1:19" ht="12.75" customHeight="1" x14ac:dyDescent="0.1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</row>
    <row r="902" spans="1:19" ht="12.75" customHeight="1" x14ac:dyDescent="0.1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</row>
    <row r="903" spans="1:19" ht="12.75" customHeight="1" x14ac:dyDescent="0.1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</row>
    <row r="904" spans="1:19" ht="12.75" customHeight="1" x14ac:dyDescent="0.1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</row>
    <row r="905" spans="1:19" ht="12.75" customHeight="1" x14ac:dyDescent="0.1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</row>
    <row r="906" spans="1:19" ht="12.75" customHeight="1" x14ac:dyDescent="0.1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</row>
    <row r="907" spans="1:19" ht="12.75" customHeight="1" x14ac:dyDescent="0.1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</row>
    <row r="908" spans="1:19" ht="12.75" customHeight="1" x14ac:dyDescent="0.1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</row>
    <row r="909" spans="1:19" ht="12.75" customHeight="1" x14ac:dyDescent="0.1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</row>
    <row r="910" spans="1:19" ht="12.75" customHeight="1" x14ac:dyDescent="0.1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</row>
    <row r="911" spans="1:19" ht="12.75" customHeight="1" x14ac:dyDescent="0.1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</row>
    <row r="912" spans="1:19" ht="12.75" customHeight="1" x14ac:dyDescent="0.1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</row>
    <row r="913" spans="1:19" ht="12.75" customHeight="1" x14ac:dyDescent="0.1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</row>
    <row r="914" spans="1:19" ht="12.75" customHeight="1" x14ac:dyDescent="0.1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</row>
    <row r="915" spans="1:19" ht="12.75" customHeight="1" x14ac:dyDescent="0.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</row>
    <row r="916" spans="1:19" ht="12.75" customHeight="1" x14ac:dyDescent="0.1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</row>
    <row r="917" spans="1:19" ht="12.75" customHeight="1" x14ac:dyDescent="0.1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</row>
    <row r="918" spans="1:19" ht="12.75" customHeight="1" x14ac:dyDescent="0.1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</row>
    <row r="919" spans="1:19" ht="12.75" customHeight="1" x14ac:dyDescent="0.1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</row>
    <row r="920" spans="1:19" ht="12.75" customHeight="1" x14ac:dyDescent="0.1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</row>
    <row r="921" spans="1:19" ht="12.75" customHeight="1" x14ac:dyDescent="0.1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</row>
    <row r="922" spans="1:19" ht="12.75" customHeight="1" x14ac:dyDescent="0.1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</row>
    <row r="923" spans="1:19" ht="12.75" customHeight="1" x14ac:dyDescent="0.1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</row>
    <row r="924" spans="1:19" ht="12.75" customHeight="1" x14ac:dyDescent="0.1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</row>
    <row r="925" spans="1:19" ht="12.75" customHeight="1" x14ac:dyDescent="0.1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</row>
    <row r="926" spans="1:19" ht="12.75" customHeight="1" x14ac:dyDescent="0.1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</row>
    <row r="927" spans="1:19" ht="12.75" customHeight="1" x14ac:dyDescent="0.1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</row>
    <row r="928" spans="1:19" ht="12.75" customHeight="1" x14ac:dyDescent="0.1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</row>
    <row r="929" spans="1:19" ht="12.75" customHeight="1" x14ac:dyDescent="0.1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</row>
    <row r="930" spans="1:19" ht="12.75" customHeight="1" x14ac:dyDescent="0.1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</row>
    <row r="931" spans="1:19" ht="12.75" customHeight="1" x14ac:dyDescent="0.1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</row>
    <row r="932" spans="1:19" ht="12.75" customHeight="1" x14ac:dyDescent="0.1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</row>
    <row r="933" spans="1:19" ht="12.75" customHeight="1" x14ac:dyDescent="0.1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</row>
    <row r="934" spans="1:19" ht="12.75" customHeight="1" x14ac:dyDescent="0.1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</row>
    <row r="935" spans="1:19" ht="12.75" customHeight="1" x14ac:dyDescent="0.1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</row>
    <row r="936" spans="1:19" ht="12.75" customHeight="1" x14ac:dyDescent="0.1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</row>
    <row r="937" spans="1:19" ht="12.75" customHeight="1" x14ac:dyDescent="0.1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</row>
    <row r="938" spans="1:19" ht="12.75" customHeight="1" x14ac:dyDescent="0.1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</row>
    <row r="939" spans="1:19" ht="12.75" customHeight="1" x14ac:dyDescent="0.1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</row>
    <row r="940" spans="1:19" ht="12.75" customHeight="1" x14ac:dyDescent="0.1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</row>
    <row r="941" spans="1:19" ht="12.75" customHeight="1" x14ac:dyDescent="0.1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</row>
    <row r="942" spans="1:19" ht="12.75" customHeight="1" x14ac:dyDescent="0.1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</row>
    <row r="943" spans="1:19" ht="12.75" customHeight="1" x14ac:dyDescent="0.1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</row>
    <row r="944" spans="1:19" ht="12.75" customHeight="1" x14ac:dyDescent="0.1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</row>
    <row r="945" spans="1:19" ht="12.75" customHeight="1" x14ac:dyDescent="0.1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</row>
    <row r="946" spans="1:19" ht="12.75" customHeight="1" x14ac:dyDescent="0.1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</row>
    <row r="947" spans="1:19" ht="12.75" customHeight="1" x14ac:dyDescent="0.1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</row>
    <row r="948" spans="1:19" ht="12.75" customHeight="1" x14ac:dyDescent="0.1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</row>
    <row r="949" spans="1:19" ht="12.75" customHeight="1" x14ac:dyDescent="0.1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</row>
    <row r="950" spans="1:19" ht="12.75" customHeight="1" x14ac:dyDescent="0.1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</row>
    <row r="951" spans="1:19" ht="12.75" customHeight="1" x14ac:dyDescent="0.1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</row>
    <row r="952" spans="1:19" ht="12.75" customHeight="1" x14ac:dyDescent="0.1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</row>
    <row r="953" spans="1:19" ht="12.75" customHeight="1" x14ac:dyDescent="0.1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</row>
    <row r="954" spans="1:19" ht="12.75" customHeight="1" x14ac:dyDescent="0.1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</row>
    <row r="955" spans="1:19" ht="12.75" customHeight="1" x14ac:dyDescent="0.1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</row>
    <row r="956" spans="1:19" ht="12.75" customHeight="1" x14ac:dyDescent="0.1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</row>
    <row r="957" spans="1:19" ht="12.75" customHeight="1" x14ac:dyDescent="0.1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</row>
    <row r="958" spans="1:19" ht="12.75" customHeight="1" x14ac:dyDescent="0.1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</row>
    <row r="959" spans="1:19" ht="12.75" customHeight="1" x14ac:dyDescent="0.1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</row>
    <row r="960" spans="1:19" ht="12.75" customHeight="1" x14ac:dyDescent="0.1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</row>
    <row r="961" spans="1:19" ht="12.75" customHeight="1" x14ac:dyDescent="0.1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</row>
    <row r="962" spans="1:19" ht="12.75" customHeight="1" x14ac:dyDescent="0.1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</row>
    <row r="963" spans="1:19" ht="12.75" customHeight="1" x14ac:dyDescent="0.1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</row>
    <row r="964" spans="1:19" ht="12.75" customHeight="1" x14ac:dyDescent="0.1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</row>
    <row r="965" spans="1:19" ht="12.75" customHeight="1" x14ac:dyDescent="0.1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</row>
    <row r="966" spans="1:19" ht="12.75" customHeight="1" x14ac:dyDescent="0.1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</row>
    <row r="967" spans="1:19" ht="12.75" customHeight="1" x14ac:dyDescent="0.1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</row>
    <row r="968" spans="1:19" ht="12.75" customHeight="1" x14ac:dyDescent="0.1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</row>
    <row r="969" spans="1:19" ht="12.75" customHeight="1" x14ac:dyDescent="0.1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</row>
    <row r="970" spans="1:19" ht="12.75" customHeight="1" x14ac:dyDescent="0.1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</row>
    <row r="971" spans="1:19" ht="12.75" customHeight="1" x14ac:dyDescent="0.1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</row>
    <row r="972" spans="1:19" ht="12.75" customHeight="1" x14ac:dyDescent="0.1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</row>
    <row r="973" spans="1:19" ht="12.75" customHeight="1" x14ac:dyDescent="0.1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</row>
    <row r="974" spans="1:19" ht="12.75" customHeight="1" x14ac:dyDescent="0.1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</row>
    <row r="975" spans="1:19" ht="12.75" customHeight="1" x14ac:dyDescent="0.1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</row>
    <row r="976" spans="1:19" ht="12.75" customHeight="1" x14ac:dyDescent="0.1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</row>
    <row r="977" spans="1:19" ht="12.75" customHeight="1" x14ac:dyDescent="0.1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</row>
    <row r="978" spans="1:19" ht="12.75" customHeight="1" x14ac:dyDescent="0.1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</row>
    <row r="979" spans="1:19" ht="12.75" customHeight="1" x14ac:dyDescent="0.1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</row>
    <row r="980" spans="1:19" ht="12.75" customHeight="1" x14ac:dyDescent="0.1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</row>
    <row r="981" spans="1:19" ht="12.75" customHeight="1" x14ac:dyDescent="0.1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</row>
    <row r="982" spans="1:19" ht="12.75" customHeight="1" x14ac:dyDescent="0.1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</row>
    <row r="983" spans="1:19" ht="12.75" customHeight="1" x14ac:dyDescent="0.1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</row>
    <row r="984" spans="1:19" ht="12.75" customHeight="1" x14ac:dyDescent="0.1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</row>
    <row r="985" spans="1:19" ht="12.75" customHeight="1" x14ac:dyDescent="0.1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</row>
    <row r="986" spans="1:19" ht="12.75" customHeight="1" x14ac:dyDescent="0.1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</row>
    <row r="987" spans="1:19" ht="12.75" customHeight="1" x14ac:dyDescent="0.1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</row>
    <row r="988" spans="1:19" ht="12.75" customHeight="1" x14ac:dyDescent="0.1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</row>
    <row r="989" spans="1:19" ht="12.75" customHeight="1" x14ac:dyDescent="0.1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</row>
    <row r="990" spans="1:19" ht="12.75" customHeight="1" x14ac:dyDescent="0.1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</row>
    <row r="991" spans="1:19" ht="12.75" customHeight="1" x14ac:dyDescent="0.1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</row>
    <row r="992" spans="1:19" ht="12.75" customHeight="1" x14ac:dyDescent="0.1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</row>
    <row r="993" spans="1:19" ht="12.75" customHeight="1" x14ac:dyDescent="0.1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</row>
    <row r="994" spans="1:19" ht="12.75" customHeight="1" x14ac:dyDescent="0.1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</row>
    <row r="995" spans="1:19" ht="12.75" customHeight="1" x14ac:dyDescent="0.1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</row>
    <row r="996" spans="1:19" ht="12.75" customHeight="1" x14ac:dyDescent="0.1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</row>
    <row r="997" spans="1:19" ht="12.75" customHeight="1" x14ac:dyDescent="0.1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</row>
    <row r="998" spans="1:19" ht="12.75" customHeight="1" x14ac:dyDescent="0.1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</row>
  </sheetData>
  <mergeCells count="2">
    <mergeCell ref="D2:E2"/>
    <mergeCell ref="D3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8"/>
  <sheetViews>
    <sheetView workbookViewId="0">
      <selection activeCell="O22" sqref="O22"/>
    </sheetView>
  </sheetViews>
  <sheetFormatPr baseColWidth="10" defaultColWidth="14.5" defaultRowHeight="15.75" customHeight="1" x14ac:dyDescent="0.15"/>
  <cols>
    <col min="1" max="1" width="6.33203125" customWidth="1"/>
    <col min="2" max="2" width="15.1640625" customWidth="1"/>
    <col min="3" max="5" width="10.83203125" customWidth="1"/>
    <col min="6" max="12" width="4.83203125" customWidth="1"/>
    <col min="13" max="13" width="10.83203125" customWidth="1"/>
    <col min="14" max="19" width="8.6640625" customWidth="1"/>
  </cols>
  <sheetData>
    <row r="1" spans="1:19" ht="12.75" customHeight="1" x14ac:dyDescent="0.15">
      <c r="A1" s="9" t="s">
        <v>94</v>
      </c>
      <c r="B1" s="10" t="s">
        <v>95</v>
      </c>
      <c r="C1" s="9" t="s">
        <v>96</v>
      </c>
      <c r="D1" s="9" t="s">
        <v>97</v>
      </c>
      <c r="E1" s="9" t="s">
        <v>98</v>
      </c>
      <c r="F1" s="11" t="s">
        <v>276</v>
      </c>
      <c r="G1" s="11" t="s">
        <v>277</v>
      </c>
      <c r="H1" s="11" t="s">
        <v>278</v>
      </c>
      <c r="I1" s="11" t="s">
        <v>279</v>
      </c>
      <c r="J1" s="11" t="s">
        <v>102</v>
      </c>
      <c r="K1" s="11" t="s">
        <v>105</v>
      </c>
      <c r="L1" s="11" t="s">
        <v>280</v>
      </c>
      <c r="M1" s="12" t="s">
        <v>108</v>
      </c>
      <c r="N1" s="13"/>
      <c r="O1" s="13"/>
      <c r="P1" s="13"/>
      <c r="Q1" s="13"/>
      <c r="R1" s="13"/>
      <c r="S1" s="13"/>
    </row>
    <row r="2" spans="1:19" ht="12.75" customHeight="1" x14ac:dyDescent="0.15">
      <c r="A2" s="13"/>
      <c r="B2" s="13"/>
      <c r="C2" s="14">
        <v>20</v>
      </c>
      <c r="D2" s="24" t="s">
        <v>98</v>
      </c>
      <c r="E2" s="25"/>
      <c r="F2" s="15">
        <v>16</v>
      </c>
      <c r="G2" s="15">
        <v>12</v>
      </c>
      <c r="H2" s="15">
        <v>1</v>
      </c>
      <c r="I2" s="15">
        <v>14</v>
      </c>
      <c r="J2" s="15">
        <v>36</v>
      </c>
      <c r="K2" s="15">
        <v>78</v>
      </c>
      <c r="L2" s="15">
        <v>40</v>
      </c>
      <c r="M2" s="13"/>
      <c r="N2" s="13"/>
      <c r="O2" s="13"/>
      <c r="P2" s="13"/>
      <c r="Q2" s="13"/>
      <c r="R2" s="13"/>
      <c r="S2" s="13"/>
    </row>
    <row r="3" spans="1:19" ht="12.75" customHeight="1" x14ac:dyDescent="0.15">
      <c r="A3" s="13"/>
      <c r="B3" s="13"/>
      <c r="C3" s="14">
        <f>AVERAGE(C12:C69)</f>
        <v>12.982758620689655</v>
      </c>
      <c r="D3" s="24" t="s">
        <v>109</v>
      </c>
      <c r="E3" s="25"/>
      <c r="F3" s="16">
        <f t="shared" ref="F3:L3" si="0">AVERAGE(F12:F69)/F2</f>
        <v>0.58728448275862066</v>
      </c>
      <c r="G3" s="16">
        <f t="shared" si="0"/>
        <v>0.48850574712643674</v>
      </c>
      <c r="H3" s="16">
        <f t="shared" si="0"/>
        <v>0.86206896551724133</v>
      </c>
      <c r="I3" s="16">
        <f t="shared" si="0"/>
        <v>0.50246305418719206</v>
      </c>
      <c r="J3" s="16">
        <f t="shared" si="0"/>
        <v>0.59434865900383149</v>
      </c>
      <c r="K3" s="16">
        <f t="shared" si="0"/>
        <v>0.73209549071618041</v>
      </c>
      <c r="L3" s="16">
        <f t="shared" si="0"/>
        <v>0.72068965517241379</v>
      </c>
      <c r="M3" s="13"/>
      <c r="N3" s="13"/>
      <c r="O3" s="13"/>
      <c r="P3" s="13"/>
      <c r="Q3" s="13"/>
      <c r="R3" s="13"/>
      <c r="S3" s="13"/>
    </row>
    <row r="4" spans="1:19" ht="12.75" customHeight="1" x14ac:dyDescent="0.15">
      <c r="A4" s="17"/>
      <c r="B4" s="18" t="s">
        <v>163</v>
      </c>
      <c r="C4" s="19" t="s">
        <v>111</v>
      </c>
      <c r="D4" s="20">
        <f>SUM(A4)</f>
        <v>0</v>
      </c>
      <c r="E4" s="20"/>
      <c r="F4" s="20"/>
      <c r="G4" s="20"/>
      <c r="H4" s="20"/>
      <c r="I4" s="20"/>
      <c r="J4" s="20"/>
      <c r="K4" s="20"/>
      <c r="L4" s="20"/>
      <c r="M4" s="21"/>
      <c r="N4" s="13"/>
      <c r="O4" s="13"/>
      <c r="P4" s="13"/>
      <c r="Q4" s="13"/>
      <c r="R4" s="13"/>
      <c r="S4" s="13"/>
    </row>
    <row r="5" spans="1:19" ht="12.75" customHeight="1" x14ac:dyDescent="0.15">
      <c r="A5" s="17"/>
      <c r="B5" s="18" t="s">
        <v>250</v>
      </c>
      <c r="C5" s="19" t="s">
        <v>111</v>
      </c>
      <c r="D5" s="20">
        <f>SUM(A5)</f>
        <v>0</v>
      </c>
      <c r="E5" s="20"/>
      <c r="F5" s="20"/>
      <c r="G5" s="20"/>
      <c r="H5" s="20"/>
      <c r="I5" s="20"/>
      <c r="J5" s="20"/>
      <c r="K5" s="20"/>
      <c r="L5" s="20"/>
      <c r="M5" s="21"/>
      <c r="N5" s="13"/>
      <c r="O5" s="13"/>
      <c r="P5" s="13"/>
      <c r="Q5" s="13"/>
      <c r="R5" s="13"/>
      <c r="S5" s="13"/>
    </row>
    <row r="6" spans="1:19" ht="12.75" customHeight="1" x14ac:dyDescent="0.15">
      <c r="A6" s="17"/>
      <c r="B6" s="18" t="s">
        <v>110</v>
      </c>
      <c r="C6" s="19" t="s">
        <v>111</v>
      </c>
      <c r="D6" s="20">
        <f>SUM(A6)</f>
        <v>0</v>
      </c>
      <c r="E6" s="20"/>
      <c r="F6" s="20"/>
      <c r="G6" s="20"/>
      <c r="H6" s="20"/>
      <c r="I6" s="20"/>
      <c r="J6" s="20"/>
      <c r="K6" s="20"/>
      <c r="L6" s="20"/>
      <c r="M6" s="21"/>
      <c r="N6" s="13"/>
      <c r="O6" s="13"/>
      <c r="P6" s="13"/>
      <c r="Q6" s="13"/>
      <c r="R6" s="13"/>
      <c r="S6" s="13"/>
    </row>
    <row r="7" spans="1:19" ht="12.75" customHeight="1" x14ac:dyDescent="0.15">
      <c r="A7" s="17"/>
      <c r="B7" s="18" t="s">
        <v>112</v>
      </c>
      <c r="C7" s="19" t="s">
        <v>111</v>
      </c>
      <c r="D7" s="20">
        <f>SUM(A7)</f>
        <v>0</v>
      </c>
      <c r="E7" s="20"/>
      <c r="F7" s="20"/>
      <c r="G7" s="20"/>
      <c r="H7" s="20"/>
      <c r="I7" s="20"/>
      <c r="J7" s="20"/>
      <c r="K7" s="20"/>
      <c r="L7" s="20"/>
      <c r="M7" s="21"/>
      <c r="N7" s="13"/>
      <c r="O7" s="13"/>
      <c r="P7" s="13"/>
      <c r="Q7" s="13"/>
      <c r="R7" s="13"/>
      <c r="S7" s="13"/>
    </row>
    <row r="8" spans="1:19" ht="12.75" customHeight="1" x14ac:dyDescent="0.15">
      <c r="A8" s="17"/>
      <c r="B8" s="18" t="s">
        <v>253</v>
      </c>
      <c r="C8" s="19" t="s">
        <v>111</v>
      </c>
      <c r="D8" s="20">
        <f>SUM(A8)</f>
        <v>0</v>
      </c>
      <c r="E8" s="20"/>
      <c r="F8" s="20"/>
      <c r="G8" s="20"/>
      <c r="H8" s="20"/>
      <c r="I8" s="20"/>
      <c r="J8" s="20"/>
      <c r="K8" s="20"/>
      <c r="L8" s="20"/>
      <c r="M8" s="21"/>
      <c r="N8" s="13"/>
      <c r="O8" s="13"/>
      <c r="P8" s="13"/>
      <c r="Q8" s="13"/>
      <c r="R8" s="13"/>
      <c r="S8" s="13"/>
    </row>
    <row r="9" spans="1:19" ht="12.75" customHeight="1" x14ac:dyDescent="0.15">
      <c r="A9" s="17"/>
      <c r="B9" s="18" t="s">
        <v>133</v>
      </c>
      <c r="C9" s="19" t="s">
        <v>111</v>
      </c>
      <c r="D9" s="20">
        <f>SUM(A9)</f>
        <v>0</v>
      </c>
      <c r="E9" s="20"/>
      <c r="F9" s="20"/>
      <c r="G9" s="20"/>
      <c r="H9" s="20"/>
      <c r="I9" s="20"/>
      <c r="J9" s="20"/>
      <c r="K9" s="20"/>
      <c r="L9" s="20"/>
      <c r="M9" s="21"/>
      <c r="N9" s="13"/>
      <c r="O9" s="13"/>
      <c r="P9" s="13"/>
      <c r="Q9" s="13"/>
      <c r="R9" s="13"/>
      <c r="S9" s="13"/>
    </row>
    <row r="10" spans="1:19" ht="12.75" customHeight="1" x14ac:dyDescent="0.15">
      <c r="A10" s="17"/>
      <c r="B10" s="18" t="s">
        <v>159</v>
      </c>
      <c r="C10" s="19" t="s">
        <v>111</v>
      </c>
      <c r="D10" s="20">
        <f>SUM(A10)</f>
        <v>0</v>
      </c>
      <c r="E10" s="20"/>
      <c r="F10" s="20"/>
      <c r="G10" s="20"/>
      <c r="H10" s="20"/>
      <c r="I10" s="20"/>
      <c r="J10" s="20"/>
      <c r="K10" s="20"/>
      <c r="L10" s="20"/>
      <c r="M10" s="21"/>
      <c r="N10" s="13"/>
      <c r="O10" s="13"/>
      <c r="P10" s="13"/>
      <c r="Q10" s="13"/>
      <c r="R10" s="13"/>
      <c r="S10" s="13"/>
    </row>
    <row r="11" spans="1:19" ht="12.75" customHeight="1" x14ac:dyDescent="0.15">
      <c r="A11" s="17"/>
      <c r="B11" s="18" t="s">
        <v>113</v>
      </c>
      <c r="C11" s="19" t="s">
        <v>111</v>
      </c>
      <c r="D11" s="20">
        <f>SUM(A11)</f>
        <v>0</v>
      </c>
      <c r="E11" s="20"/>
      <c r="F11" s="20"/>
      <c r="G11" s="20"/>
      <c r="H11" s="20"/>
      <c r="I11" s="20"/>
      <c r="J11" s="20"/>
      <c r="K11" s="20"/>
      <c r="L11" s="20"/>
      <c r="M11" s="21"/>
      <c r="N11" s="13"/>
      <c r="O11" s="13"/>
      <c r="P11" s="13"/>
      <c r="Q11" s="13"/>
      <c r="R11" s="13"/>
      <c r="S11" s="13"/>
    </row>
    <row r="12" spans="1:19" ht="12.75" customHeight="1" x14ac:dyDescent="0.15">
      <c r="A12" s="17" t="s">
        <v>164</v>
      </c>
      <c r="B12" s="18" t="s">
        <v>142</v>
      </c>
      <c r="C12" s="14">
        <f t="shared" ref="C12:C69" si="1">IF($C$2&gt;0,MIN($C$2,ROUNDDOWN(D12/E12*$C$2/0.5,0)*0.5),ROUNDDOWN(D12/0.5,0)*0.5)</f>
        <v>4.5</v>
      </c>
      <c r="D12" s="15">
        <f t="shared" ref="D12:D69" si="2">SUM(F12:L12)</f>
        <v>45</v>
      </c>
      <c r="E12" s="15">
        <v>197</v>
      </c>
      <c r="F12" s="15">
        <v>3</v>
      </c>
      <c r="G12" s="15">
        <v>0</v>
      </c>
      <c r="H12" s="15">
        <v>1</v>
      </c>
      <c r="I12" s="15">
        <v>0</v>
      </c>
      <c r="J12" s="15">
        <v>16</v>
      </c>
      <c r="K12" s="15">
        <v>25</v>
      </c>
      <c r="L12" s="15">
        <v>0</v>
      </c>
      <c r="M12" s="21" t="s">
        <v>142</v>
      </c>
      <c r="N12" s="13"/>
      <c r="O12" s="13"/>
      <c r="P12" s="13"/>
      <c r="Q12" s="13"/>
      <c r="R12" s="13"/>
      <c r="S12" s="13"/>
    </row>
    <row r="13" spans="1:19" ht="12.75" customHeight="1" x14ac:dyDescent="0.15">
      <c r="A13" s="17" t="s">
        <v>232</v>
      </c>
      <c r="B13" s="18" t="s">
        <v>121</v>
      </c>
      <c r="C13" s="14">
        <f t="shared" si="1"/>
        <v>6</v>
      </c>
      <c r="D13" s="15">
        <f t="shared" si="2"/>
        <v>61</v>
      </c>
      <c r="E13" s="15">
        <v>197</v>
      </c>
      <c r="F13" s="15">
        <v>3</v>
      </c>
      <c r="G13" s="15">
        <v>5</v>
      </c>
      <c r="H13" s="22">
        <v>0</v>
      </c>
      <c r="I13" s="15">
        <v>0</v>
      </c>
      <c r="J13" s="15">
        <v>8</v>
      </c>
      <c r="K13" s="15">
        <v>38</v>
      </c>
      <c r="L13" s="15">
        <v>7</v>
      </c>
      <c r="M13" s="21" t="s">
        <v>282</v>
      </c>
      <c r="N13" s="13"/>
      <c r="O13" s="13"/>
      <c r="P13" s="13"/>
      <c r="Q13" s="13"/>
      <c r="R13" s="13"/>
      <c r="S13" s="13"/>
    </row>
    <row r="14" spans="1:19" ht="12.75" customHeight="1" x14ac:dyDescent="0.15">
      <c r="A14" s="17" t="s">
        <v>122</v>
      </c>
      <c r="B14" s="18" t="s">
        <v>148</v>
      </c>
      <c r="C14" s="14">
        <f t="shared" si="1"/>
        <v>6.5</v>
      </c>
      <c r="D14" s="15">
        <f t="shared" si="2"/>
        <v>68</v>
      </c>
      <c r="E14" s="15">
        <v>197</v>
      </c>
      <c r="F14" s="15">
        <v>0</v>
      </c>
      <c r="G14" s="15">
        <v>0</v>
      </c>
      <c r="H14" s="15">
        <v>0</v>
      </c>
      <c r="I14" s="15">
        <v>13</v>
      </c>
      <c r="J14" s="15">
        <v>0</v>
      </c>
      <c r="K14" s="15">
        <v>49</v>
      </c>
      <c r="L14" s="15">
        <v>6</v>
      </c>
      <c r="M14" s="21" t="s">
        <v>148</v>
      </c>
      <c r="N14" s="13"/>
      <c r="O14" s="13"/>
      <c r="P14" s="13"/>
      <c r="Q14" s="13"/>
      <c r="R14" s="13"/>
      <c r="S14" s="13"/>
    </row>
    <row r="15" spans="1:19" ht="12.75" customHeight="1" x14ac:dyDescent="0.15">
      <c r="A15" s="17" t="s">
        <v>188</v>
      </c>
      <c r="B15" s="18" t="s">
        <v>214</v>
      </c>
      <c r="C15" s="14">
        <f t="shared" si="1"/>
        <v>7</v>
      </c>
      <c r="D15" s="15">
        <f t="shared" si="2"/>
        <v>73</v>
      </c>
      <c r="E15" s="15">
        <v>197</v>
      </c>
      <c r="F15" s="15">
        <v>8</v>
      </c>
      <c r="G15" s="15">
        <v>4</v>
      </c>
      <c r="H15" s="15">
        <v>1</v>
      </c>
      <c r="I15" s="15">
        <v>6</v>
      </c>
      <c r="J15" s="15">
        <v>16</v>
      </c>
      <c r="K15" s="15">
        <v>38</v>
      </c>
      <c r="L15" s="15">
        <v>0</v>
      </c>
      <c r="M15" s="21" t="s">
        <v>214</v>
      </c>
      <c r="N15" s="13"/>
      <c r="O15" s="13"/>
      <c r="P15" s="13"/>
      <c r="Q15" s="13"/>
      <c r="R15" s="13"/>
      <c r="S15" s="13"/>
    </row>
    <row r="16" spans="1:19" ht="12.75" customHeight="1" x14ac:dyDescent="0.15">
      <c r="A16" s="17" t="s">
        <v>245</v>
      </c>
      <c r="B16" s="18" t="s">
        <v>146</v>
      </c>
      <c r="C16" s="14">
        <f t="shared" si="1"/>
        <v>7</v>
      </c>
      <c r="D16" s="15">
        <f t="shared" si="2"/>
        <v>72</v>
      </c>
      <c r="E16" s="15">
        <v>197</v>
      </c>
      <c r="F16" s="15">
        <v>4</v>
      </c>
      <c r="G16" s="15">
        <v>5</v>
      </c>
      <c r="H16" s="15">
        <v>1</v>
      </c>
      <c r="I16" s="15">
        <v>0</v>
      </c>
      <c r="J16" s="15">
        <v>6</v>
      </c>
      <c r="K16" s="15">
        <v>38</v>
      </c>
      <c r="L16" s="15">
        <v>18</v>
      </c>
      <c r="M16" s="21" t="s">
        <v>146</v>
      </c>
      <c r="N16" s="13"/>
      <c r="O16" s="13"/>
      <c r="P16" s="13"/>
      <c r="Q16" s="13"/>
      <c r="R16" s="13"/>
      <c r="S16" s="13"/>
    </row>
    <row r="17" spans="1:19" ht="12.75" customHeight="1" x14ac:dyDescent="0.15">
      <c r="A17" s="17" t="s">
        <v>210</v>
      </c>
      <c r="B17" s="18" t="s">
        <v>165</v>
      </c>
      <c r="C17" s="14">
        <f t="shared" si="1"/>
        <v>7.5</v>
      </c>
      <c r="D17" s="15">
        <f t="shared" si="2"/>
        <v>75</v>
      </c>
      <c r="E17" s="15">
        <v>197</v>
      </c>
      <c r="F17" s="22">
        <v>0</v>
      </c>
      <c r="G17" s="22">
        <v>0</v>
      </c>
      <c r="H17" s="15">
        <v>1</v>
      </c>
      <c r="I17" s="22">
        <v>0</v>
      </c>
      <c r="J17" s="22">
        <v>0</v>
      </c>
      <c r="K17" s="15">
        <v>65</v>
      </c>
      <c r="L17" s="15">
        <v>9</v>
      </c>
      <c r="M17" s="21" t="s">
        <v>155</v>
      </c>
      <c r="N17" s="13"/>
      <c r="O17" s="13"/>
      <c r="P17" s="13"/>
      <c r="Q17" s="13"/>
      <c r="R17" s="13"/>
      <c r="S17" s="13"/>
    </row>
    <row r="18" spans="1:19" ht="12.75" customHeight="1" x14ac:dyDescent="0.15">
      <c r="A18" s="17" t="s">
        <v>178</v>
      </c>
      <c r="B18" s="18" t="s">
        <v>132</v>
      </c>
      <c r="C18" s="14">
        <f t="shared" si="1"/>
        <v>7.5</v>
      </c>
      <c r="D18" s="15">
        <f t="shared" si="2"/>
        <v>75</v>
      </c>
      <c r="E18" s="15">
        <v>197</v>
      </c>
      <c r="F18" s="15">
        <v>3</v>
      </c>
      <c r="G18" s="15">
        <v>0</v>
      </c>
      <c r="H18" s="15">
        <v>1</v>
      </c>
      <c r="I18" s="15">
        <v>0</v>
      </c>
      <c r="J18" s="15">
        <v>15</v>
      </c>
      <c r="K18" s="15">
        <v>49</v>
      </c>
      <c r="L18" s="15">
        <v>7</v>
      </c>
      <c r="M18" s="21" t="s">
        <v>147</v>
      </c>
      <c r="N18" s="13"/>
      <c r="O18" s="13"/>
      <c r="P18" s="13"/>
      <c r="Q18" s="13"/>
      <c r="R18" s="13"/>
      <c r="S18" s="13"/>
    </row>
    <row r="19" spans="1:19" ht="12.75" customHeight="1" x14ac:dyDescent="0.15">
      <c r="A19" s="17" t="s">
        <v>174</v>
      </c>
      <c r="B19" s="18" t="s">
        <v>224</v>
      </c>
      <c r="C19" s="14">
        <f t="shared" si="1"/>
        <v>8</v>
      </c>
      <c r="D19" s="15">
        <f t="shared" si="2"/>
        <v>82</v>
      </c>
      <c r="E19" s="15">
        <v>197</v>
      </c>
      <c r="F19" s="15">
        <v>8</v>
      </c>
      <c r="G19" s="15">
        <v>6</v>
      </c>
      <c r="H19" s="15">
        <v>1</v>
      </c>
      <c r="I19" s="15">
        <v>0</v>
      </c>
      <c r="J19" s="15">
        <v>0</v>
      </c>
      <c r="K19" s="15">
        <v>38</v>
      </c>
      <c r="L19" s="15">
        <v>29</v>
      </c>
      <c r="M19" s="21" t="s">
        <v>224</v>
      </c>
      <c r="N19" s="13"/>
      <c r="O19" s="13"/>
      <c r="P19" s="13"/>
      <c r="Q19" s="13"/>
      <c r="R19" s="13"/>
      <c r="S19" s="13"/>
    </row>
    <row r="20" spans="1:19" ht="12.75" customHeight="1" x14ac:dyDescent="0.15">
      <c r="A20" s="17" t="s">
        <v>166</v>
      </c>
      <c r="B20" s="18" t="s">
        <v>154</v>
      </c>
      <c r="C20" s="14">
        <f t="shared" si="1"/>
        <v>8</v>
      </c>
      <c r="D20" s="15">
        <f t="shared" si="2"/>
        <v>83</v>
      </c>
      <c r="E20" s="15">
        <v>197</v>
      </c>
      <c r="F20" s="15">
        <v>4</v>
      </c>
      <c r="G20" s="15">
        <v>0</v>
      </c>
      <c r="H20" s="15">
        <v>1</v>
      </c>
      <c r="I20" s="15">
        <v>14</v>
      </c>
      <c r="J20" s="15">
        <v>26</v>
      </c>
      <c r="K20" s="15">
        <v>38</v>
      </c>
      <c r="L20" s="15">
        <v>0</v>
      </c>
      <c r="M20" s="21" t="s">
        <v>154</v>
      </c>
      <c r="N20" s="13"/>
      <c r="O20" s="13"/>
      <c r="P20" s="13"/>
      <c r="Q20" s="13"/>
      <c r="R20" s="13"/>
      <c r="S20" s="13"/>
    </row>
    <row r="21" spans="1:19" ht="12.75" customHeight="1" x14ac:dyDescent="0.15">
      <c r="A21" s="17" t="s">
        <v>205</v>
      </c>
      <c r="B21" s="18" t="s">
        <v>151</v>
      </c>
      <c r="C21" s="14">
        <f t="shared" si="1"/>
        <v>8</v>
      </c>
      <c r="D21" s="15">
        <f t="shared" si="2"/>
        <v>81</v>
      </c>
      <c r="E21" s="15">
        <v>197</v>
      </c>
      <c r="F21" s="15">
        <v>0</v>
      </c>
      <c r="G21" s="15">
        <v>0</v>
      </c>
      <c r="H21" s="15">
        <v>1</v>
      </c>
      <c r="I21" s="15">
        <v>0</v>
      </c>
      <c r="J21" s="15">
        <v>25</v>
      </c>
      <c r="K21" s="15">
        <v>37</v>
      </c>
      <c r="L21" s="15">
        <v>18</v>
      </c>
      <c r="M21" s="21" t="s">
        <v>151</v>
      </c>
      <c r="N21" s="13"/>
      <c r="O21" s="13"/>
      <c r="P21" s="13"/>
      <c r="Q21" s="13"/>
      <c r="R21" s="13"/>
      <c r="S21" s="13"/>
    </row>
    <row r="22" spans="1:19" ht="12.75" customHeight="1" x14ac:dyDescent="0.15">
      <c r="A22" s="17" t="s">
        <v>184</v>
      </c>
      <c r="B22" s="18" t="s">
        <v>173</v>
      </c>
      <c r="C22" s="14">
        <f t="shared" si="1"/>
        <v>8.5</v>
      </c>
      <c r="D22" s="15">
        <f t="shared" si="2"/>
        <v>84</v>
      </c>
      <c r="E22" s="15">
        <v>197</v>
      </c>
      <c r="F22" s="15">
        <v>4</v>
      </c>
      <c r="G22" s="15">
        <v>5</v>
      </c>
      <c r="H22" s="15">
        <v>1</v>
      </c>
      <c r="I22" s="15">
        <v>6</v>
      </c>
      <c r="J22" s="15">
        <v>0</v>
      </c>
      <c r="K22" s="15">
        <v>50</v>
      </c>
      <c r="L22" s="15">
        <v>18</v>
      </c>
      <c r="M22" s="21" t="s">
        <v>173</v>
      </c>
      <c r="N22" s="13"/>
      <c r="O22" s="13"/>
      <c r="P22" s="13"/>
      <c r="Q22" s="13"/>
      <c r="R22" s="13"/>
      <c r="S22" s="13"/>
    </row>
    <row r="23" spans="1:19" ht="12.75" customHeight="1" x14ac:dyDescent="0.15">
      <c r="A23" s="17" t="s">
        <v>169</v>
      </c>
      <c r="B23" s="18" t="s">
        <v>123</v>
      </c>
      <c r="C23" s="14">
        <f t="shared" si="1"/>
        <v>8.5</v>
      </c>
      <c r="D23" s="15">
        <f t="shared" si="2"/>
        <v>84</v>
      </c>
      <c r="E23" s="15">
        <v>197</v>
      </c>
      <c r="F23" s="15">
        <v>11</v>
      </c>
      <c r="G23" s="15">
        <v>0</v>
      </c>
      <c r="H23" s="22">
        <v>0</v>
      </c>
      <c r="I23" s="15">
        <v>6</v>
      </c>
      <c r="J23" s="15">
        <v>0</v>
      </c>
      <c r="K23" s="15">
        <v>49</v>
      </c>
      <c r="L23" s="15">
        <v>18</v>
      </c>
      <c r="M23" s="21" t="s">
        <v>124</v>
      </c>
      <c r="N23" s="13"/>
      <c r="O23" s="13"/>
      <c r="P23" s="13"/>
      <c r="Q23" s="13"/>
      <c r="R23" s="13"/>
      <c r="S23" s="13"/>
    </row>
    <row r="24" spans="1:19" ht="12.75" customHeight="1" x14ac:dyDescent="0.15">
      <c r="A24" s="17" t="s">
        <v>143</v>
      </c>
      <c r="B24" s="18" t="s">
        <v>226</v>
      </c>
      <c r="C24" s="14">
        <f t="shared" si="1"/>
        <v>9</v>
      </c>
      <c r="D24" s="15">
        <f t="shared" si="2"/>
        <v>93</v>
      </c>
      <c r="E24" s="15">
        <v>197</v>
      </c>
      <c r="F24" s="15">
        <v>8</v>
      </c>
      <c r="G24" s="15">
        <v>12</v>
      </c>
      <c r="H24" s="15">
        <v>1</v>
      </c>
      <c r="I24" s="15">
        <v>0</v>
      </c>
      <c r="J24" s="15">
        <v>6</v>
      </c>
      <c r="K24" s="15">
        <v>38</v>
      </c>
      <c r="L24" s="15">
        <v>28</v>
      </c>
      <c r="M24" s="21" t="s">
        <v>226</v>
      </c>
      <c r="N24" s="13"/>
      <c r="O24" s="13"/>
      <c r="P24" s="13"/>
      <c r="Q24" s="13"/>
      <c r="R24" s="13"/>
      <c r="S24" s="13"/>
    </row>
    <row r="25" spans="1:19" ht="12.75" customHeight="1" x14ac:dyDescent="0.15">
      <c r="A25" s="17" t="s">
        <v>230</v>
      </c>
      <c r="B25" s="18" t="s">
        <v>144</v>
      </c>
      <c r="C25" s="14">
        <f t="shared" si="1"/>
        <v>10</v>
      </c>
      <c r="D25" s="15">
        <f t="shared" si="2"/>
        <v>102</v>
      </c>
      <c r="E25" s="15">
        <v>197</v>
      </c>
      <c r="F25" s="15">
        <v>8</v>
      </c>
      <c r="G25" s="15">
        <v>0</v>
      </c>
      <c r="H25" s="15">
        <v>1</v>
      </c>
      <c r="I25" s="15">
        <v>6</v>
      </c>
      <c r="J25" s="15">
        <v>16</v>
      </c>
      <c r="K25" s="15">
        <v>52</v>
      </c>
      <c r="L25" s="15">
        <v>19</v>
      </c>
      <c r="M25" s="21" t="s">
        <v>155</v>
      </c>
      <c r="N25" s="13"/>
      <c r="O25" s="13"/>
      <c r="P25" s="13"/>
      <c r="Q25" s="13"/>
      <c r="R25" s="13"/>
      <c r="S25" s="13"/>
    </row>
    <row r="26" spans="1:19" ht="12.75" customHeight="1" x14ac:dyDescent="0.15">
      <c r="A26" s="17" t="s">
        <v>227</v>
      </c>
      <c r="B26" s="18" t="s">
        <v>209</v>
      </c>
      <c r="C26" s="14">
        <f t="shared" si="1"/>
        <v>10</v>
      </c>
      <c r="D26" s="15">
        <f t="shared" si="2"/>
        <v>103</v>
      </c>
      <c r="E26" s="15">
        <v>197</v>
      </c>
      <c r="F26" s="15">
        <v>3</v>
      </c>
      <c r="G26" s="15">
        <v>5</v>
      </c>
      <c r="H26" s="15">
        <v>0</v>
      </c>
      <c r="I26" s="15">
        <v>7</v>
      </c>
      <c r="J26" s="15">
        <v>16</v>
      </c>
      <c r="K26" s="15">
        <v>63</v>
      </c>
      <c r="L26" s="15">
        <v>9</v>
      </c>
      <c r="M26" s="21" t="s">
        <v>283</v>
      </c>
      <c r="N26" s="13"/>
      <c r="O26" s="13"/>
      <c r="P26" s="13"/>
      <c r="Q26" s="13"/>
      <c r="R26" s="13"/>
      <c r="S26" s="13"/>
    </row>
    <row r="27" spans="1:19" ht="12.75" customHeight="1" x14ac:dyDescent="0.15">
      <c r="A27" s="17" t="s">
        <v>255</v>
      </c>
      <c r="B27" s="18" t="s">
        <v>185</v>
      </c>
      <c r="C27" s="14">
        <f t="shared" si="1"/>
        <v>10.5</v>
      </c>
      <c r="D27" s="15">
        <f t="shared" si="2"/>
        <v>106</v>
      </c>
      <c r="E27" s="15">
        <v>197</v>
      </c>
      <c r="F27" s="15">
        <v>0</v>
      </c>
      <c r="G27" s="15">
        <v>0</v>
      </c>
      <c r="H27" s="15">
        <v>0</v>
      </c>
      <c r="I27" s="15">
        <v>0</v>
      </c>
      <c r="J27" s="15">
        <v>15</v>
      </c>
      <c r="K27" s="15">
        <v>62</v>
      </c>
      <c r="L27" s="15">
        <v>29</v>
      </c>
      <c r="M27" s="21" t="s">
        <v>185</v>
      </c>
      <c r="N27" s="13"/>
      <c r="O27" s="13"/>
      <c r="P27" s="13"/>
      <c r="Q27" s="13"/>
      <c r="R27" s="13"/>
      <c r="S27" s="13"/>
    </row>
    <row r="28" spans="1:19" ht="12.75" customHeight="1" x14ac:dyDescent="0.15">
      <c r="A28" s="17" t="s">
        <v>203</v>
      </c>
      <c r="B28" s="18" t="s">
        <v>231</v>
      </c>
      <c r="C28" s="14">
        <f t="shared" si="1"/>
        <v>11</v>
      </c>
      <c r="D28" s="15">
        <f t="shared" si="2"/>
        <v>112</v>
      </c>
      <c r="E28" s="15">
        <v>197</v>
      </c>
      <c r="F28" s="15">
        <v>4</v>
      </c>
      <c r="G28" s="15">
        <v>5</v>
      </c>
      <c r="H28" s="15">
        <v>1</v>
      </c>
      <c r="I28" s="15">
        <v>6</v>
      </c>
      <c r="J28" s="15">
        <v>26</v>
      </c>
      <c r="K28" s="15">
        <v>52</v>
      </c>
      <c r="L28" s="15">
        <v>18</v>
      </c>
      <c r="M28" s="21" t="s">
        <v>231</v>
      </c>
      <c r="N28" s="13"/>
      <c r="O28" s="13"/>
      <c r="P28" s="13"/>
      <c r="Q28" s="13"/>
      <c r="R28" s="13"/>
      <c r="S28" s="13"/>
    </row>
    <row r="29" spans="1:19" ht="12.75" customHeight="1" x14ac:dyDescent="0.15">
      <c r="A29" s="17" t="s">
        <v>152</v>
      </c>
      <c r="B29" s="18" t="s">
        <v>242</v>
      </c>
      <c r="C29" s="14">
        <f t="shared" si="1"/>
        <v>11</v>
      </c>
      <c r="D29" s="15">
        <f t="shared" si="2"/>
        <v>110</v>
      </c>
      <c r="E29" s="15">
        <v>197</v>
      </c>
      <c r="F29" s="15">
        <v>8</v>
      </c>
      <c r="G29" s="15">
        <v>6</v>
      </c>
      <c r="H29" s="15">
        <v>1</v>
      </c>
      <c r="I29" s="15">
        <v>0</v>
      </c>
      <c r="J29" s="15">
        <v>16</v>
      </c>
      <c r="K29" s="15">
        <v>50</v>
      </c>
      <c r="L29" s="15">
        <v>29</v>
      </c>
      <c r="M29" s="21" t="s">
        <v>242</v>
      </c>
      <c r="N29" s="13"/>
      <c r="O29" s="13"/>
      <c r="P29" s="13"/>
      <c r="Q29" s="13"/>
      <c r="R29" s="13"/>
      <c r="S29" s="13"/>
    </row>
    <row r="30" spans="1:19" ht="12.75" customHeight="1" x14ac:dyDescent="0.15">
      <c r="A30" s="17" t="s">
        <v>158</v>
      </c>
      <c r="B30" s="18" t="s">
        <v>115</v>
      </c>
      <c r="C30" s="14">
        <f t="shared" si="1"/>
        <v>11</v>
      </c>
      <c r="D30" s="15">
        <f t="shared" si="2"/>
        <v>109</v>
      </c>
      <c r="E30" s="15">
        <v>197</v>
      </c>
      <c r="F30" s="15">
        <v>4</v>
      </c>
      <c r="G30" s="15">
        <v>0</v>
      </c>
      <c r="H30" s="15">
        <v>1</v>
      </c>
      <c r="I30" s="15">
        <v>0</v>
      </c>
      <c r="J30" s="15">
        <v>26</v>
      </c>
      <c r="K30" s="15">
        <v>38</v>
      </c>
      <c r="L30" s="15">
        <v>40</v>
      </c>
      <c r="M30" s="21" t="s">
        <v>115</v>
      </c>
      <c r="N30" s="13"/>
      <c r="O30" s="13"/>
      <c r="P30" s="13"/>
      <c r="Q30" s="13"/>
      <c r="R30" s="13"/>
      <c r="S30" s="13"/>
    </row>
    <row r="31" spans="1:19" ht="12.75" customHeight="1" x14ac:dyDescent="0.15">
      <c r="A31" s="17" t="s">
        <v>131</v>
      </c>
      <c r="B31" s="18" t="s">
        <v>117</v>
      </c>
      <c r="C31" s="14">
        <f t="shared" si="1"/>
        <v>11.5</v>
      </c>
      <c r="D31" s="15">
        <f t="shared" si="2"/>
        <v>114</v>
      </c>
      <c r="E31" s="15">
        <v>197</v>
      </c>
      <c r="F31" s="15">
        <v>4</v>
      </c>
      <c r="G31" s="15">
        <v>6</v>
      </c>
      <c r="H31" s="15">
        <v>0</v>
      </c>
      <c r="I31" s="15">
        <v>14</v>
      </c>
      <c r="J31" s="15">
        <v>0</v>
      </c>
      <c r="K31" s="15">
        <v>61</v>
      </c>
      <c r="L31" s="15">
        <v>29</v>
      </c>
      <c r="M31" s="21" t="s">
        <v>117</v>
      </c>
      <c r="N31" s="13"/>
      <c r="O31" s="13"/>
      <c r="P31" s="13"/>
      <c r="Q31" s="13"/>
      <c r="R31" s="13"/>
      <c r="S31" s="13"/>
    </row>
    <row r="32" spans="1:19" ht="12.75" customHeight="1" x14ac:dyDescent="0.15">
      <c r="A32" s="17" t="s">
        <v>223</v>
      </c>
      <c r="B32" s="18" t="s">
        <v>202</v>
      </c>
      <c r="C32" s="14">
        <f t="shared" si="1"/>
        <v>11.5</v>
      </c>
      <c r="D32" s="15">
        <f t="shared" si="2"/>
        <v>117</v>
      </c>
      <c r="E32" s="15">
        <v>197</v>
      </c>
      <c r="F32" s="15">
        <v>4</v>
      </c>
      <c r="G32" s="15">
        <v>5</v>
      </c>
      <c r="H32" s="15">
        <v>1</v>
      </c>
      <c r="I32" s="15">
        <v>14</v>
      </c>
      <c r="J32" s="15">
        <v>26</v>
      </c>
      <c r="K32" s="15">
        <v>49</v>
      </c>
      <c r="L32" s="15">
        <v>18</v>
      </c>
      <c r="M32" s="21" t="s">
        <v>202</v>
      </c>
      <c r="N32" s="13"/>
      <c r="O32" s="13"/>
      <c r="P32" s="13"/>
      <c r="Q32" s="13"/>
      <c r="R32" s="13"/>
      <c r="S32" s="13"/>
    </row>
    <row r="33" spans="1:19" ht="12.75" customHeight="1" x14ac:dyDescent="0.15">
      <c r="A33" s="17" t="s">
        <v>238</v>
      </c>
      <c r="B33" s="18" t="s">
        <v>228</v>
      </c>
      <c r="C33" s="14">
        <f t="shared" si="1"/>
        <v>11.5</v>
      </c>
      <c r="D33" s="15">
        <f t="shared" si="2"/>
        <v>118</v>
      </c>
      <c r="E33" s="15">
        <v>197</v>
      </c>
      <c r="F33" s="15">
        <v>11</v>
      </c>
      <c r="G33" s="15">
        <v>5</v>
      </c>
      <c r="H33" s="15">
        <v>0</v>
      </c>
      <c r="I33" s="15">
        <v>14</v>
      </c>
      <c r="J33" s="15">
        <v>6</v>
      </c>
      <c r="K33" s="15">
        <v>63</v>
      </c>
      <c r="L33" s="15">
        <v>19</v>
      </c>
      <c r="M33" s="21" t="s">
        <v>228</v>
      </c>
      <c r="N33" s="13"/>
      <c r="O33" s="13"/>
      <c r="P33" s="13"/>
      <c r="Q33" s="13"/>
      <c r="R33" s="13"/>
      <c r="S33" s="13"/>
    </row>
    <row r="34" spans="1:19" ht="12.75" customHeight="1" x14ac:dyDescent="0.15">
      <c r="A34" s="17" t="s">
        <v>139</v>
      </c>
      <c r="B34" s="18" t="s">
        <v>234</v>
      </c>
      <c r="C34" s="14">
        <f t="shared" si="1"/>
        <v>12</v>
      </c>
      <c r="D34" s="15">
        <f t="shared" si="2"/>
        <v>122</v>
      </c>
      <c r="E34" s="15">
        <v>197</v>
      </c>
      <c r="F34" s="15">
        <v>8</v>
      </c>
      <c r="G34" s="22">
        <v>0</v>
      </c>
      <c r="H34" s="15">
        <v>1</v>
      </c>
      <c r="I34" s="22">
        <v>0</v>
      </c>
      <c r="J34" s="15">
        <v>27</v>
      </c>
      <c r="K34" s="15">
        <v>76</v>
      </c>
      <c r="L34" s="15">
        <v>10</v>
      </c>
      <c r="M34" s="21" t="s">
        <v>234</v>
      </c>
      <c r="N34" s="13"/>
      <c r="O34" s="13"/>
      <c r="P34" s="13"/>
      <c r="Q34" s="13"/>
      <c r="R34" s="13"/>
      <c r="S34" s="13"/>
    </row>
    <row r="35" spans="1:19" ht="12.75" customHeight="1" x14ac:dyDescent="0.15">
      <c r="A35" s="17" t="s">
        <v>194</v>
      </c>
      <c r="B35" s="18" t="s">
        <v>157</v>
      </c>
      <c r="C35" s="14">
        <f t="shared" si="1"/>
        <v>12</v>
      </c>
      <c r="D35" s="15">
        <f t="shared" si="2"/>
        <v>119</v>
      </c>
      <c r="E35" s="15">
        <v>197</v>
      </c>
      <c r="F35" s="15">
        <v>16</v>
      </c>
      <c r="G35" s="15">
        <v>0</v>
      </c>
      <c r="H35" s="15">
        <v>1</v>
      </c>
      <c r="I35" s="15">
        <v>6</v>
      </c>
      <c r="J35" s="15">
        <v>17</v>
      </c>
      <c r="K35" s="15">
        <v>49</v>
      </c>
      <c r="L35" s="15">
        <v>30</v>
      </c>
      <c r="M35" s="21" t="s">
        <v>157</v>
      </c>
      <c r="N35" s="13"/>
      <c r="O35" s="13"/>
      <c r="P35" s="13"/>
      <c r="Q35" s="13"/>
      <c r="R35" s="13"/>
      <c r="S35" s="13"/>
    </row>
    <row r="36" spans="1:19" ht="12.75" customHeight="1" x14ac:dyDescent="0.15">
      <c r="A36" s="17" t="s">
        <v>217</v>
      </c>
      <c r="B36" s="18" t="s">
        <v>204</v>
      </c>
      <c r="C36" s="14">
        <f t="shared" si="1"/>
        <v>13</v>
      </c>
      <c r="D36" s="15">
        <f t="shared" si="2"/>
        <v>129</v>
      </c>
      <c r="E36" s="15">
        <v>197</v>
      </c>
      <c r="F36" s="15">
        <v>8</v>
      </c>
      <c r="G36" s="15">
        <v>12</v>
      </c>
      <c r="H36" s="15">
        <v>1</v>
      </c>
      <c r="I36" s="15">
        <v>0</v>
      </c>
      <c r="J36" s="15">
        <v>15</v>
      </c>
      <c r="K36" s="15">
        <v>76</v>
      </c>
      <c r="L36" s="15">
        <v>17</v>
      </c>
      <c r="M36" s="21" t="s">
        <v>204</v>
      </c>
      <c r="N36" s="13"/>
      <c r="O36" s="13"/>
      <c r="P36" s="13"/>
      <c r="Q36" s="13"/>
      <c r="R36" s="13"/>
      <c r="S36" s="13"/>
    </row>
    <row r="37" spans="1:19" ht="12.75" customHeight="1" x14ac:dyDescent="0.15">
      <c r="A37" s="17" t="s">
        <v>138</v>
      </c>
      <c r="B37" s="18" t="s">
        <v>251</v>
      </c>
      <c r="C37" s="14">
        <f t="shared" si="1"/>
        <v>13</v>
      </c>
      <c r="D37" s="15">
        <f t="shared" si="2"/>
        <v>131</v>
      </c>
      <c r="E37" s="15">
        <v>197</v>
      </c>
      <c r="F37" s="15">
        <v>8</v>
      </c>
      <c r="G37" s="15">
        <v>5</v>
      </c>
      <c r="H37" s="15">
        <v>1</v>
      </c>
      <c r="I37" s="15">
        <v>0</v>
      </c>
      <c r="J37" s="15">
        <v>26</v>
      </c>
      <c r="K37" s="15">
        <v>51</v>
      </c>
      <c r="L37" s="15">
        <v>40</v>
      </c>
      <c r="M37" s="21" t="s">
        <v>251</v>
      </c>
      <c r="N37" s="13"/>
      <c r="O37" s="13"/>
      <c r="P37" s="13"/>
      <c r="Q37" s="13"/>
      <c r="R37" s="13"/>
      <c r="S37" s="13"/>
    </row>
    <row r="38" spans="1:19" ht="12.75" customHeight="1" x14ac:dyDescent="0.15">
      <c r="A38" s="17" t="s">
        <v>189</v>
      </c>
      <c r="B38" s="18" t="s">
        <v>260</v>
      </c>
      <c r="C38" s="14">
        <f t="shared" si="1"/>
        <v>13.5</v>
      </c>
      <c r="D38" s="15">
        <f t="shared" si="2"/>
        <v>136</v>
      </c>
      <c r="E38" s="15">
        <v>197</v>
      </c>
      <c r="F38" s="15">
        <v>8</v>
      </c>
      <c r="G38" s="15">
        <v>12</v>
      </c>
      <c r="H38" s="15">
        <v>1</v>
      </c>
      <c r="I38" s="15">
        <v>7</v>
      </c>
      <c r="J38" s="15">
        <v>17</v>
      </c>
      <c r="K38" s="15">
        <v>51</v>
      </c>
      <c r="L38" s="15">
        <v>40</v>
      </c>
      <c r="M38" s="21" t="s">
        <v>260</v>
      </c>
      <c r="N38" s="13"/>
      <c r="O38" s="13"/>
      <c r="P38" s="13"/>
      <c r="Q38" s="13"/>
      <c r="R38" s="13"/>
      <c r="S38" s="13"/>
    </row>
    <row r="39" spans="1:19" ht="12.75" customHeight="1" x14ac:dyDescent="0.15">
      <c r="A39" s="17" t="s">
        <v>248</v>
      </c>
      <c r="B39" s="18" t="s">
        <v>208</v>
      </c>
      <c r="C39" s="14">
        <f t="shared" si="1"/>
        <v>13.5</v>
      </c>
      <c r="D39" s="15">
        <f t="shared" si="2"/>
        <v>135</v>
      </c>
      <c r="E39" s="15">
        <v>197</v>
      </c>
      <c r="F39" s="15">
        <v>8</v>
      </c>
      <c r="G39" s="15">
        <v>5</v>
      </c>
      <c r="H39" s="15">
        <v>0</v>
      </c>
      <c r="I39" s="15">
        <v>6</v>
      </c>
      <c r="J39" s="15">
        <v>26</v>
      </c>
      <c r="K39" s="15">
        <v>51</v>
      </c>
      <c r="L39" s="15">
        <v>39</v>
      </c>
      <c r="M39" s="21" t="s">
        <v>208</v>
      </c>
      <c r="N39" s="13"/>
      <c r="O39" s="13"/>
      <c r="P39" s="13"/>
      <c r="Q39" s="13"/>
      <c r="R39" s="13"/>
      <c r="S39" s="13"/>
    </row>
    <row r="40" spans="1:19" ht="12.75" customHeight="1" x14ac:dyDescent="0.15">
      <c r="A40" s="17" t="s">
        <v>186</v>
      </c>
      <c r="B40" s="18" t="s">
        <v>216</v>
      </c>
      <c r="C40" s="14">
        <f t="shared" si="1"/>
        <v>14</v>
      </c>
      <c r="D40" s="15">
        <f t="shared" si="2"/>
        <v>140</v>
      </c>
      <c r="E40" s="15">
        <v>197</v>
      </c>
      <c r="F40" s="15">
        <v>8</v>
      </c>
      <c r="G40" s="15">
        <v>5</v>
      </c>
      <c r="H40" s="15">
        <v>1</v>
      </c>
      <c r="I40" s="15">
        <v>6</v>
      </c>
      <c r="J40" s="15">
        <v>16</v>
      </c>
      <c r="K40" s="15">
        <v>64</v>
      </c>
      <c r="L40" s="15">
        <v>40</v>
      </c>
      <c r="M40" s="21" t="s">
        <v>216</v>
      </c>
      <c r="N40" s="13"/>
      <c r="O40" s="13"/>
      <c r="P40" s="13"/>
      <c r="Q40" s="13"/>
      <c r="R40" s="13"/>
      <c r="S40" s="13"/>
    </row>
    <row r="41" spans="1:19" ht="12.75" customHeight="1" x14ac:dyDescent="0.15">
      <c r="A41" s="17" t="s">
        <v>183</v>
      </c>
      <c r="B41" s="18" t="s">
        <v>129</v>
      </c>
      <c r="C41" s="14">
        <f t="shared" si="1"/>
        <v>14</v>
      </c>
      <c r="D41" s="15">
        <f t="shared" si="2"/>
        <v>141</v>
      </c>
      <c r="E41" s="15">
        <v>197</v>
      </c>
      <c r="F41" s="15">
        <v>16</v>
      </c>
      <c r="G41" s="22">
        <v>0</v>
      </c>
      <c r="H41" s="15">
        <v>1</v>
      </c>
      <c r="I41" s="15">
        <v>14</v>
      </c>
      <c r="J41" s="15">
        <v>6</v>
      </c>
      <c r="K41" s="15">
        <v>74</v>
      </c>
      <c r="L41" s="15">
        <v>30</v>
      </c>
      <c r="M41" s="21" t="s">
        <v>129</v>
      </c>
      <c r="N41" s="13"/>
      <c r="O41" s="13"/>
      <c r="P41" s="13"/>
      <c r="Q41" s="13"/>
      <c r="R41" s="13"/>
      <c r="S41" s="13"/>
    </row>
    <row r="42" spans="1:19" ht="12.75" customHeight="1" x14ac:dyDescent="0.15">
      <c r="A42" s="17" t="s">
        <v>213</v>
      </c>
      <c r="B42" s="18" t="s">
        <v>256</v>
      </c>
      <c r="C42" s="14">
        <f t="shared" si="1"/>
        <v>14.5</v>
      </c>
      <c r="D42" s="15">
        <f t="shared" si="2"/>
        <v>147</v>
      </c>
      <c r="E42" s="15">
        <v>197</v>
      </c>
      <c r="F42" s="15">
        <v>16</v>
      </c>
      <c r="G42" s="15">
        <v>6</v>
      </c>
      <c r="H42" s="15">
        <v>1</v>
      </c>
      <c r="I42" s="15">
        <v>14</v>
      </c>
      <c r="J42" s="15">
        <v>36</v>
      </c>
      <c r="K42" s="15">
        <v>64</v>
      </c>
      <c r="L42" s="15">
        <v>10</v>
      </c>
      <c r="M42" s="21" t="s">
        <v>256</v>
      </c>
      <c r="N42" s="13"/>
      <c r="O42" s="13"/>
      <c r="P42" s="13"/>
      <c r="Q42" s="13"/>
      <c r="R42" s="13"/>
      <c r="S42" s="13"/>
    </row>
    <row r="43" spans="1:19" ht="12.75" customHeight="1" x14ac:dyDescent="0.15">
      <c r="A43" s="17" t="s">
        <v>162</v>
      </c>
      <c r="B43" s="18" t="s">
        <v>249</v>
      </c>
      <c r="C43" s="14">
        <f t="shared" si="1"/>
        <v>14.5</v>
      </c>
      <c r="D43" s="15">
        <f t="shared" si="2"/>
        <v>143</v>
      </c>
      <c r="E43" s="15">
        <v>197</v>
      </c>
      <c r="F43" s="15">
        <v>4</v>
      </c>
      <c r="G43" s="15">
        <v>12</v>
      </c>
      <c r="H43" s="15">
        <v>1</v>
      </c>
      <c r="I43" s="15">
        <v>6</v>
      </c>
      <c r="J43" s="15">
        <v>17</v>
      </c>
      <c r="K43" s="15">
        <v>63</v>
      </c>
      <c r="L43" s="15">
        <v>40</v>
      </c>
      <c r="M43" s="21" t="s">
        <v>249</v>
      </c>
      <c r="N43" s="13"/>
      <c r="O43" s="13"/>
      <c r="P43" s="13"/>
      <c r="Q43" s="13"/>
      <c r="R43" s="13"/>
      <c r="S43" s="13"/>
    </row>
    <row r="44" spans="1:19" ht="12.75" customHeight="1" x14ac:dyDescent="0.15">
      <c r="A44" s="17" t="s">
        <v>156</v>
      </c>
      <c r="B44" s="18" t="s">
        <v>190</v>
      </c>
      <c r="C44" s="14">
        <f t="shared" si="1"/>
        <v>14.5</v>
      </c>
      <c r="D44" s="15">
        <f t="shared" si="2"/>
        <v>146</v>
      </c>
      <c r="E44" s="15">
        <v>197</v>
      </c>
      <c r="F44" s="15">
        <v>12</v>
      </c>
      <c r="G44" s="15">
        <v>5</v>
      </c>
      <c r="H44" s="15">
        <v>1</v>
      </c>
      <c r="I44" s="15">
        <v>6</v>
      </c>
      <c r="J44" s="15">
        <v>17</v>
      </c>
      <c r="K44" s="15">
        <v>65</v>
      </c>
      <c r="L44" s="15">
        <v>40</v>
      </c>
      <c r="M44" s="21" t="s">
        <v>190</v>
      </c>
      <c r="N44" s="13"/>
      <c r="O44" s="13"/>
      <c r="P44" s="13"/>
      <c r="Q44" s="13"/>
      <c r="R44" s="13"/>
      <c r="S44" s="13"/>
    </row>
    <row r="45" spans="1:19" ht="12.75" customHeight="1" x14ac:dyDescent="0.15">
      <c r="A45" s="17" t="s">
        <v>252</v>
      </c>
      <c r="B45" s="18" t="s">
        <v>259</v>
      </c>
      <c r="C45" s="14">
        <f t="shared" si="1"/>
        <v>14.5</v>
      </c>
      <c r="D45" s="15">
        <f t="shared" si="2"/>
        <v>144</v>
      </c>
      <c r="E45" s="15">
        <v>197</v>
      </c>
      <c r="F45" s="15">
        <v>16</v>
      </c>
      <c r="G45" s="15">
        <v>12</v>
      </c>
      <c r="H45" s="15">
        <v>1</v>
      </c>
      <c r="I45" s="15">
        <v>6</v>
      </c>
      <c r="J45" s="15">
        <v>18</v>
      </c>
      <c r="K45" s="15">
        <v>51</v>
      </c>
      <c r="L45" s="15">
        <v>40</v>
      </c>
      <c r="M45" s="21" t="s">
        <v>259</v>
      </c>
      <c r="N45" s="13"/>
      <c r="O45" s="13"/>
      <c r="P45" s="13"/>
      <c r="Q45" s="13"/>
      <c r="R45" s="13"/>
      <c r="S45" s="13"/>
    </row>
    <row r="46" spans="1:19" ht="12.75" customHeight="1" x14ac:dyDescent="0.15">
      <c r="A46" s="17" t="s">
        <v>195</v>
      </c>
      <c r="B46" s="18" t="s">
        <v>128</v>
      </c>
      <c r="C46" s="14">
        <f t="shared" si="1"/>
        <v>14.5</v>
      </c>
      <c r="D46" s="15">
        <f t="shared" si="2"/>
        <v>146</v>
      </c>
      <c r="E46" s="15">
        <v>197</v>
      </c>
      <c r="F46" s="15">
        <v>12</v>
      </c>
      <c r="G46" s="15">
        <v>5</v>
      </c>
      <c r="H46" s="15">
        <v>1</v>
      </c>
      <c r="I46" s="15">
        <v>6</v>
      </c>
      <c r="J46" s="15">
        <v>7</v>
      </c>
      <c r="K46" s="15">
        <v>75</v>
      </c>
      <c r="L46" s="15">
        <v>40</v>
      </c>
      <c r="M46" s="21" t="s">
        <v>284</v>
      </c>
      <c r="N46" s="13"/>
      <c r="O46" s="13"/>
      <c r="P46" s="13"/>
      <c r="Q46" s="13"/>
      <c r="R46" s="13"/>
      <c r="S46" s="13"/>
    </row>
    <row r="47" spans="1:19" ht="12.75" customHeight="1" x14ac:dyDescent="0.15">
      <c r="A47" s="17" t="s">
        <v>199</v>
      </c>
      <c r="B47" s="18" t="s">
        <v>244</v>
      </c>
      <c r="C47" s="14">
        <f t="shared" si="1"/>
        <v>14.5</v>
      </c>
      <c r="D47" s="15">
        <f t="shared" si="2"/>
        <v>143</v>
      </c>
      <c r="E47" s="15">
        <v>197</v>
      </c>
      <c r="F47" s="15">
        <v>16</v>
      </c>
      <c r="G47" s="15">
        <v>6</v>
      </c>
      <c r="H47" s="15">
        <v>1</v>
      </c>
      <c r="I47" s="15">
        <v>0</v>
      </c>
      <c r="J47" s="15">
        <v>27</v>
      </c>
      <c r="K47" s="15">
        <v>63</v>
      </c>
      <c r="L47" s="15">
        <v>30</v>
      </c>
      <c r="M47" s="21" t="s">
        <v>246</v>
      </c>
      <c r="N47" s="13"/>
      <c r="O47" s="13"/>
      <c r="P47" s="13"/>
      <c r="Q47" s="13"/>
      <c r="R47" s="13"/>
      <c r="S47" s="13"/>
    </row>
    <row r="48" spans="1:19" ht="12.75" customHeight="1" x14ac:dyDescent="0.15">
      <c r="A48" s="17" t="s">
        <v>225</v>
      </c>
      <c r="B48" s="18" t="s">
        <v>211</v>
      </c>
      <c r="C48" s="14">
        <f t="shared" si="1"/>
        <v>15</v>
      </c>
      <c r="D48" s="15">
        <f t="shared" si="2"/>
        <v>150</v>
      </c>
      <c r="E48" s="15">
        <v>197</v>
      </c>
      <c r="F48" s="15">
        <v>12</v>
      </c>
      <c r="G48" s="15">
        <v>6</v>
      </c>
      <c r="H48" s="15">
        <v>1</v>
      </c>
      <c r="I48" s="15">
        <v>6</v>
      </c>
      <c r="J48" s="15">
        <v>36</v>
      </c>
      <c r="K48" s="15">
        <v>49</v>
      </c>
      <c r="L48" s="15">
        <v>40</v>
      </c>
      <c r="M48" s="21" t="s">
        <v>211</v>
      </c>
      <c r="N48" s="13"/>
      <c r="O48" s="13"/>
      <c r="P48" s="13"/>
      <c r="Q48" s="13"/>
      <c r="R48" s="13"/>
      <c r="S48" s="13"/>
    </row>
    <row r="49" spans="1:19" ht="12.75" customHeight="1" x14ac:dyDescent="0.15">
      <c r="A49" s="17" t="s">
        <v>222</v>
      </c>
      <c r="B49" s="18" t="s">
        <v>170</v>
      </c>
      <c r="C49" s="14">
        <f t="shared" si="1"/>
        <v>15</v>
      </c>
      <c r="D49" s="15">
        <f t="shared" si="2"/>
        <v>151</v>
      </c>
      <c r="E49" s="15">
        <v>197</v>
      </c>
      <c r="F49" s="15">
        <v>12</v>
      </c>
      <c r="G49" s="15">
        <v>5</v>
      </c>
      <c r="H49" s="15">
        <v>1</v>
      </c>
      <c r="I49" s="15">
        <v>6</v>
      </c>
      <c r="J49" s="15">
        <v>36</v>
      </c>
      <c r="K49" s="15">
        <v>51</v>
      </c>
      <c r="L49" s="15">
        <v>40</v>
      </c>
      <c r="M49" s="21" t="s">
        <v>170</v>
      </c>
      <c r="N49" s="13"/>
      <c r="O49" s="13"/>
      <c r="P49" s="13"/>
      <c r="Q49" s="13"/>
      <c r="R49" s="13"/>
      <c r="S49" s="13"/>
    </row>
    <row r="50" spans="1:19" ht="12.75" customHeight="1" x14ac:dyDescent="0.15">
      <c r="A50" s="17" t="s">
        <v>254</v>
      </c>
      <c r="B50" s="18" t="s">
        <v>137</v>
      </c>
      <c r="C50" s="14">
        <f t="shared" si="1"/>
        <v>15.5</v>
      </c>
      <c r="D50" s="15">
        <f t="shared" si="2"/>
        <v>156</v>
      </c>
      <c r="E50" s="15">
        <v>197</v>
      </c>
      <c r="F50" s="15">
        <v>8</v>
      </c>
      <c r="G50" s="15">
        <v>12</v>
      </c>
      <c r="H50" s="15">
        <v>1</v>
      </c>
      <c r="I50" s="15">
        <v>6</v>
      </c>
      <c r="J50" s="15">
        <v>27</v>
      </c>
      <c r="K50" s="15">
        <v>62</v>
      </c>
      <c r="L50" s="15">
        <v>40</v>
      </c>
      <c r="M50" s="21" t="s">
        <v>137</v>
      </c>
      <c r="N50" s="13"/>
      <c r="O50" s="13"/>
      <c r="P50" s="13"/>
      <c r="Q50" s="13"/>
      <c r="R50" s="13"/>
      <c r="S50" s="13"/>
    </row>
    <row r="51" spans="1:19" ht="12.75" customHeight="1" x14ac:dyDescent="0.15">
      <c r="A51" s="17" t="s">
        <v>215</v>
      </c>
      <c r="B51" s="18" t="s">
        <v>119</v>
      </c>
      <c r="C51" s="14">
        <f t="shared" si="1"/>
        <v>16</v>
      </c>
      <c r="D51" s="15">
        <f t="shared" si="2"/>
        <v>161</v>
      </c>
      <c r="E51" s="15">
        <v>197</v>
      </c>
      <c r="F51" s="15">
        <v>12</v>
      </c>
      <c r="G51" s="15">
        <v>5</v>
      </c>
      <c r="H51" s="15">
        <v>1</v>
      </c>
      <c r="I51" s="15">
        <v>0</v>
      </c>
      <c r="J51" s="15">
        <v>26</v>
      </c>
      <c r="K51" s="15">
        <v>77</v>
      </c>
      <c r="L51" s="15">
        <v>40</v>
      </c>
      <c r="M51" s="21" t="s">
        <v>120</v>
      </c>
      <c r="N51" s="13"/>
      <c r="O51" s="13"/>
      <c r="P51" s="13"/>
      <c r="Q51" s="13"/>
      <c r="R51" s="13"/>
      <c r="S51" s="13"/>
    </row>
    <row r="52" spans="1:19" ht="12.75" customHeight="1" x14ac:dyDescent="0.15">
      <c r="A52" s="17" t="s">
        <v>219</v>
      </c>
      <c r="B52" s="18" t="s">
        <v>239</v>
      </c>
      <c r="C52" s="14">
        <f t="shared" si="1"/>
        <v>16</v>
      </c>
      <c r="D52" s="15">
        <f t="shared" si="2"/>
        <v>161</v>
      </c>
      <c r="E52" s="15">
        <v>197</v>
      </c>
      <c r="F52" s="15">
        <v>12</v>
      </c>
      <c r="G52" s="15">
        <v>12</v>
      </c>
      <c r="H52" s="15">
        <v>1</v>
      </c>
      <c r="I52" s="15">
        <v>6</v>
      </c>
      <c r="J52" s="15">
        <v>36</v>
      </c>
      <c r="K52" s="15">
        <v>65</v>
      </c>
      <c r="L52" s="15">
        <v>29</v>
      </c>
      <c r="M52" s="21" t="s">
        <v>239</v>
      </c>
      <c r="N52" s="13"/>
      <c r="O52" s="13"/>
      <c r="P52" s="13"/>
      <c r="Q52" s="13"/>
      <c r="R52" s="13"/>
      <c r="S52" s="13"/>
    </row>
    <row r="53" spans="1:19" ht="12.75" customHeight="1" x14ac:dyDescent="0.15">
      <c r="A53" s="17" t="s">
        <v>125</v>
      </c>
      <c r="B53" s="18" t="s">
        <v>167</v>
      </c>
      <c r="C53" s="14">
        <f t="shared" si="1"/>
        <v>16</v>
      </c>
      <c r="D53" s="15">
        <f t="shared" si="2"/>
        <v>161</v>
      </c>
      <c r="E53" s="15">
        <v>197</v>
      </c>
      <c r="F53" s="15">
        <v>12</v>
      </c>
      <c r="G53" s="15">
        <v>5</v>
      </c>
      <c r="H53" s="15">
        <v>1</v>
      </c>
      <c r="I53" s="15">
        <v>0</v>
      </c>
      <c r="J53" s="15">
        <v>26</v>
      </c>
      <c r="K53" s="15">
        <v>77</v>
      </c>
      <c r="L53" s="15">
        <v>40</v>
      </c>
      <c r="M53" s="21" t="s">
        <v>181</v>
      </c>
      <c r="N53" s="13"/>
      <c r="O53" s="13"/>
      <c r="P53" s="13"/>
      <c r="Q53" s="13"/>
      <c r="R53" s="13"/>
      <c r="S53" s="13"/>
    </row>
    <row r="54" spans="1:19" ht="12.75" customHeight="1" x14ac:dyDescent="0.15">
      <c r="A54" s="17" t="s">
        <v>179</v>
      </c>
      <c r="B54" s="18" t="s">
        <v>218</v>
      </c>
      <c r="C54" s="14">
        <f t="shared" si="1"/>
        <v>16</v>
      </c>
      <c r="D54" s="15">
        <f t="shared" si="2"/>
        <v>159</v>
      </c>
      <c r="E54" s="15">
        <v>197</v>
      </c>
      <c r="F54" s="15">
        <v>16</v>
      </c>
      <c r="G54" s="15">
        <v>12</v>
      </c>
      <c r="H54" s="15">
        <v>1</v>
      </c>
      <c r="I54" s="15">
        <v>14</v>
      </c>
      <c r="J54" s="15">
        <v>26</v>
      </c>
      <c r="K54" s="15">
        <v>50</v>
      </c>
      <c r="L54" s="15">
        <v>40</v>
      </c>
      <c r="M54" s="21" t="s">
        <v>218</v>
      </c>
      <c r="N54" s="13"/>
      <c r="O54" s="13"/>
      <c r="P54" s="13"/>
      <c r="Q54" s="13"/>
      <c r="R54" s="13"/>
      <c r="S54" s="13"/>
    </row>
    <row r="55" spans="1:19" ht="12.75" customHeight="1" x14ac:dyDescent="0.15">
      <c r="A55" s="17" t="s">
        <v>257</v>
      </c>
      <c r="B55" s="18" t="s">
        <v>187</v>
      </c>
      <c r="C55" s="14">
        <f t="shared" si="1"/>
        <v>16</v>
      </c>
      <c r="D55" s="15">
        <f t="shared" si="2"/>
        <v>160</v>
      </c>
      <c r="E55" s="15">
        <v>197</v>
      </c>
      <c r="F55" s="15">
        <v>12</v>
      </c>
      <c r="G55" s="15">
        <v>0</v>
      </c>
      <c r="H55" s="15">
        <v>1</v>
      </c>
      <c r="I55" s="15">
        <v>7</v>
      </c>
      <c r="J55" s="15">
        <v>26</v>
      </c>
      <c r="K55" s="15">
        <v>74</v>
      </c>
      <c r="L55" s="15">
        <v>40</v>
      </c>
      <c r="M55" s="21" t="s">
        <v>187</v>
      </c>
      <c r="N55" s="13"/>
      <c r="O55" s="13"/>
      <c r="P55" s="13"/>
      <c r="Q55" s="13"/>
      <c r="R55" s="13"/>
      <c r="S55" s="13"/>
    </row>
    <row r="56" spans="1:19" ht="12.75" customHeight="1" x14ac:dyDescent="0.15">
      <c r="A56" s="17" t="s">
        <v>177</v>
      </c>
      <c r="B56" s="18" t="s">
        <v>200</v>
      </c>
      <c r="C56" s="14">
        <f t="shared" si="1"/>
        <v>16.5</v>
      </c>
      <c r="D56" s="15">
        <f t="shared" si="2"/>
        <v>167</v>
      </c>
      <c r="E56" s="15">
        <v>197</v>
      </c>
      <c r="F56" s="15">
        <v>12</v>
      </c>
      <c r="G56" s="15">
        <v>12</v>
      </c>
      <c r="H56" s="15">
        <v>1</v>
      </c>
      <c r="I56" s="15">
        <v>14</v>
      </c>
      <c r="J56" s="15">
        <v>36</v>
      </c>
      <c r="K56" s="15">
        <v>52</v>
      </c>
      <c r="L56" s="15">
        <v>40</v>
      </c>
      <c r="M56" s="21" t="s">
        <v>200</v>
      </c>
      <c r="N56" s="13"/>
      <c r="O56" s="13"/>
      <c r="P56" s="13"/>
      <c r="Q56" s="13"/>
      <c r="R56" s="13"/>
      <c r="S56" s="13"/>
    </row>
    <row r="57" spans="1:19" ht="12.75" customHeight="1" x14ac:dyDescent="0.15">
      <c r="A57" s="17" t="s">
        <v>201</v>
      </c>
      <c r="B57" s="18" t="s">
        <v>193</v>
      </c>
      <c r="C57" s="14">
        <f t="shared" si="1"/>
        <v>16.5</v>
      </c>
      <c r="D57" s="15">
        <f t="shared" si="2"/>
        <v>164</v>
      </c>
      <c r="E57" s="15">
        <v>197</v>
      </c>
      <c r="F57" s="15">
        <v>4</v>
      </c>
      <c r="G57" s="22">
        <v>0</v>
      </c>
      <c r="H57" s="15">
        <v>1</v>
      </c>
      <c r="I57" s="15">
        <v>14</v>
      </c>
      <c r="J57" s="15">
        <v>27</v>
      </c>
      <c r="K57" s="15">
        <v>78</v>
      </c>
      <c r="L57" s="15">
        <v>40</v>
      </c>
      <c r="M57" s="21" t="s">
        <v>193</v>
      </c>
      <c r="N57" s="13"/>
      <c r="O57" s="13"/>
      <c r="P57" s="13"/>
      <c r="Q57" s="13"/>
      <c r="R57" s="13"/>
      <c r="S57" s="13"/>
    </row>
    <row r="58" spans="1:19" ht="12.75" customHeight="1" x14ac:dyDescent="0.15">
      <c r="A58" s="17" t="s">
        <v>145</v>
      </c>
      <c r="B58" s="18" t="s">
        <v>258</v>
      </c>
      <c r="C58" s="14">
        <f t="shared" si="1"/>
        <v>16.5</v>
      </c>
      <c r="D58" s="15">
        <f t="shared" si="2"/>
        <v>167</v>
      </c>
      <c r="E58" s="15">
        <v>197</v>
      </c>
      <c r="F58" s="15">
        <v>16</v>
      </c>
      <c r="G58" s="15">
        <v>5</v>
      </c>
      <c r="H58" s="15">
        <v>1</v>
      </c>
      <c r="I58" s="15">
        <v>14</v>
      </c>
      <c r="J58" s="15">
        <v>26</v>
      </c>
      <c r="K58" s="15">
        <v>65</v>
      </c>
      <c r="L58" s="15">
        <v>40</v>
      </c>
      <c r="M58" s="21" t="s">
        <v>258</v>
      </c>
      <c r="N58" s="13"/>
      <c r="O58" s="13"/>
      <c r="P58" s="13"/>
      <c r="Q58" s="13"/>
      <c r="R58" s="13"/>
      <c r="S58" s="13"/>
    </row>
    <row r="59" spans="1:19" ht="12.75" customHeight="1" x14ac:dyDescent="0.15">
      <c r="A59" s="17" t="s">
        <v>172</v>
      </c>
      <c r="B59" s="18" t="s">
        <v>136</v>
      </c>
      <c r="C59" s="14">
        <f t="shared" si="1"/>
        <v>16.5</v>
      </c>
      <c r="D59" s="15">
        <f t="shared" si="2"/>
        <v>167</v>
      </c>
      <c r="E59" s="15">
        <v>197</v>
      </c>
      <c r="F59" s="15">
        <v>16</v>
      </c>
      <c r="G59" s="15">
        <v>5</v>
      </c>
      <c r="H59" s="15">
        <v>1</v>
      </c>
      <c r="I59" s="15">
        <v>14</v>
      </c>
      <c r="J59" s="15">
        <v>26</v>
      </c>
      <c r="K59" s="15">
        <v>65</v>
      </c>
      <c r="L59" s="15">
        <v>40</v>
      </c>
      <c r="M59" s="21" t="s">
        <v>136</v>
      </c>
      <c r="N59" s="13"/>
      <c r="O59" s="13"/>
      <c r="P59" s="13"/>
      <c r="Q59" s="13"/>
      <c r="R59" s="13"/>
      <c r="S59" s="13"/>
    </row>
    <row r="60" spans="1:19" ht="12.75" customHeight="1" x14ac:dyDescent="0.15">
      <c r="A60" s="17" t="s">
        <v>161</v>
      </c>
      <c r="B60" s="18" t="s">
        <v>150</v>
      </c>
      <c r="C60" s="14">
        <f t="shared" si="1"/>
        <v>16.5</v>
      </c>
      <c r="D60" s="15">
        <f t="shared" si="2"/>
        <v>163</v>
      </c>
      <c r="E60" s="15">
        <v>197</v>
      </c>
      <c r="F60" s="15">
        <v>15</v>
      </c>
      <c r="G60" s="15">
        <v>12</v>
      </c>
      <c r="H60" s="15">
        <v>1</v>
      </c>
      <c r="I60" s="15">
        <v>6</v>
      </c>
      <c r="J60" s="15">
        <v>26</v>
      </c>
      <c r="K60" s="15">
        <v>64</v>
      </c>
      <c r="L60" s="15">
        <v>39</v>
      </c>
      <c r="M60" s="21" t="s">
        <v>155</v>
      </c>
      <c r="N60" s="13"/>
      <c r="O60" s="13"/>
      <c r="P60" s="13"/>
      <c r="Q60" s="13"/>
      <c r="R60" s="13"/>
      <c r="S60" s="13"/>
    </row>
    <row r="61" spans="1:19" ht="12.75" customHeight="1" x14ac:dyDescent="0.15">
      <c r="A61" s="17" t="s">
        <v>135</v>
      </c>
      <c r="B61" s="18" t="s">
        <v>176</v>
      </c>
      <c r="C61" s="14">
        <f t="shared" si="1"/>
        <v>17</v>
      </c>
      <c r="D61" s="15">
        <f t="shared" si="2"/>
        <v>171</v>
      </c>
      <c r="E61" s="15">
        <v>197</v>
      </c>
      <c r="F61" s="15">
        <v>16</v>
      </c>
      <c r="G61" s="15">
        <v>12</v>
      </c>
      <c r="H61" s="15">
        <v>1</v>
      </c>
      <c r="I61" s="15">
        <v>14</v>
      </c>
      <c r="J61" s="15">
        <v>36</v>
      </c>
      <c r="K61" s="15">
        <v>52</v>
      </c>
      <c r="L61" s="15">
        <v>40</v>
      </c>
      <c r="M61" s="21" t="s">
        <v>176</v>
      </c>
      <c r="N61" s="13"/>
      <c r="O61" s="13"/>
      <c r="P61" s="13"/>
      <c r="Q61" s="13"/>
      <c r="R61" s="13"/>
      <c r="S61" s="13"/>
    </row>
    <row r="62" spans="1:19" ht="12.75" customHeight="1" x14ac:dyDescent="0.15">
      <c r="A62" s="17" t="s">
        <v>197</v>
      </c>
      <c r="B62" s="18" t="s">
        <v>198</v>
      </c>
      <c r="C62" s="14">
        <f t="shared" si="1"/>
        <v>17</v>
      </c>
      <c r="D62" s="15">
        <f t="shared" si="2"/>
        <v>170</v>
      </c>
      <c r="E62" s="15">
        <v>197</v>
      </c>
      <c r="F62" s="15">
        <v>8</v>
      </c>
      <c r="G62" s="15">
        <v>5</v>
      </c>
      <c r="H62" s="15">
        <v>1</v>
      </c>
      <c r="I62" s="15">
        <v>6</v>
      </c>
      <c r="J62" s="15">
        <v>36</v>
      </c>
      <c r="K62" s="15">
        <v>74</v>
      </c>
      <c r="L62" s="15">
        <v>40</v>
      </c>
      <c r="M62" s="21" t="s">
        <v>285</v>
      </c>
      <c r="N62" s="13"/>
      <c r="O62" s="13"/>
      <c r="P62" s="13"/>
      <c r="Q62" s="13"/>
      <c r="R62" s="13"/>
      <c r="S62" s="13"/>
    </row>
    <row r="63" spans="1:19" ht="12.75" customHeight="1" x14ac:dyDescent="0.15">
      <c r="A63" s="17" t="s">
        <v>141</v>
      </c>
      <c r="B63" s="18" t="s">
        <v>229</v>
      </c>
      <c r="C63" s="14">
        <f t="shared" si="1"/>
        <v>17</v>
      </c>
      <c r="D63" s="15">
        <f t="shared" si="2"/>
        <v>171</v>
      </c>
      <c r="E63" s="15">
        <v>197</v>
      </c>
      <c r="F63" s="15">
        <v>16</v>
      </c>
      <c r="G63" s="15">
        <v>12</v>
      </c>
      <c r="H63" s="15">
        <v>1</v>
      </c>
      <c r="I63" s="15">
        <v>14</v>
      </c>
      <c r="J63" s="15">
        <v>36</v>
      </c>
      <c r="K63" s="15">
        <v>52</v>
      </c>
      <c r="L63" s="15">
        <v>40</v>
      </c>
      <c r="M63" s="21" t="s">
        <v>229</v>
      </c>
      <c r="N63" s="13"/>
      <c r="O63" s="13"/>
      <c r="P63" s="13"/>
      <c r="Q63" s="13"/>
      <c r="R63" s="13"/>
      <c r="S63" s="13"/>
    </row>
    <row r="64" spans="1:19" ht="12.75" customHeight="1" x14ac:dyDescent="0.15">
      <c r="A64" s="17" t="s">
        <v>221</v>
      </c>
      <c r="B64" s="18" t="s">
        <v>237</v>
      </c>
      <c r="C64" s="14">
        <f t="shared" si="1"/>
        <v>17</v>
      </c>
      <c r="D64" s="15">
        <f t="shared" si="2"/>
        <v>171</v>
      </c>
      <c r="E64" s="15">
        <v>197</v>
      </c>
      <c r="F64" s="15">
        <v>16</v>
      </c>
      <c r="G64" s="15">
        <v>12</v>
      </c>
      <c r="H64" s="15">
        <v>1</v>
      </c>
      <c r="I64" s="15">
        <v>14</v>
      </c>
      <c r="J64" s="15">
        <v>36</v>
      </c>
      <c r="K64" s="15">
        <v>52</v>
      </c>
      <c r="L64" s="15">
        <v>40</v>
      </c>
      <c r="M64" s="21" t="s">
        <v>237</v>
      </c>
      <c r="N64" s="13"/>
      <c r="O64" s="13"/>
      <c r="P64" s="13"/>
      <c r="Q64" s="13"/>
      <c r="R64" s="13"/>
      <c r="S64" s="13"/>
    </row>
    <row r="65" spans="1:19" ht="12.75" customHeight="1" x14ac:dyDescent="0.15">
      <c r="A65" s="17" t="s">
        <v>114</v>
      </c>
      <c r="B65" s="18" t="s">
        <v>206</v>
      </c>
      <c r="C65" s="14">
        <f t="shared" si="1"/>
        <v>18</v>
      </c>
      <c r="D65" s="15">
        <f t="shared" si="2"/>
        <v>180</v>
      </c>
      <c r="E65" s="15">
        <v>197</v>
      </c>
      <c r="F65" s="15">
        <v>12</v>
      </c>
      <c r="G65" s="15">
        <v>12</v>
      </c>
      <c r="H65" s="15">
        <v>1</v>
      </c>
      <c r="I65" s="15">
        <v>14</v>
      </c>
      <c r="J65" s="15">
        <v>36</v>
      </c>
      <c r="K65" s="15">
        <v>65</v>
      </c>
      <c r="L65" s="15">
        <v>40</v>
      </c>
      <c r="M65" s="21" t="s">
        <v>207</v>
      </c>
      <c r="N65" s="13"/>
      <c r="O65" s="13"/>
      <c r="P65" s="13"/>
      <c r="Q65" s="13"/>
      <c r="R65" s="13"/>
      <c r="S65" s="13"/>
    </row>
    <row r="66" spans="1:19" ht="12.75" customHeight="1" x14ac:dyDescent="0.15">
      <c r="A66" s="17" t="s">
        <v>118</v>
      </c>
      <c r="B66" s="18" t="s">
        <v>126</v>
      </c>
      <c r="C66" s="14">
        <f t="shared" si="1"/>
        <v>18</v>
      </c>
      <c r="D66" s="15">
        <f t="shared" si="2"/>
        <v>181</v>
      </c>
      <c r="E66" s="15">
        <v>197</v>
      </c>
      <c r="F66" s="15">
        <v>16</v>
      </c>
      <c r="G66" s="15">
        <v>6</v>
      </c>
      <c r="H66" s="15">
        <v>1</v>
      </c>
      <c r="I66" s="15">
        <v>14</v>
      </c>
      <c r="J66" s="15">
        <v>36</v>
      </c>
      <c r="K66" s="15">
        <v>78</v>
      </c>
      <c r="L66" s="15">
        <v>30</v>
      </c>
      <c r="M66" s="21" t="s">
        <v>126</v>
      </c>
      <c r="N66" s="13"/>
      <c r="O66" s="13"/>
      <c r="P66" s="13"/>
      <c r="Q66" s="13"/>
      <c r="R66" s="13"/>
      <c r="S66" s="13"/>
    </row>
    <row r="67" spans="1:19" ht="12.75" customHeight="1" x14ac:dyDescent="0.15">
      <c r="A67" s="17" t="s">
        <v>182</v>
      </c>
      <c r="B67" s="18" t="s">
        <v>180</v>
      </c>
      <c r="C67" s="14">
        <f t="shared" si="1"/>
        <v>18</v>
      </c>
      <c r="D67" s="15">
        <f t="shared" si="2"/>
        <v>180</v>
      </c>
      <c r="E67" s="15">
        <v>197</v>
      </c>
      <c r="F67" s="15">
        <v>12</v>
      </c>
      <c r="G67" s="15">
        <v>12</v>
      </c>
      <c r="H67" s="15">
        <v>1</v>
      </c>
      <c r="I67" s="15">
        <v>14</v>
      </c>
      <c r="J67" s="15">
        <v>36</v>
      </c>
      <c r="K67" s="15">
        <v>65</v>
      </c>
      <c r="L67" s="15">
        <v>40</v>
      </c>
      <c r="M67" s="21" t="s">
        <v>180</v>
      </c>
      <c r="N67" s="13"/>
      <c r="O67" s="13"/>
      <c r="P67" s="13"/>
      <c r="Q67" s="13"/>
      <c r="R67" s="13"/>
      <c r="S67" s="13"/>
    </row>
    <row r="68" spans="1:19" ht="12.75" customHeight="1" x14ac:dyDescent="0.15">
      <c r="A68" s="17" t="s">
        <v>192</v>
      </c>
      <c r="B68" s="18" t="s">
        <v>247</v>
      </c>
      <c r="C68" s="14">
        <f t="shared" si="1"/>
        <v>18.5</v>
      </c>
      <c r="D68" s="15">
        <f t="shared" si="2"/>
        <v>184</v>
      </c>
      <c r="E68" s="15">
        <v>197</v>
      </c>
      <c r="F68" s="15">
        <v>16</v>
      </c>
      <c r="G68" s="15">
        <v>12</v>
      </c>
      <c r="H68" s="15">
        <v>1</v>
      </c>
      <c r="I68" s="15">
        <v>14</v>
      </c>
      <c r="J68" s="15">
        <v>36</v>
      </c>
      <c r="K68" s="15">
        <v>65</v>
      </c>
      <c r="L68" s="15">
        <v>40</v>
      </c>
      <c r="M68" s="21" t="s">
        <v>247</v>
      </c>
      <c r="N68" s="13"/>
      <c r="O68" s="13"/>
      <c r="P68" s="13"/>
      <c r="Q68" s="13"/>
      <c r="R68" s="13"/>
      <c r="S68" s="13"/>
    </row>
    <row r="69" spans="1:19" ht="12.75" customHeight="1" x14ac:dyDescent="0.15">
      <c r="A69" s="17" t="s">
        <v>175</v>
      </c>
      <c r="B69" s="18" t="s">
        <v>153</v>
      </c>
      <c r="C69" s="14">
        <f t="shared" si="1"/>
        <v>18.5</v>
      </c>
      <c r="D69" s="15">
        <f t="shared" si="2"/>
        <v>184</v>
      </c>
      <c r="E69" s="15">
        <v>197</v>
      </c>
      <c r="F69" s="15">
        <v>16</v>
      </c>
      <c r="G69" s="15">
        <v>12</v>
      </c>
      <c r="H69" s="15">
        <v>1</v>
      </c>
      <c r="I69" s="15">
        <v>14</v>
      </c>
      <c r="J69" s="15">
        <v>36</v>
      </c>
      <c r="K69" s="15">
        <v>65</v>
      </c>
      <c r="L69" s="15">
        <v>40</v>
      </c>
      <c r="M69" s="21" t="s">
        <v>261</v>
      </c>
      <c r="N69" s="13"/>
      <c r="O69" s="13"/>
      <c r="P69" s="13"/>
      <c r="Q69" s="13"/>
      <c r="R69" s="13"/>
      <c r="S69" s="13"/>
    </row>
    <row r="70" spans="1:19" ht="12.75" customHeight="1" x14ac:dyDescent="0.1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</row>
    <row r="71" spans="1:19" ht="12.75" customHeight="1" x14ac:dyDescent="0.1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</row>
    <row r="72" spans="1:19" ht="12.75" customHeight="1" x14ac:dyDescent="0.1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</row>
    <row r="73" spans="1:19" ht="12.75" customHeight="1" x14ac:dyDescent="0.1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</row>
    <row r="74" spans="1:19" ht="12.75" customHeight="1" x14ac:dyDescent="0.1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</row>
    <row r="75" spans="1:19" ht="12.75" customHeight="1" x14ac:dyDescent="0.1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</row>
    <row r="76" spans="1:19" ht="12.75" customHeight="1" x14ac:dyDescent="0.1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</row>
    <row r="77" spans="1:19" ht="12.75" customHeight="1" x14ac:dyDescent="0.1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</row>
    <row r="78" spans="1:19" ht="12.75" customHeight="1" x14ac:dyDescent="0.1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</row>
    <row r="79" spans="1:19" ht="12.75" customHeight="1" x14ac:dyDescent="0.1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</row>
    <row r="80" spans="1:19" ht="12.75" customHeight="1" x14ac:dyDescent="0.1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</row>
    <row r="81" spans="1:19" ht="12.75" customHeight="1" x14ac:dyDescent="0.1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</row>
    <row r="82" spans="1:19" ht="12.75" customHeight="1" x14ac:dyDescent="0.1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</row>
    <row r="83" spans="1:19" ht="12.75" customHeight="1" x14ac:dyDescent="0.1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</row>
    <row r="84" spans="1:19" ht="12.75" customHeight="1" x14ac:dyDescent="0.1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</row>
    <row r="85" spans="1:19" ht="12.75" customHeight="1" x14ac:dyDescent="0.1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</row>
    <row r="86" spans="1:19" ht="12.75" customHeight="1" x14ac:dyDescent="0.1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</row>
    <row r="87" spans="1:19" ht="12.75" customHeight="1" x14ac:dyDescent="0.1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</row>
    <row r="88" spans="1:19" ht="12.75" customHeight="1" x14ac:dyDescent="0.1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</row>
    <row r="89" spans="1:19" ht="12.75" customHeight="1" x14ac:dyDescent="0.1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</row>
    <row r="90" spans="1:19" ht="12.75" customHeight="1" x14ac:dyDescent="0.1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</row>
    <row r="91" spans="1:19" ht="12.75" customHeight="1" x14ac:dyDescent="0.1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</row>
    <row r="92" spans="1:19" ht="12.75" customHeight="1" x14ac:dyDescent="0.1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</row>
    <row r="93" spans="1:19" ht="12.75" customHeight="1" x14ac:dyDescent="0.1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</row>
    <row r="94" spans="1:19" ht="12.75" customHeight="1" x14ac:dyDescent="0.1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</row>
    <row r="95" spans="1:19" ht="12.75" customHeight="1" x14ac:dyDescent="0.1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</row>
    <row r="96" spans="1:19" ht="12.75" customHeight="1" x14ac:dyDescent="0.1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</row>
    <row r="97" spans="1:19" ht="12.75" customHeight="1" x14ac:dyDescent="0.1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</row>
    <row r="98" spans="1:19" ht="12.75" customHeight="1" x14ac:dyDescent="0.1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</row>
    <row r="99" spans="1:19" ht="12.75" customHeight="1" x14ac:dyDescent="0.1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</row>
    <row r="100" spans="1:19" ht="12.75" customHeight="1" x14ac:dyDescent="0.1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</row>
    <row r="101" spans="1:19" ht="12.75" customHeight="1" x14ac:dyDescent="0.1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</row>
    <row r="102" spans="1:19" ht="12.75" customHeight="1" x14ac:dyDescent="0.1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</row>
    <row r="103" spans="1:19" ht="12.75" customHeight="1" x14ac:dyDescent="0.1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</row>
    <row r="104" spans="1:19" ht="12.75" customHeight="1" x14ac:dyDescent="0.1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</row>
    <row r="105" spans="1:19" ht="12.75" customHeight="1" x14ac:dyDescent="0.1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</row>
    <row r="106" spans="1:19" ht="12.75" customHeight="1" x14ac:dyDescent="0.1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</row>
    <row r="107" spans="1:19" ht="12.75" customHeight="1" x14ac:dyDescent="0.1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</row>
    <row r="108" spans="1:19" ht="12.75" customHeight="1" x14ac:dyDescent="0.1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</row>
    <row r="109" spans="1:19" ht="12.75" customHeight="1" x14ac:dyDescent="0.1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</row>
    <row r="110" spans="1:19" ht="12.75" customHeight="1" x14ac:dyDescent="0.1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</row>
    <row r="111" spans="1:19" ht="12.75" customHeight="1" x14ac:dyDescent="0.1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</row>
    <row r="112" spans="1:19" ht="12.75" customHeight="1" x14ac:dyDescent="0.1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</row>
    <row r="113" spans="1:19" ht="12.75" customHeight="1" x14ac:dyDescent="0.1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</row>
    <row r="114" spans="1:19" ht="12.75" customHeight="1" x14ac:dyDescent="0.1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</row>
    <row r="115" spans="1:19" ht="12.75" customHeight="1" x14ac:dyDescent="0.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</row>
    <row r="116" spans="1:19" ht="12.75" customHeight="1" x14ac:dyDescent="0.1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</row>
    <row r="117" spans="1:19" ht="12.75" customHeight="1" x14ac:dyDescent="0.1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</row>
    <row r="118" spans="1:19" ht="12.75" customHeight="1" x14ac:dyDescent="0.1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</row>
    <row r="119" spans="1:19" ht="12.75" customHeight="1" x14ac:dyDescent="0.1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</row>
    <row r="120" spans="1:19" ht="12.75" customHeight="1" x14ac:dyDescent="0.1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</row>
    <row r="121" spans="1:19" ht="12.75" customHeight="1" x14ac:dyDescent="0.1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</row>
    <row r="122" spans="1:19" ht="12.75" customHeight="1" x14ac:dyDescent="0.1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</row>
    <row r="123" spans="1:19" ht="12.75" customHeight="1" x14ac:dyDescent="0.1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</row>
    <row r="124" spans="1:19" ht="12.75" customHeight="1" x14ac:dyDescent="0.1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</row>
    <row r="125" spans="1:19" ht="12.75" customHeight="1" x14ac:dyDescent="0.1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</row>
    <row r="126" spans="1:19" ht="12.75" customHeight="1" x14ac:dyDescent="0.1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</row>
    <row r="127" spans="1:19" ht="12.75" customHeight="1" x14ac:dyDescent="0.1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</row>
    <row r="128" spans="1:19" ht="12.75" customHeight="1" x14ac:dyDescent="0.1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</row>
    <row r="129" spans="1:19" ht="12.75" customHeight="1" x14ac:dyDescent="0.1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</row>
    <row r="130" spans="1:19" ht="12.75" customHeight="1" x14ac:dyDescent="0.1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</row>
    <row r="131" spans="1:19" ht="12.75" customHeight="1" x14ac:dyDescent="0.1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</row>
    <row r="132" spans="1:19" ht="12.75" customHeight="1" x14ac:dyDescent="0.1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</row>
    <row r="133" spans="1:19" ht="12.75" customHeight="1" x14ac:dyDescent="0.1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</row>
    <row r="134" spans="1:19" ht="12.75" customHeight="1" x14ac:dyDescent="0.1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</row>
    <row r="135" spans="1:19" ht="12.75" customHeight="1" x14ac:dyDescent="0.1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</row>
    <row r="136" spans="1:19" ht="12.75" customHeight="1" x14ac:dyDescent="0.1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</row>
    <row r="137" spans="1:19" ht="12.75" customHeight="1" x14ac:dyDescent="0.1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</row>
    <row r="138" spans="1:19" ht="12.75" customHeight="1" x14ac:dyDescent="0.1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</row>
    <row r="139" spans="1:19" ht="12.75" customHeight="1" x14ac:dyDescent="0.1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</row>
    <row r="140" spans="1:19" ht="12.75" customHeight="1" x14ac:dyDescent="0.1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</row>
    <row r="141" spans="1:19" ht="12.75" customHeight="1" x14ac:dyDescent="0.1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</row>
    <row r="142" spans="1:19" ht="12.75" customHeight="1" x14ac:dyDescent="0.1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</row>
    <row r="143" spans="1:19" ht="12.75" customHeight="1" x14ac:dyDescent="0.1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</row>
    <row r="144" spans="1:19" ht="12.75" customHeight="1" x14ac:dyDescent="0.1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</row>
    <row r="145" spans="1:19" ht="12.75" customHeight="1" x14ac:dyDescent="0.1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</row>
    <row r="146" spans="1:19" ht="12.75" customHeight="1" x14ac:dyDescent="0.1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</row>
    <row r="147" spans="1:19" ht="12.75" customHeight="1" x14ac:dyDescent="0.1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</row>
    <row r="148" spans="1:19" ht="12.75" customHeight="1" x14ac:dyDescent="0.1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</row>
    <row r="149" spans="1:19" ht="12.75" customHeight="1" x14ac:dyDescent="0.1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</row>
    <row r="150" spans="1:19" ht="12.75" customHeight="1" x14ac:dyDescent="0.1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</row>
    <row r="151" spans="1:19" ht="12.75" customHeight="1" x14ac:dyDescent="0.1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</row>
    <row r="152" spans="1:19" ht="12.75" customHeight="1" x14ac:dyDescent="0.1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</row>
    <row r="153" spans="1:19" ht="12.75" customHeight="1" x14ac:dyDescent="0.1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</row>
    <row r="154" spans="1:19" ht="12.75" customHeight="1" x14ac:dyDescent="0.1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</row>
    <row r="155" spans="1:19" ht="12.75" customHeight="1" x14ac:dyDescent="0.1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</row>
    <row r="156" spans="1:19" ht="12.75" customHeight="1" x14ac:dyDescent="0.1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</row>
    <row r="157" spans="1:19" ht="12.75" customHeight="1" x14ac:dyDescent="0.1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</row>
    <row r="158" spans="1:19" ht="12.75" customHeight="1" x14ac:dyDescent="0.1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</row>
    <row r="159" spans="1:19" ht="12.75" customHeight="1" x14ac:dyDescent="0.1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</row>
    <row r="160" spans="1:19" ht="12.75" customHeight="1" x14ac:dyDescent="0.1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</row>
    <row r="161" spans="1:19" ht="12.75" customHeight="1" x14ac:dyDescent="0.1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</row>
    <row r="162" spans="1:19" ht="12.75" customHeight="1" x14ac:dyDescent="0.1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</row>
    <row r="163" spans="1:19" ht="12.75" customHeight="1" x14ac:dyDescent="0.1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</row>
    <row r="164" spans="1:19" ht="12.75" customHeight="1" x14ac:dyDescent="0.1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</row>
    <row r="165" spans="1:19" ht="12.75" customHeight="1" x14ac:dyDescent="0.1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</row>
    <row r="166" spans="1:19" ht="12.75" customHeight="1" x14ac:dyDescent="0.1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</row>
    <row r="167" spans="1:19" ht="12.75" customHeight="1" x14ac:dyDescent="0.1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</row>
    <row r="168" spans="1:19" ht="12.75" customHeight="1" x14ac:dyDescent="0.1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</row>
    <row r="169" spans="1:19" ht="12.75" customHeight="1" x14ac:dyDescent="0.1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</row>
    <row r="170" spans="1:19" ht="12.75" customHeight="1" x14ac:dyDescent="0.1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</row>
    <row r="171" spans="1:19" ht="12.75" customHeight="1" x14ac:dyDescent="0.1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</row>
    <row r="172" spans="1:19" ht="12.75" customHeight="1" x14ac:dyDescent="0.1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</row>
    <row r="173" spans="1:19" ht="12.75" customHeight="1" x14ac:dyDescent="0.1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</row>
    <row r="174" spans="1:19" ht="12.75" customHeight="1" x14ac:dyDescent="0.1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</row>
    <row r="175" spans="1:19" ht="12.75" customHeight="1" x14ac:dyDescent="0.1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</row>
    <row r="176" spans="1:19" ht="12.75" customHeight="1" x14ac:dyDescent="0.1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</row>
    <row r="177" spans="1:19" ht="12.75" customHeight="1" x14ac:dyDescent="0.1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</row>
    <row r="178" spans="1:19" ht="12.75" customHeight="1" x14ac:dyDescent="0.1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</row>
    <row r="179" spans="1:19" ht="12.75" customHeight="1" x14ac:dyDescent="0.1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</row>
    <row r="180" spans="1:19" ht="12.75" customHeight="1" x14ac:dyDescent="0.1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</row>
    <row r="181" spans="1:19" ht="12.75" customHeight="1" x14ac:dyDescent="0.1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</row>
    <row r="182" spans="1:19" ht="12.75" customHeight="1" x14ac:dyDescent="0.1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</row>
    <row r="183" spans="1:19" ht="12.75" customHeight="1" x14ac:dyDescent="0.1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</row>
    <row r="184" spans="1:19" ht="12.75" customHeight="1" x14ac:dyDescent="0.1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</row>
    <row r="185" spans="1:19" ht="12.75" customHeight="1" x14ac:dyDescent="0.1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</row>
    <row r="186" spans="1:19" ht="12.75" customHeight="1" x14ac:dyDescent="0.1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</row>
    <row r="187" spans="1:19" ht="12.75" customHeight="1" x14ac:dyDescent="0.1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</row>
    <row r="188" spans="1:19" ht="12.75" customHeight="1" x14ac:dyDescent="0.1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</row>
    <row r="189" spans="1:19" ht="12.75" customHeight="1" x14ac:dyDescent="0.1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</row>
    <row r="190" spans="1:19" ht="12.75" customHeight="1" x14ac:dyDescent="0.1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</row>
    <row r="191" spans="1:19" ht="12.75" customHeight="1" x14ac:dyDescent="0.1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</row>
    <row r="192" spans="1:19" ht="12.75" customHeight="1" x14ac:dyDescent="0.1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</row>
    <row r="193" spans="1:19" ht="12.75" customHeight="1" x14ac:dyDescent="0.1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</row>
    <row r="194" spans="1:19" ht="12.75" customHeight="1" x14ac:dyDescent="0.1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</row>
    <row r="195" spans="1:19" ht="12.75" customHeight="1" x14ac:dyDescent="0.1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</row>
    <row r="196" spans="1:19" ht="12.75" customHeight="1" x14ac:dyDescent="0.1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</row>
    <row r="197" spans="1:19" ht="12.75" customHeight="1" x14ac:dyDescent="0.1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</row>
    <row r="198" spans="1:19" ht="12.75" customHeight="1" x14ac:dyDescent="0.1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</row>
    <row r="199" spans="1:19" ht="12.75" customHeight="1" x14ac:dyDescent="0.1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</row>
    <row r="200" spans="1:19" ht="12.75" customHeight="1" x14ac:dyDescent="0.1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</row>
    <row r="201" spans="1:19" ht="12.75" customHeight="1" x14ac:dyDescent="0.1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</row>
    <row r="202" spans="1:19" ht="12.75" customHeight="1" x14ac:dyDescent="0.1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</row>
    <row r="203" spans="1:19" ht="12.75" customHeight="1" x14ac:dyDescent="0.1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</row>
    <row r="204" spans="1:19" ht="12.75" customHeight="1" x14ac:dyDescent="0.1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</row>
    <row r="205" spans="1:19" ht="12.75" customHeight="1" x14ac:dyDescent="0.1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</row>
    <row r="206" spans="1:19" ht="12.75" customHeight="1" x14ac:dyDescent="0.1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</row>
    <row r="207" spans="1:19" ht="12.75" customHeight="1" x14ac:dyDescent="0.1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</row>
    <row r="208" spans="1:19" ht="12.75" customHeight="1" x14ac:dyDescent="0.1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</row>
    <row r="209" spans="1:19" ht="12.75" customHeight="1" x14ac:dyDescent="0.1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</row>
    <row r="210" spans="1:19" ht="12.75" customHeight="1" x14ac:dyDescent="0.1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</row>
    <row r="211" spans="1:19" ht="12.75" customHeight="1" x14ac:dyDescent="0.1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</row>
    <row r="212" spans="1:19" ht="12.75" customHeight="1" x14ac:dyDescent="0.1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</row>
    <row r="213" spans="1:19" ht="12.75" customHeight="1" x14ac:dyDescent="0.1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</row>
    <row r="214" spans="1:19" ht="12.75" customHeight="1" x14ac:dyDescent="0.1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</row>
    <row r="215" spans="1:19" ht="12.75" customHeight="1" x14ac:dyDescent="0.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</row>
    <row r="216" spans="1:19" ht="12.75" customHeight="1" x14ac:dyDescent="0.1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</row>
    <row r="217" spans="1:19" ht="12.75" customHeight="1" x14ac:dyDescent="0.1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</row>
    <row r="218" spans="1:19" ht="12.75" customHeight="1" x14ac:dyDescent="0.1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</row>
    <row r="219" spans="1:19" ht="12.75" customHeight="1" x14ac:dyDescent="0.1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</row>
    <row r="220" spans="1:19" ht="12.75" customHeight="1" x14ac:dyDescent="0.1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</row>
    <row r="221" spans="1:19" ht="12.75" customHeight="1" x14ac:dyDescent="0.1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</row>
    <row r="222" spans="1:19" ht="12.75" customHeight="1" x14ac:dyDescent="0.1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</row>
    <row r="223" spans="1:19" ht="12.75" customHeight="1" x14ac:dyDescent="0.1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</row>
    <row r="224" spans="1:19" ht="12.75" customHeight="1" x14ac:dyDescent="0.1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</row>
    <row r="225" spans="1:19" ht="12.75" customHeight="1" x14ac:dyDescent="0.1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</row>
    <row r="226" spans="1:19" ht="12.75" customHeight="1" x14ac:dyDescent="0.1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</row>
    <row r="227" spans="1:19" ht="12.75" customHeight="1" x14ac:dyDescent="0.1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</row>
    <row r="228" spans="1:19" ht="12.75" customHeight="1" x14ac:dyDescent="0.1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</row>
    <row r="229" spans="1:19" ht="12.75" customHeight="1" x14ac:dyDescent="0.1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</row>
    <row r="230" spans="1:19" ht="12.75" customHeight="1" x14ac:dyDescent="0.1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</row>
    <row r="231" spans="1:19" ht="12.75" customHeight="1" x14ac:dyDescent="0.1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</row>
    <row r="232" spans="1:19" ht="12.75" customHeight="1" x14ac:dyDescent="0.1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</row>
    <row r="233" spans="1:19" ht="12.75" customHeight="1" x14ac:dyDescent="0.1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</row>
    <row r="234" spans="1:19" ht="12.75" customHeight="1" x14ac:dyDescent="0.1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</row>
    <row r="235" spans="1:19" ht="12.75" customHeight="1" x14ac:dyDescent="0.1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</row>
    <row r="236" spans="1:19" ht="12.75" customHeight="1" x14ac:dyDescent="0.1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</row>
    <row r="237" spans="1:19" ht="12.75" customHeight="1" x14ac:dyDescent="0.1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</row>
    <row r="238" spans="1:19" ht="12.75" customHeight="1" x14ac:dyDescent="0.1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</row>
    <row r="239" spans="1:19" ht="12.75" customHeight="1" x14ac:dyDescent="0.1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</row>
    <row r="240" spans="1:19" ht="12.75" customHeight="1" x14ac:dyDescent="0.1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</row>
    <row r="241" spans="1:19" ht="12.75" customHeight="1" x14ac:dyDescent="0.1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</row>
    <row r="242" spans="1:19" ht="12.75" customHeight="1" x14ac:dyDescent="0.1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</row>
    <row r="243" spans="1:19" ht="12.75" customHeight="1" x14ac:dyDescent="0.1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</row>
    <row r="244" spans="1:19" ht="12.75" customHeight="1" x14ac:dyDescent="0.1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</row>
    <row r="245" spans="1:19" ht="12.75" customHeight="1" x14ac:dyDescent="0.1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</row>
    <row r="246" spans="1:19" ht="12.75" customHeight="1" x14ac:dyDescent="0.1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</row>
    <row r="247" spans="1:19" ht="12.75" customHeight="1" x14ac:dyDescent="0.1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</row>
    <row r="248" spans="1:19" ht="12.75" customHeight="1" x14ac:dyDescent="0.1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</row>
    <row r="249" spans="1:19" ht="12.75" customHeight="1" x14ac:dyDescent="0.1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</row>
    <row r="250" spans="1:19" ht="12.75" customHeight="1" x14ac:dyDescent="0.1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</row>
    <row r="251" spans="1:19" ht="12.75" customHeight="1" x14ac:dyDescent="0.1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</row>
    <row r="252" spans="1:19" ht="12.75" customHeight="1" x14ac:dyDescent="0.1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</row>
    <row r="253" spans="1:19" ht="12.75" customHeight="1" x14ac:dyDescent="0.1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</row>
    <row r="254" spans="1:19" ht="12.75" customHeight="1" x14ac:dyDescent="0.1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</row>
    <row r="255" spans="1:19" ht="12.75" customHeight="1" x14ac:dyDescent="0.1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</row>
    <row r="256" spans="1:19" ht="12.75" customHeight="1" x14ac:dyDescent="0.1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</row>
    <row r="257" spans="1:19" ht="12.75" customHeight="1" x14ac:dyDescent="0.1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</row>
    <row r="258" spans="1:19" ht="12.75" customHeight="1" x14ac:dyDescent="0.1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</row>
    <row r="259" spans="1:19" ht="12.75" customHeight="1" x14ac:dyDescent="0.1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</row>
    <row r="260" spans="1:19" ht="12.75" customHeight="1" x14ac:dyDescent="0.1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</row>
    <row r="261" spans="1:19" ht="12.75" customHeight="1" x14ac:dyDescent="0.1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</row>
    <row r="262" spans="1:19" ht="12.75" customHeight="1" x14ac:dyDescent="0.1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</row>
    <row r="263" spans="1:19" ht="12.75" customHeight="1" x14ac:dyDescent="0.1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</row>
    <row r="264" spans="1:19" ht="12.75" customHeight="1" x14ac:dyDescent="0.1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</row>
    <row r="265" spans="1:19" ht="12.75" customHeight="1" x14ac:dyDescent="0.1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</row>
    <row r="266" spans="1:19" ht="12.75" customHeight="1" x14ac:dyDescent="0.1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</row>
    <row r="267" spans="1:19" ht="12.75" customHeight="1" x14ac:dyDescent="0.1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</row>
    <row r="268" spans="1:19" ht="12.75" customHeight="1" x14ac:dyDescent="0.1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</row>
    <row r="269" spans="1:19" ht="12.75" customHeight="1" x14ac:dyDescent="0.1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</row>
    <row r="270" spans="1:19" ht="12.75" customHeight="1" x14ac:dyDescent="0.1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</row>
    <row r="271" spans="1:19" ht="12.75" customHeight="1" x14ac:dyDescent="0.1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</row>
    <row r="272" spans="1:19" ht="12.75" customHeight="1" x14ac:dyDescent="0.1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</row>
    <row r="273" spans="1:19" ht="12.75" customHeight="1" x14ac:dyDescent="0.1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</row>
    <row r="274" spans="1:19" ht="12.75" customHeight="1" x14ac:dyDescent="0.1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</row>
    <row r="275" spans="1:19" ht="12.75" customHeight="1" x14ac:dyDescent="0.1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</row>
    <row r="276" spans="1:19" ht="12.75" customHeight="1" x14ac:dyDescent="0.1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</row>
    <row r="277" spans="1:19" ht="12.75" customHeight="1" x14ac:dyDescent="0.1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</row>
    <row r="278" spans="1:19" ht="12.75" customHeight="1" x14ac:dyDescent="0.1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</row>
    <row r="279" spans="1:19" ht="12.75" customHeight="1" x14ac:dyDescent="0.1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</row>
    <row r="280" spans="1:19" ht="12.75" customHeight="1" x14ac:dyDescent="0.1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</row>
    <row r="281" spans="1:19" ht="12.75" customHeight="1" x14ac:dyDescent="0.1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</row>
    <row r="282" spans="1:19" ht="12.75" customHeight="1" x14ac:dyDescent="0.1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</row>
    <row r="283" spans="1:19" ht="12.75" customHeight="1" x14ac:dyDescent="0.1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</row>
    <row r="284" spans="1:19" ht="12.75" customHeight="1" x14ac:dyDescent="0.1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</row>
    <row r="285" spans="1:19" ht="12.75" customHeight="1" x14ac:dyDescent="0.1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</row>
    <row r="286" spans="1:19" ht="12.75" customHeight="1" x14ac:dyDescent="0.1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</row>
    <row r="287" spans="1:19" ht="12.75" customHeight="1" x14ac:dyDescent="0.1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</row>
    <row r="288" spans="1:19" ht="12.75" customHeight="1" x14ac:dyDescent="0.1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</row>
    <row r="289" spans="1:19" ht="12.75" customHeight="1" x14ac:dyDescent="0.1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</row>
    <row r="290" spans="1:19" ht="12.75" customHeight="1" x14ac:dyDescent="0.1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</row>
    <row r="291" spans="1:19" ht="12.75" customHeight="1" x14ac:dyDescent="0.1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</row>
    <row r="292" spans="1:19" ht="12.75" customHeight="1" x14ac:dyDescent="0.1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</row>
    <row r="293" spans="1:19" ht="12.75" customHeight="1" x14ac:dyDescent="0.1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</row>
    <row r="294" spans="1:19" ht="12.75" customHeight="1" x14ac:dyDescent="0.1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</row>
    <row r="295" spans="1:19" ht="12.75" customHeight="1" x14ac:dyDescent="0.1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</row>
    <row r="296" spans="1:19" ht="12.75" customHeight="1" x14ac:dyDescent="0.1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</row>
    <row r="297" spans="1:19" ht="12.75" customHeight="1" x14ac:dyDescent="0.1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</row>
    <row r="298" spans="1:19" ht="12.75" customHeight="1" x14ac:dyDescent="0.1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</row>
    <row r="299" spans="1:19" ht="12.75" customHeight="1" x14ac:dyDescent="0.1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</row>
    <row r="300" spans="1:19" ht="12.75" customHeight="1" x14ac:dyDescent="0.1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</row>
    <row r="301" spans="1:19" ht="12.75" customHeight="1" x14ac:dyDescent="0.1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</row>
    <row r="302" spans="1:19" ht="12.75" customHeight="1" x14ac:dyDescent="0.1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</row>
    <row r="303" spans="1:19" ht="12.75" customHeight="1" x14ac:dyDescent="0.1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</row>
    <row r="304" spans="1:19" ht="12.75" customHeight="1" x14ac:dyDescent="0.1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</row>
    <row r="305" spans="1:19" ht="12.75" customHeight="1" x14ac:dyDescent="0.1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</row>
    <row r="306" spans="1:19" ht="12.75" customHeight="1" x14ac:dyDescent="0.1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</row>
    <row r="307" spans="1:19" ht="12.75" customHeight="1" x14ac:dyDescent="0.1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</row>
    <row r="308" spans="1:19" ht="12.75" customHeight="1" x14ac:dyDescent="0.1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</row>
    <row r="309" spans="1:19" ht="12.75" customHeight="1" x14ac:dyDescent="0.1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</row>
    <row r="310" spans="1:19" ht="12.75" customHeight="1" x14ac:dyDescent="0.1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</row>
    <row r="311" spans="1:19" ht="12.75" customHeight="1" x14ac:dyDescent="0.1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</row>
    <row r="312" spans="1:19" ht="12.75" customHeight="1" x14ac:dyDescent="0.1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</row>
    <row r="313" spans="1:19" ht="12.75" customHeight="1" x14ac:dyDescent="0.1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</row>
    <row r="314" spans="1:19" ht="12.75" customHeight="1" x14ac:dyDescent="0.1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</row>
    <row r="315" spans="1:19" ht="12.75" customHeight="1" x14ac:dyDescent="0.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</row>
    <row r="316" spans="1:19" ht="12.75" customHeight="1" x14ac:dyDescent="0.1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</row>
    <row r="317" spans="1:19" ht="12.75" customHeight="1" x14ac:dyDescent="0.1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</row>
    <row r="318" spans="1:19" ht="12.75" customHeight="1" x14ac:dyDescent="0.1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</row>
    <row r="319" spans="1:19" ht="12.75" customHeight="1" x14ac:dyDescent="0.1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</row>
    <row r="320" spans="1:19" ht="12.75" customHeight="1" x14ac:dyDescent="0.1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</row>
    <row r="321" spans="1:19" ht="12.75" customHeight="1" x14ac:dyDescent="0.1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</row>
    <row r="322" spans="1:19" ht="12.75" customHeight="1" x14ac:dyDescent="0.1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</row>
    <row r="323" spans="1:19" ht="12.75" customHeight="1" x14ac:dyDescent="0.1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</row>
    <row r="324" spans="1:19" ht="12.75" customHeight="1" x14ac:dyDescent="0.1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</row>
    <row r="325" spans="1:19" ht="12.75" customHeight="1" x14ac:dyDescent="0.1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</row>
    <row r="326" spans="1:19" ht="12.75" customHeight="1" x14ac:dyDescent="0.1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</row>
    <row r="327" spans="1:19" ht="12.75" customHeight="1" x14ac:dyDescent="0.1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</row>
    <row r="328" spans="1:19" ht="12.75" customHeight="1" x14ac:dyDescent="0.1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</row>
    <row r="329" spans="1:19" ht="12.75" customHeight="1" x14ac:dyDescent="0.1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</row>
    <row r="330" spans="1:19" ht="12.75" customHeight="1" x14ac:dyDescent="0.1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</row>
    <row r="331" spans="1:19" ht="12.75" customHeight="1" x14ac:dyDescent="0.1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</row>
    <row r="332" spans="1:19" ht="12.75" customHeight="1" x14ac:dyDescent="0.1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</row>
    <row r="333" spans="1:19" ht="12.75" customHeight="1" x14ac:dyDescent="0.1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</row>
    <row r="334" spans="1:19" ht="12.75" customHeight="1" x14ac:dyDescent="0.1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</row>
    <row r="335" spans="1:19" ht="12.75" customHeight="1" x14ac:dyDescent="0.1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</row>
    <row r="336" spans="1:19" ht="12.75" customHeight="1" x14ac:dyDescent="0.1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</row>
    <row r="337" spans="1:19" ht="12.75" customHeight="1" x14ac:dyDescent="0.1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</row>
    <row r="338" spans="1:19" ht="12.75" customHeight="1" x14ac:dyDescent="0.1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</row>
    <row r="339" spans="1:19" ht="12.75" customHeight="1" x14ac:dyDescent="0.1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</row>
    <row r="340" spans="1:19" ht="12.75" customHeight="1" x14ac:dyDescent="0.1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</row>
    <row r="341" spans="1:19" ht="12.75" customHeight="1" x14ac:dyDescent="0.1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</row>
    <row r="342" spans="1:19" ht="12.75" customHeight="1" x14ac:dyDescent="0.1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</row>
    <row r="343" spans="1:19" ht="12.75" customHeight="1" x14ac:dyDescent="0.1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</row>
    <row r="344" spans="1:19" ht="12.75" customHeight="1" x14ac:dyDescent="0.1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</row>
    <row r="345" spans="1:19" ht="12.75" customHeight="1" x14ac:dyDescent="0.1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</row>
    <row r="346" spans="1:19" ht="12.75" customHeight="1" x14ac:dyDescent="0.1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</row>
    <row r="347" spans="1:19" ht="12.75" customHeight="1" x14ac:dyDescent="0.1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</row>
    <row r="348" spans="1:19" ht="12.75" customHeight="1" x14ac:dyDescent="0.1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</row>
    <row r="349" spans="1:19" ht="12.75" customHeight="1" x14ac:dyDescent="0.1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</row>
    <row r="350" spans="1:19" ht="12.75" customHeight="1" x14ac:dyDescent="0.1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</row>
    <row r="351" spans="1:19" ht="12.75" customHeight="1" x14ac:dyDescent="0.1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</row>
    <row r="352" spans="1:19" ht="12.75" customHeight="1" x14ac:dyDescent="0.1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</row>
    <row r="353" spans="1:19" ht="12.75" customHeight="1" x14ac:dyDescent="0.1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</row>
    <row r="354" spans="1:19" ht="12.75" customHeight="1" x14ac:dyDescent="0.1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</row>
    <row r="355" spans="1:19" ht="12.75" customHeight="1" x14ac:dyDescent="0.1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</row>
    <row r="356" spans="1:19" ht="12.75" customHeight="1" x14ac:dyDescent="0.1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</row>
    <row r="357" spans="1:19" ht="12.75" customHeight="1" x14ac:dyDescent="0.1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</row>
    <row r="358" spans="1:19" ht="12.75" customHeight="1" x14ac:dyDescent="0.1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</row>
    <row r="359" spans="1:19" ht="12.75" customHeight="1" x14ac:dyDescent="0.1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</row>
    <row r="360" spans="1:19" ht="12.75" customHeight="1" x14ac:dyDescent="0.1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</row>
    <row r="361" spans="1:19" ht="12.75" customHeight="1" x14ac:dyDescent="0.1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</row>
    <row r="362" spans="1:19" ht="12.75" customHeight="1" x14ac:dyDescent="0.1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</row>
    <row r="363" spans="1:19" ht="12.75" customHeight="1" x14ac:dyDescent="0.1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</row>
    <row r="364" spans="1:19" ht="12.75" customHeight="1" x14ac:dyDescent="0.1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</row>
    <row r="365" spans="1:19" ht="12.75" customHeight="1" x14ac:dyDescent="0.1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</row>
    <row r="366" spans="1:19" ht="12.75" customHeight="1" x14ac:dyDescent="0.1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</row>
    <row r="367" spans="1:19" ht="12.75" customHeight="1" x14ac:dyDescent="0.1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</row>
    <row r="368" spans="1:19" ht="12.75" customHeight="1" x14ac:dyDescent="0.1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</row>
    <row r="369" spans="1:19" ht="12.75" customHeight="1" x14ac:dyDescent="0.1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</row>
    <row r="370" spans="1:19" ht="12.75" customHeight="1" x14ac:dyDescent="0.1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</row>
    <row r="371" spans="1:19" ht="12.75" customHeight="1" x14ac:dyDescent="0.1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</row>
    <row r="372" spans="1:19" ht="12.75" customHeight="1" x14ac:dyDescent="0.1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</row>
    <row r="373" spans="1:19" ht="12.75" customHeight="1" x14ac:dyDescent="0.1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</row>
    <row r="374" spans="1:19" ht="12.75" customHeight="1" x14ac:dyDescent="0.1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</row>
    <row r="375" spans="1:19" ht="12.75" customHeight="1" x14ac:dyDescent="0.1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</row>
    <row r="376" spans="1:19" ht="12.75" customHeight="1" x14ac:dyDescent="0.1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</row>
    <row r="377" spans="1:19" ht="12.75" customHeight="1" x14ac:dyDescent="0.1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</row>
    <row r="378" spans="1:19" ht="12.75" customHeight="1" x14ac:dyDescent="0.1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</row>
    <row r="379" spans="1:19" ht="12.75" customHeight="1" x14ac:dyDescent="0.1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</row>
    <row r="380" spans="1:19" ht="12.75" customHeight="1" x14ac:dyDescent="0.1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</row>
    <row r="381" spans="1:19" ht="12.75" customHeight="1" x14ac:dyDescent="0.1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</row>
    <row r="382" spans="1:19" ht="12.75" customHeight="1" x14ac:dyDescent="0.1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</row>
    <row r="383" spans="1:19" ht="12.75" customHeight="1" x14ac:dyDescent="0.1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</row>
    <row r="384" spans="1:19" ht="12.75" customHeight="1" x14ac:dyDescent="0.1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</row>
    <row r="385" spans="1:19" ht="12.75" customHeight="1" x14ac:dyDescent="0.1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</row>
    <row r="386" spans="1:19" ht="12.75" customHeight="1" x14ac:dyDescent="0.1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</row>
    <row r="387" spans="1:19" ht="12.75" customHeight="1" x14ac:dyDescent="0.1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</row>
    <row r="388" spans="1:19" ht="12.75" customHeight="1" x14ac:dyDescent="0.1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</row>
    <row r="389" spans="1:19" ht="12.75" customHeight="1" x14ac:dyDescent="0.1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</row>
    <row r="390" spans="1:19" ht="12.75" customHeight="1" x14ac:dyDescent="0.1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</row>
    <row r="391" spans="1:19" ht="12.75" customHeight="1" x14ac:dyDescent="0.1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</row>
    <row r="392" spans="1:19" ht="12.75" customHeight="1" x14ac:dyDescent="0.1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</row>
    <row r="393" spans="1:19" ht="12.75" customHeight="1" x14ac:dyDescent="0.1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</row>
    <row r="394" spans="1:19" ht="12.75" customHeight="1" x14ac:dyDescent="0.1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</row>
    <row r="395" spans="1:19" ht="12.75" customHeight="1" x14ac:dyDescent="0.1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</row>
    <row r="396" spans="1:19" ht="12.75" customHeight="1" x14ac:dyDescent="0.1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</row>
    <row r="397" spans="1:19" ht="12.75" customHeight="1" x14ac:dyDescent="0.1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</row>
    <row r="398" spans="1:19" ht="12.75" customHeight="1" x14ac:dyDescent="0.1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</row>
    <row r="399" spans="1:19" ht="12.75" customHeight="1" x14ac:dyDescent="0.1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</row>
    <row r="400" spans="1:19" ht="12.75" customHeight="1" x14ac:dyDescent="0.1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</row>
    <row r="401" spans="1:19" ht="12.75" customHeight="1" x14ac:dyDescent="0.1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</row>
    <row r="402" spans="1:19" ht="12.75" customHeight="1" x14ac:dyDescent="0.1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</row>
    <row r="403" spans="1:19" ht="12.75" customHeight="1" x14ac:dyDescent="0.1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</row>
    <row r="404" spans="1:19" ht="12.75" customHeight="1" x14ac:dyDescent="0.1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</row>
    <row r="405" spans="1:19" ht="12.75" customHeight="1" x14ac:dyDescent="0.1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</row>
    <row r="406" spans="1:19" ht="12.75" customHeight="1" x14ac:dyDescent="0.1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</row>
    <row r="407" spans="1:19" ht="12.75" customHeight="1" x14ac:dyDescent="0.1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</row>
    <row r="408" spans="1:19" ht="12.75" customHeight="1" x14ac:dyDescent="0.1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</row>
    <row r="409" spans="1:19" ht="12.75" customHeight="1" x14ac:dyDescent="0.1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</row>
    <row r="410" spans="1:19" ht="12.75" customHeight="1" x14ac:dyDescent="0.1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</row>
    <row r="411" spans="1:19" ht="12.75" customHeight="1" x14ac:dyDescent="0.1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</row>
    <row r="412" spans="1:19" ht="12.75" customHeight="1" x14ac:dyDescent="0.1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</row>
    <row r="413" spans="1:19" ht="12.75" customHeight="1" x14ac:dyDescent="0.1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</row>
    <row r="414" spans="1:19" ht="12.75" customHeight="1" x14ac:dyDescent="0.1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</row>
    <row r="415" spans="1:19" ht="12.75" customHeight="1" x14ac:dyDescent="0.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</row>
    <row r="416" spans="1:19" ht="12.75" customHeight="1" x14ac:dyDescent="0.1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</row>
    <row r="417" spans="1:19" ht="12.75" customHeight="1" x14ac:dyDescent="0.1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</row>
    <row r="418" spans="1:19" ht="12.75" customHeight="1" x14ac:dyDescent="0.1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</row>
    <row r="419" spans="1:19" ht="12.75" customHeight="1" x14ac:dyDescent="0.1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</row>
    <row r="420" spans="1:19" ht="12.75" customHeight="1" x14ac:dyDescent="0.1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</row>
    <row r="421" spans="1:19" ht="12.75" customHeight="1" x14ac:dyDescent="0.1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</row>
    <row r="422" spans="1:19" ht="12.75" customHeight="1" x14ac:dyDescent="0.1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</row>
    <row r="423" spans="1:19" ht="12.75" customHeight="1" x14ac:dyDescent="0.1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</row>
    <row r="424" spans="1:19" ht="12.75" customHeight="1" x14ac:dyDescent="0.1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</row>
    <row r="425" spans="1:19" ht="12.75" customHeight="1" x14ac:dyDescent="0.1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</row>
    <row r="426" spans="1:19" ht="12.75" customHeight="1" x14ac:dyDescent="0.1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</row>
    <row r="427" spans="1:19" ht="12.75" customHeight="1" x14ac:dyDescent="0.1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</row>
    <row r="428" spans="1:19" ht="12.75" customHeight="1" x14ac:dyDescent="0.1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</row>
    <row r="429" spans="1:19" ht="12.75" customHeight="1" x14ac:dyDescent="0.1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</row>
    <row r="430" spans="1:19" ht="12.75" customHeight="1" x14ac:dyDescent="0.1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</row>
    <row r="431" spans="1:19" ht="12.75" customHeight="1" x14ac:dyDescent="0.1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</row>
    <row r="432" spans="1:19" ht="12.75" customHeight="1" x14ac:dyDescent="0.1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</row>
    <row r="433" spans="1:19" ht="12.75" customHeight="1" x14ac:dyDescent="0.1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</row>
    <row r="434" spans="1:19" ht="12.75" customHeight="1" x14ac:dyDescent="0.1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</row>
    <row r="435" spans="1:19" ht="12.75" customHeight="1" x14ac:dyDescent="0.1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</row>
    <row r="436" spans="1:19" ht="12.75" customHeight="1" x14ac:dyDescent="0.1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</row>
    <row r="437" spans="1:19" ht="12.75" customHeight="1" x14ac:dyDescent="0.1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</row>
    <row r="438" spans="1:19" ht="12.75" customHeight="1" x14ac:dyDescent="0.1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</row>
    <row r="439" spans="1:19" ht="12.75" customHeight="1" x14ac:dyDescent="0.1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</row>
    <row r="440" spans="1:19" ht="12.75" customHeight="1" x14ac:dyDescent="0.1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</row>
    <row r="441" spans="1:19" ht="12.75" customHeight="1" x14ac:dyDescent="0.1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</row>
    <row r="442" spans="1:19" ht="12.75" customHeight="1" x14ac:dyDescent="0.1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</row>
    <row r="443" spans="1:19" ht="12.75" customHeight="1" x14ac:dyDescent="0.1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</row>
    <row r="444" spans="1:19" ht="12.75" customHeight="1" x14ac:dyDescent="0.1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</row>
    <row r="445" spans="1:19" ht="12.75" customHeight="1" x14ac:dyDescent="0.1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</row>
    <row r="446" spans="1:19" ht="12.75" customHeight="1" x14ac:dyDescent="0.1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</row>
    <row r="447" spans="1:19" ht="12.75" customHeight="1" x14ac:dyDescent="0.1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</row>
    <row r="448" spans="1:19" ht="12.75" customHeight="1" x14ac:dyDescent="0.1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</row>
    <row r="449" spans="1:19" ht="12.75" customHeight="1" x14ac:dyDescent="0.1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</row>
    <row r="450" spans="1:19" ht="12.75" customHeight="1" x14ac:dyDescent="0.1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</row>
    <row r="451" spans="1:19" ht="12.75" customHeight="1" x14ac:dyDescent="0.1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</row>
    <row r="452" spans="1:19" ht="12.75" customHeight="1" x14ac:dyDescent="0.1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</row>
    <row r="453" spans="1:19" ht="12.75" customHeight="1" x14ac:dyDescent="0.1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</row>
    <row r="454" spans="1:19" ht="12.75" customHeight="1" x14ac:dyDescent="0.1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</row>
    <row r="455" spans="1:19" ht="12.75" customHeight="1" x14ac:dyDescent="0.1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</row>
    <row r="456" spans="1:19" ht="12.75" customHeight="1" x14ac:dyDescent="0.1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</row>
    <row r="457" spans="1:19" ht="12.75" customHeight="1" x14ac:dyDescent="0.1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</row>
    <row r="458" spans="1:19" ht="12.75" customHeight="1" x14ac:dyDescent="0.1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</row>
    <row r="459" spans="1:19" ht="12.75" customHeight="1" x14ac:dyDescent="0.1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</row>
    <row r="460" spans="1:19" ht="12.75" customHeight="1" x14ac:dyDescent="0.1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</row>
    <row r="461" spans="1:19" ht="12.75" customHeight="1" x14ac:dyDescent="0.1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</row>
    <row r="462" spans="1:19" ht="12.75" customHeight="1" x14ac:dyDescent="0.1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</row>
    <row r="463" spans="1:19" ht="12.75" customHeight="1" x14ac:dyDescent="0.1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</row>
    <row r="464" spans="1:19" ht="12.75" customHeight="1" x14ac:dyDescent="0.1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</row>
    <row r="465" spans="1:19" ht="12.75" customHeight="1" x14ac:dyDescent="0.1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</row>
    <row r="466" spans="1:19" ht="12.75" customHeight="1" x14ac:dyDescent="0.1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</row>
    <row r="467" spans="1:19" ht="12.75" customHeight="1" x14ac:dyDescent="0.1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</row>
    <row r="468" spans="1:19" ht="12.75" customHeight="1" x14ac:dyDescent="0.1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</row>
    <row r="469" spans="1:19" ht="12.75" customHeight="1" x14ac:dyDescent="0.1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</row>
    <row r="470" spans="1:19" ht="12.75" customHeight="1" x14ac:dyDescent="0.1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</row>
    <row r="471" spans="1:19" ht="12.75" customHeight="1" x14ac:dyDescent="0.1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</row>
    <row r="472" spans="1:19" ht="12.75" customHeight="1" x14ac:dyDescent="0.1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</row>
    <row r="473" spans="1:19" ht="12.75" customHeight="1" x14ac:dyDescent="0.1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</row>
    <row r="474" spans="1:19" ht="12.75" customHeight="1" x14ac:dyDescent="0.1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</row>
    <row r="475" spans="1:19" ht="12.75" customHeight="1" x14ac:dyDescent="0.1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</row>
    <row r="476" spans="1:19" ht="12.75" customHeight="1" x14ac:dyDescent="0.1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</row>
    <row r="477" spans="1:19" ht="12.75" customHeight="1" x14ac:dyDescent="0.1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</row>
    <row r="478" spans="1:19" ht="12.75" customHeight="1" x14ac:dyDescent="0.1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</row>
    <row r="479" spans="1:19" ht="12.75" customHeight="1" x14ac:dyDescent="0.1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</row>
    <row r="480" spans="1:19" ht="12.75" customHeight="1" x14ac:dyDescent="0.1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</row>
    <row r="481" spans="1:19" ht="12.75" customHeight="1" x14ac:dyDescent="0.1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</row>
    <row r="482" spans="1:19" ht="12.75" customHeight="1" x14ac:dyDescent="0.1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</row>
    <row r="483" spans="1:19" ht="12.75" customHeight="1" x14ac:dyDescent="0.1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</row>
    <row r="484" spans="1:19" ht="12.75" customHeight="1" x14ac:dyDescent="0.1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</row>
    <row r="485" spans="1:19" ht="12.75" customHeight="1" x14ac:dyDescent="0.1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</row>
    <row r="486" spans="1:19" ht="12.75" customHeight="1" x14ac:dyDescent="0.1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</row>
    <row r="487" spans="1:19" ht="12.75" customHeight="1" x14ac:dyDescent="0.1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</row>
    <row r="488" spans="1:19" ht="12.75" customHeight="1" x14ac:dyDescent="0.1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</row>
    <row r="489" spans="1:19" ht="12.75" customHeight="1" x14ac:dyDescent="0.1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</row>
    <row r="490" spans="1:19" ht="12.75" customHeight="1" x14ac:dyDescent="0.1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</row>
    <row r="491" spans="1:19" ht="12.75" customHeight="1" x14ac:dyDescent="0.1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</row>
    <row r="492" spans="1:19" ht="12.75" customHeight="1" x14ac:dyDescent="0.1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</row>
    <row r="493" spans="1:19" ht="12.75" customHeight="1" x14ac:dyDescent="0.1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</row>
    <row r="494" spans="1:19" ht="12.75" customHeight="1" x14ac:dyDescent="0.1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</row>
    <row r="495" spans="1:19" ht="12.75" customHeight="1" x14ac:dyDescent="0.1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</row>
    <row r="496" spans="1:19" ht="12.75" customHeight="1" x14ac:dyDescent="0.1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</row>
    <row r="497" spans="1:19" ht="12.75" customHeight="1" x14ac:dyDescent="0.1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</row>
    <row r="498" spans="1:19" ht="12.75" customHeight="1" x14ac:dyDescent="0.1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</row>
    <row r="499" spans="1:19" ht="12.75" customHeight="1" x14ac:dyDescent="0.1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</row>
    <row r="500" spans="1:19" ht="12.75" customHeight="1" x14ac:dyDescent="0.1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</row>
    <row r="501" spans="1:19" ht="12.75" customHeight="1" x14ac:dyDescent="0.1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</row>
    <row r="502" spans="1:19" ht="12.75" customHeight="1" x14ac:dyDescent="0.1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</row>
    <row r="503" spans="1:19" ht="12.75" customHeight="1" x14ac:dyDescent="0.1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</row>
    <row r="504" spans="1:19" ht="12.75" customHeight="1" x14ac:dyDescent="0.1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</row>
    <row r="505" spans="1:19" ht="12.75" customHeight="1" x14ac:dyDescent="0.1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</row>
    <row r="506" spans="1:19" ht="12.75" customHeight="1" x14ac:dyDescent="0.1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</row>
    <row r="507" spans="1:19" ht="12.75" customHeight="1" x14ac:dyDescent="0.1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</row>
    <row r="508" spans="1:19" ht="12.75" customHeight="1" x14ac:dyDescent="0.1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</row>
    <row r="509" spans="1:19" ht="12.75" customHeight="1" x14ac:dyDescent="0.1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</row>
    <row r="510" spans="1:19" ht="12.75" customHeight="1" x14ac:dyDescent="0.1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</row>
    <row r="511" spans="1:19" ht="12.75" customHeight="1" x14ac:dyDescent="0.1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</row>
    <row r="512" spans="1:19" ht="12.75" customHeight="1" x14ac:dyDescent="0.1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</row>
    <row r="513" spans="1:19" ht="12.75" customHeight="1" x14ac:dyDescent="0.1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</row>
    <row r="514" spans="1:19" ht="12.75" customHeight="1" x14ac:dyDescent="0.1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</row>
    <row r="515" spans="1:19" ht="12.75" customHeight="1" x14ac:dyDescent="0.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</row>
    <row r="516" spans="1:19" ht="12.75" customHeight="1" x14ac:dyDescent="0.1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</row>
    <row r="517" spans="1:19" ht="12.75" customHeight="1" x14ac:dyDescent="0.1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</row>
    <row r="518" spans="1:19" ht="12.75" customHeight="1" x14ac:dyDescent="0.1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</row>
    <row r="519" spans="1:19" ht="12.75" customHeight="1" x14ac:dyDescent="0.1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</row>
    <row r="520" spans="1:19" ht="12.75" customHeight="1" x14ac:dyDescent="0.1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</row>
    <row r="521" spans="1:19" ht="12.75" customHeight="1" x14ac:dyDescent="0.1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</row>
    <row r="522" spans="1:19" ht="12.75" customHeight="1" x14ac:dyDescent="0.1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</row>
    <row r="523" spans="1:19" ht="12.75" customHeight="1" x14ac:dyDescent="0.1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</row>
    <row r="524" spans="1:19" ht="12.75" customHeight="1" x14ac:dyDescent="0.1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</row>
    <row r="525" spans="1:19" ht="12.75" customHeight="1" x14ac:dyDescent="0.1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</row>
    <row r="526" spans="1:19" ht="12.75" customHeight="1" x14ac:dyDescent="0.1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</row>
    <row r="527" spans="1:19" ht="12.75" customHeight="1" x14ac:dyDescent="0.1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</row>
    <row r="528" spans="1:19" ht="12.75" customHeight="1" x14ac:dyDescent="0.1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</row>
    <row r="529" spans="1:19" ht="12.75" customHeight="1" x14ac:dyDescent="0.1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</row>
    <row r="530" spans="1:19" ht="12.75" customHeight="1" x14ac:dyDescent="0.1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</row>
    <row r="531" spans="1:19" ht="12.75" customHeight="1" x14ac:dyDescent="0.1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</row>
    <row r="532" spans="1:19" ht="12.75" customHeight="1" x14ac:dyDescent="0.1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</row>
    <row r="533" spans="1:19" ht="12.75" customHeight="1" x14ac:dyDescent="0.1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</row>
    <row r="534" spans="1:19" ht="12.75" customHeight="1" x14ac:dyDescent="0.1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</row>
    <row r="535" spans="1:19" ht="12.75" customHeight="1" x14ac:dyDescent="0.1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</row>
    <row r="536" spans="1:19" ht="12.75" customHeight="1" x14ac:dyDescent="0.1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</row>
    <row r="537" spans="1:19" ht="12.75" customHeight="1" x14ac:dyDescent="0.1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</row>
    <row r="538" spans="1:19" ht="12.75" customHeight="1" x14ac:dyDescent="0.1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</row>
    <row r="539" spans="1:19" ht="12.75" customHeight="1" x14ac:dyDescent="0.1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</row>
    <row r="540" spans="1:19" ht="12.75" customHeight="1" x14ac:dyDescent="0.1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</row>
    <row r="541" spans="1:19" ht="12.75" customHeight="1" x14ac:dyDescent="0.1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</row>
    <row r="542" spans="1:19" ht="12.75" customHeight="1" x14ac:dyDescent="0.1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</row>
    <row r="543" spans="1:19" ht="12.75" customHeight="1" x14ac:dyDescent="0.1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</row>
    <row r="544" spans="1:19" ht="12.75" customHeight="1" x14ac:dyDescent="0.1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</row>
    <row r="545" spans="1:19" ht="12.75" customHeight="1" x14ac:dyDescent="0.1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</row>
    <row r="546" spans="1:19" ht="12.75" customHeight="1" x14ac:dyDescent="0.1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</row>
    <row r="547" spans="1:19" ht="12.75" customHeight="1" x14ac:dyDescent="0.1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</row>
    <row r="548" spans="1:19" ht="12.75" customHeight="1" x14ac:dyDescent="0.1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</row>
    <row r="549" spans="1:19" ht="12.75" customHeight="1" x14ac:dyDescent="0.1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</row>
    <row r="550" spans="1:19" ht="12.75" customHeight="1" x14ac:dyDescent="0.1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</row>
    <row r="551" spans="1:19" ht="12.75" customHeight="1" x14ac:dyDescent="0.1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</row>
    <row r="552" spans="1:19" ht="12.75" customHeight="1" x14ac:dyDescent="0.1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</row>
    <row r="553" spans="1:19" ht="12.75" customHeight="1" x14ac:dyDescent="0.1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</row>
    <row r="554" spans="1:19" ht="12.75" customHeight="1" x14ac:dyDescent="0.1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</row>
    <row r="555" spans="1:19" ht="12.75" customHeight="1" x14ac:dyDescent="0.1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</row>
    <row r="556" spans="1:19" ht="12.75" customHeight="1" x14ac:dyDescent="0.1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</row>
    <row r="557" spans="1:19" ht="12.75" customHeight="1" x14ac:dyDescent="0.1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</row>
    <row r="558" spans="1:19" ht="12.75" customHeight="1" x14ac:dyDescent="0.1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</row>
    <row r="559" spans="1:19" ht="12.75" customHeight="1" x14ac:dyDescent="0.1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</row>
    <row r="560" spans="1:19" ht="12.75" customHeight="1" x14ac:dyDescent="0.1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</row>
    <row r="561" spans="1:19" ht="12.75" customHeight="1" x14ac:dyDescent="0.1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</row>
    <row r="562" spans="1:19" ht="12.75" customHeight="1" x14ac:dyDescent="0.1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</row>
    <row r="563" spans="1:19" ht="12.75" customHeight="1" x14ac:dyDescent="0.1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</row>
    <row r="564" spans="1:19" ht="12.75" customHeight="1" x14ac:dyDescent="0.1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</row>
    <row r="565" spans="1:19" ht="12.75" customHeight="1" x14ac:dyDescent="0.1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</row>
    <row r="566" spans="1:19" ht="12.75" customHeight="1" x14ac:dyDescent="0.1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</row>
    <row r="567" spans="1:19" ht="12.75" customHeight="1" x14ac:dyDescent="0.1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</row>
    <row r="568" spans="1:19" ht="12.75" customHeight="1" x14ac:dyDescent="0.1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</row>
    <row r="569" spans="1:19" ht="12.75" customHeight="1" x14ac:dyDescent="0.1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</row>
    <row r="570" spans="1:19" ht="12.75" customHeight="1" x14ac:dyDescent="0.1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</row>
    <row r="571" spans="1:19" ht="12.75" customHeight="1" x14ac:dyDescent="0.1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</row>
    <row r="572" spans="1:19" ht="12.75" customHeight="1" x14ac:dyDescent="0.1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</row>
    <row r="573" spans="1:19" ht="12.75" customHeight="1" x14ac:dyDescent="0.1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</row>
    <row r="574" spans="1:19" ht="12.75" customHeight="1" x14ac:dyDescent="0.1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</row>
    <row r="575" spans="1:19" ht="12.75" customHeight="1" x14ac:dyDescent="0.1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</row>
    <row r="576" spans="1:19" ht="12.75" customHeight="1" x14ac:dyDescent="0.1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</row>
    <row r="577" spans="1:19" ht="12.75" customHeight="1" x14ac:dyDescent="0.1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</row>
    <row r="578" spans="1:19" ht="12.75" customHeight="1" x14ac:dyDescent="0.1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</row>
    <row r="579" spans="1:19" ht="12.75" customHeight="1" x14ac:dyDescent="0.1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</row>
    <row r="580" spans="1:19" ht="12.75" customHeight="1" x14ac:dyDescent="0.1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</row>
    <row r="581" spans="1:19" ht="12.75" customHeight="1" x14ac:dyDescent="0.1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</row>
    <row r="582" spans="1:19" ht="12.75" customHeight="1" x14ac:dyDescent="0.1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</row>
    <row r="583" spans="1:19" ht="12.75" customHeight="1" x14ac:dyDescent="0.1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</row>
    <row r="584" spans="1:19" ht="12.75" customHeight="1" x14ac:dyDescent="0.1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</row>
    <row r="585" spans="1:19" ht="12.75" customHeight="1" x14ac:dyDescent="0.1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</row>
    <row r="586" spans="1:19" ht="12.75" customHeight="1" x14ac:dyDescent="0.1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</row>
    <row r="587" spans="1:19" ht="12.75" customHeight="1" x14ac:dyDescent="0.1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</row>
    <row r="588" spans="1:19" ht="12.75" customHeight="1" x14ac:dyDescent="0.1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</row>
    <row r="589" spans="1:19" ht="12.75" customHeight="1" x14ac:dyDescent="0.1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</row>
    <row r="590" spans="1:19" ht="12.75" customHeight="1" x14ac:dyDescent="0.1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</row>
    <row r="591" spans="1:19" ht="12.75" customHeight="1" x14ac:dyDescent="0.1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</row>
    <row r="592" spans="1:19" ht="12.75" customHeight="1" x14ac:dyDescent="0.1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</row>
    <row r="593" spans="1:19" ht="12.75" customHeight="1" x14ac:dyDescent="0.1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</row>
    <row r="594" spans="1:19" ht="12.75" customHeight="1" x14ac:dyDescent="0.1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</row>
    <row r="595" spans="1:19" ht="12.75" customHeight="1" x14ac:dyDescent="0.1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</row>
    <row r="596" spans="1:19" ht="12.75" customHeight="1" x14ac:dyDescent="0.1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</row>
    <row r="597" spans="1:19" ht="12.75" customHeight="1" x14ac:dyDescent="0.1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</row>
    <row r="598" spans="1:19" ht="12.75" customHeight="1" x14ac:dyDescent="0.1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</row>
    <row r="599" spans="1:19" ht="12.75" customHeight="1" x14ac:dyDescent="0.1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</row>
    <row r="600" spans="1:19" ht="12.75" customHeight="1" x14ac:dyDescent="0.1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</row>
    <row r="601" spans="1:19" ht="12.75" customHeight="1" x14ac:dyDescent="0.1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</row>
    <row r="602" spans="1:19" ht="12.75" customHeight="1" x14ac:dyDescent="0.1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</row>
    <row r="603" spans="1:19" ht="12.75" customHeight="1" x14ac:dyDescent="0.1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</row>
    <row r="604" spans="1:19" ht="12.75" customHeight="1" x14ac:dyDescent="0.1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</row>
    <row r="605" spans="1:19" ht="12.75" customHeight="1" x14ac:dyDescent="0.1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</row>
    <row r="606" spans="1:19" ht="12.75" customHeight="1" x14ac:dyDescent="0.1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</row>
    <row r="607" spans="1:19" ht="12.75" customHeight="1" x14ac:dyDescent="0.1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</row>
    <row r="608" spans="1:19" ht="12.75" customHeight="1" x14ac:dyDescent="0.1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</row>
    <row r="609" spans="1:19" ht="12.75" customHeight="1" x14ac:dyDescent="0.1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</row>
    <row r="610" spans="1:19" ht="12.75" customHeight="1" x14ac:dyDescent="0.1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</row>
    <row r="611" spans="1:19" ht="12.75" customHeight="1" x14ac:dyDescent="0.1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</row>
    <row r="612" spans="1:19" ht="12.75" customHeight="1" x14ac:dyDescent="0.1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</row>
    <row r="613" spans="1:19" ht="12.75" customHeight="1" x14ac:dyDescent="0.1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</row>
    <row r="614" spans="1:19" ht="12.75" customHeight="1" x14ac:dyDescent="0.1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</row>
    <row r="615" spans="1:19" ht="12.75" customHeight="1" x14ac:dyDescent="0.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</row>
    <row r="616" spans="1:19" ht="12.75" customHeight="1" x14ac:dyDescent="0.1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</row>
    <row r="617" spans="1:19" ht="12.75" customHeight="1" x14ac:dyDescent="0.1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</row>
    <row r="618" spans="1:19" ht="12.75" customHeight="1" x14ac:dyDescent="0.1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</row>
    <row r="619" spans="1:19" ht="12.75" customHeight="1" x14ac:dyDescent="0.1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</row>
    <row r="620" spans="1:19" ht="12.75" customHeight="1" x14ac:dyDescent="0.1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</row>
    <row r="621" spans="1:19" ht="12.75" customHeight="1" x14ac:dyDescent="0.1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</row>
    <row r="622" spans="1:19" ht="12.75" customHeight="1" x14ac:dyDescent="0.1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</row>
    <row r="623" spans="1:19" ht="12.75" customHeight="1" x14ac:dyDescent="0.1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</row>
    <row r="624" spans="1:19" ht="12.75" customHeight="1" x14ac:dyDescent="0.1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</row>
    <row r="625" spans="1:19" ht="12.75" customHeight="1" x14ac:dyDescent="0.1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</row>
    <row r="626" spans="1:19" ht="12.75" customHeight="1" x14ac:dyDescent="0.1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</row>
    <row r="627" spans="1:19" ht="12.75" customHeight="1" x14ac:dyDescent="0.1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</row>
    <row r="628" spans="1:19" ht="12.75" customHeight="1" x14ac:dyDescent="0.1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</row>
    <row r="629" spans="1:19" ht="12.75" customHeight="1" x14ac:dyDescent="0.1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</row>
    <row r="630" spans="1:19" ht="12.75" customHeight="1" x14ac:dyDescent="0.1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</row>
    <row r="631" spans="1:19" ht="12.75" customHeight="1" x14ac:dyDescent="0.1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</row>
    <row r="632" spans="1:19" ht="12.75" customHeight="1" x14ac:dyDescent="0.1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</row>
    <row r="633" spans="1:19" ht="12.75" customHeight="1" x14ac:dyDescent="0.1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</row>
    <row r="634" spans="1:19" ht="12.75" customHeight="1" x14ac:dyDescent="0.1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</row>
    <row r="635" spans="1:19" ht="12.75" customHeight="1" x14ac:dyDescent="0.1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</row>
    <row r="636" spans="1:19" ht="12.75" customHeight="1" x14ac:dyDescent="0.1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</row>
    <row r="637" spans="1:19" ht="12.75" customHeight="1" x14ac:dyDescent="0.1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</row>
    <row r="638" spans="1:19" ht="12.75" customHeight="1" x14ac:dyDescent="0.1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</row>
    <row r="639" spans="1:19" ht="12.75" customHeight="1" x14ac:dyDescent="0.1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</row>
    <row r="640" spans="1:19" ht="12.75" customHeight="1" x14ac:dyDescent="0.1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</row>
    <row r="641" spans="1:19" ht="12.75" customHeight="1" x14ac:dyDescent="0.1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</row>
    <row r="642" spans="1:19" ht="12.75" customHeight="1" x14ac:dyDescent="0.1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</row>
    <row r="643" spans="1:19" ht="12.75" customHeight="1" x14ac:dyDescent="0.1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</row>
    <row r="644" spans="1:19" ht="12.75" customHeight="1" x14ac:dyDescent="0.1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</row>
    <row r="645" spans="1:19" ht="12.75" customHeight="1" x14ac:dyDescent="0.1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</row>
    <row r="646" spans="1:19" ht="12.75" customHeight="1" x14ac:dyDescent="0.1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</row>
    <row r="647" spans="1:19" ht="12.75" customHeight="1" x14ac:dyDescent="0.1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</row>
    <row r="648" spans="1:19" ht="12.75" customHeight="1" x14ac:dyDescent="0.1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</row>
    <row r="649" spans="1:19" ht="12.75" customHeight="1" x14ac:dyDescent="0.1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</row>
    <row r="650" spans="1:19" ht="12.75" customHeight="1" x14ac:dyDescent="0.1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</row>
    <row r="651" spans="1:19" ht="12.75" customHeight="1" x14ac:dyDescent="0.1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</row>
    <row r="652" spans="1:19" ht="12.75" customHeight="1" x14ac:dyDescent="0.1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</row>
    <row r="653" spans="1:19" ht="12.75" customHeight="1" x14ac:dyDescent="0.1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</row>
    <row r="654" spans="1:19" ht="12.75" customHeight="1" x14ac:dyDescent="0.1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</row>
    <row r="655" spans="1:19" ht="12.75" customHeight="1" x14ac:dyDescent="0.1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</row>
    <row r="656" spans="1:19" ht="12.75" customHeight="1" x14ac:dyDescent="0.1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</row>
    <row r="657" spans="1:19" ht="12.75" customHeight="1" x14ac:dyDescent="0.1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</row>
    <row r="658" spans="1:19" ht="12.75" customHeight="1" x14ac:dyDescent="0.1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</row>
    <row r="659" spans="1:19" ht="12.75" customHeight="1" x14ac:dyDescent="0.1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</row>
    <row r="660" spans="1:19" ht="12.75" customHeight="1" x14ac:dyDescent="0.1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</row>
    <row r="661" spans="1:19" ht="12.75" customHeight="1" x14ac:dyDescent="0.1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</row>
    <row r="662" spans="1:19" ht="12.75" customHeight="1" x14ac:dyDescent="0.1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</row>
    <row r="663" spans="1:19" ht="12.75" customHeight="1" x14ac:dyDescent="0.1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</row>
    <row r="664" spans="1:19" ht="12.75" customHeight="1" x14ac:dyDescent="0.1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</row>
    <row r="665" spans="1:19" ht="12.75" customHeight="1" x14ac:dyDescent="0.1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</row>
    <row r="666" spans="1:19" ht="12.75" customHeight="1" x14ac:dyDescent="0.1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</row>
    <row r="667" spans="1:19" ht="12.75" customHeight="1" x14ac:dyDescent="0.1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</row>
    <row r="668" spans="1:19" ht="12.75" customHeight="1" x14ac:dyDescent="0.1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</row>
    <row r="669" spans="1:19" ht="12.75" customHeight="1" x14ac:dyDescent="0.1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</row>
    <row r="670" spans="1:19" ht="12.75" customHeight="1" x14ac:dyDescent="0.1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</row>
    <row r="671" spans="1:19" ht="12.75" customHeight="1" x14ac:dyDescent="0.1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</row>
    <row r="672" spans="1:19" ht="12.75" customHeight="1" x14ac:dyDescent="0.1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</row>
    <row r="673" spans="1:19" ht="12.75" customHeight="1" x14ac:dyDescent="0.1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</row>
    <row r="674" spans="1:19" ht="12.75" customHeight="1" x14ac:dyDescent="0.1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</row>
    <row r="675" spans="1:19" ht="12.75" customHeight="1" x14ac:dyDescent="0.1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</row>
    <row r="676" spans="1:19" ht="12.75" customHeight="1" x14ac:dyDescent="0.1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</row>
    <row r="677" spans="1:19" ht="12.75" customHeight="1" x14ac:dyDescent="0.1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</row>
    <row r="678" spans="1:19" ht="12.75" customHeight="1" x14ac:dyDescent="0.1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</row>
    <row r="679" spans="1:19" ht="12.75" customHeight="1" x14ac:dyDescent="0.1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</row>
    <row r="680" spans="1:19" ht="12.75" customHeight="1" x14ac:dyDescent="0.1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</row>
    <row r="681" spans="1:19" ht="12.75" customHeight="1" x14ac:dyDescent="0.1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</row>
    <row r="682" spans="1:19" ht="12.75" customHeight="1" x14ac:dyDescent="0.1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</row>
    <row r="683" spans="1:19" ht="12.75" customHeight="1" x14ac:dyDescent="0.1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</row>
    <row r="684" spans="1:19" ht="12.75" customHeight="1" x14ac:dyDescent="0.1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</row>
    <row r="685" spans="1:19" ht="12.75" customHeight="1" x14ac:dyDescent="0.1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</row>
    <row r="686" spans="1:19" ht="12.75" customHeight="1" x14ac:dyDescent="0.1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</row>
    <row r="687" spans="1:19" ht="12.75" customHeight="1" x14ac:dyDescent="0.1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</row>
    <row r="688" spans="1:19" ht="12.75" customHeight="1" x14ac:dyDescent="0.1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</row>
    <row r="689" spans="1:19" ht="12.75" customHeight="1" x14ac:dyDescent="0.1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</row>
    <row r="690" spans="1:19" ht="12.75" customHeight="1" x14ac:dyDescent="0.1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</row>
    <row r="691" spans="1:19" ht="12.75" customHeight="1" x14ac:dyDescent="0.1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</row>
    <row r="692" spans="1:19" ht="12.75" customHeight="1" x14ac:dyDescent="0.1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</row>
    <row r="693" spans="1:19" ht="12.75" customHeight="1" x14ac:dyDescent="0.1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</row>
    <row r="694" spans="1:19" ht="12.75" customHeight="1" x14ac:dyDescent="0.1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</row>
    <row r="695" spans="1:19" ht="12.75" customHeight="1" x14ac:dyDescent="0.1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</row>
    <row r="696" spans="1:19" ht="12.75" customHeight="1" x14ac:dyDescent="0.1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</row>
    <row r="697" spans="1:19" ht="12.75" customHeight="1" x14ac:dyDescent="0.1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</row>
    <row r="698" spans="1:19" ht="12.75" customHeight="1" x14ac:dyDescent="0.1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</row>
    <row r="699" spans="1:19" ht="12.75" customHeight="1" x14ac:dyDescent="0.1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</row>
    <row r="700" spans="1:19" ht="12.75" customHeight="1" x14ac:dyDescent="0.1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</row>
    <row r="701" spans="1:19" ht="12.75" customHeight="1" x14ac:dyDescent="0.1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</row>
    <row r="702" spans="1:19" ht="12.75" customHeight="1" x14ac:dyDescent="0.1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</row>
    <row r="703" spans="1:19" ht="12.75" customHeight="1" x14ac:dyDescent="0.1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</row>
    <row r="704" spans="1:19" ht="12.75" customHeight="1" x14ac:dyDescent="0.1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</row>
    <row r="705" spans="1:19" ht="12.75" customHeight="1" x14ac:dyDescent="0.1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</row>
    <row r="706" spans="1:19" ht="12.75" customHeight="1" x14ac:dyDescent="0.1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</row>
    <row r="707" spans="1:19" ht="12.75" customHeight="1" x14ac:dyDescent="0.1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</row>
    <row r="708" spans="1:19" ht="12.75" customHeight="1" x14ac:dyDescent="0.1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</row>
    <row r="709" spans="1:19" ht="12.75" customHeight="1" x14ac:dyDescent="0.1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</row>
    <row r="710" spans="1:19" ht="12.75" customHeight="1" x14ac:dyDescent="0.1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</row>
    <row r="711" spans="1:19" ht="12.75" customHeight="1" x14ac:dyDescent="0.1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</row>
    <row r="712" spans="1:19" ht="12.75" customHeight="1" x14ac:dyDescent="0.1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</row>
    <row r="713" spans="1:19" ht="12.75" customHeight="1" x14ac:dyDescent="0.1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</row>
    <row r="714" spans="1:19" ht="12.75" customHeight="1" x14ac:dyDescent="0.1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</row>
    <row r="715" spans="1:19" ht="12.75" customHeight="1" x14ac:dyDescent="0.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</row>
    <row r="716" spans="1:19" ht="12.75" customHeight="1" x14ac:dyDescent="0.1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</row>
    <row r="717" spans="1:19" ht="12.75" customHeight="1" x14ac:dyDescent="0.1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</row>
    <row r="718" spans="1:19" ht="12.75" customHeight="1" x14ac:dyDescent="0.1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</row>
    <row r="719" spans="1:19" ht="12.75" customHeight="1" x14ac:dyDescent="0.1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</row>
    <row r="720" spans="1:19" ht="12.75" customHeight="1" x14ac:dyDescent="0.1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</row>
    <row r="721" spans="1:19" ht="12.75" customHeight="1" x14ac:dyDescent="0.1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</row>
    <row r="722" spans="1:19" ht="12.75" customHeight="1" x14ac:dyDescent="0.1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</row>
    <row r="723" spans="1:19" ht="12.75" customHeight="1" x14ac:dyDescent="0.1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</row>
    <row r="724" spans="1:19" ht="12.75" customHeight="1" x14ac:dyDescent="0.1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</row>
    <row r="725" spans="1:19" ht="12.75" customHeight="1" x14ac:dyDescent="0.1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</row>
    <row r="726" spans="1:19" ht="12.75" customHeight="1" x14ac:dyDescent="0.1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</row>
    <row r="727" spans="1:19" ht="12.75" customHeight="1" x14ac:dyDescent="0.1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</row>
    <row r="728" spans="1:19" ht="12.75" customHeight="1" x14ac:dyDescent="0.1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</row>
    <row r="729" spans="1:19" ht="12.75" customHeight="1" x14ac:dyDescent="0.1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</row>
    <row r="730" spans="1:19" ht="12.75" customHeight="1" x14ac:dyDescent="0.1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</row>
    <row r="731" spans="1:19" ht="12.75" customHeight="1" x14ac:dyDescent="0.1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</row>
    <row r="732" spans="1:19" ht="12.75" customHeight="1" x14ac:dyDescent="0.1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</row>
    <row r="733" spans="1:19" ht="12.75" customHeight="1" x14ac:dyDescent="0.1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</row>
    <row r="734" spans="1:19" ht="12.75" customHeight="1" x14ac:dyDescent="0.1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</row>
    <row r="735" spans="1:19" ht="12.75" customHeight="1" x14ac:dyDescent="0.1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</row>
    <row r="736" spans="1:19" ht="12.75" customHeight="1" x14ac:dyDescent="0.1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</row>
    <row r="737" spans="1:19" ht="12.75" customHeight="1" x14ac:dyDescent="0.1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</row>
    <row r="738" spans="1:19" ht="12.75" customHeight="1" x14ac:dyDescent="0.1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</row>
    <row r="739" spans="1:19" ht="12.75" customHeight="1" x14ac:dyDescent="0.1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</row>
    <row r="740" spans="1:19" ht="12.75" customHeight="1" x14ac:dyDescent="0.1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</row>
    <row r="741" spans="1:19" ht="12.75" customHeight="1" x14ac:dyDescent="0.1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</row>
    <row r="742" spans="1:19" ht="12.75" customHeight="1" x14ac:dyDescent="0.1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</row>
    <row r="743" spans="1:19" ht="12.75" customHeight="1" x14ac:dyDescent="0.1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</row>
    <row r="744" spans="1:19" ht="12.75" customHeight="1" x14ac:dyDescent="0.1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</row>
    <row r="745" spans="1:19" ht="12.75" customHeight="1" x14ac:dyDescent="0.1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</row>
    <row r="746" spans="1:19" ht="12.75" customHeight="1" x14ac:dyDescent="0.1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</row>
    <row r="747" spans="1:19" ht="12.75" customHeight="1" x14ac:dyDescent="0.1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</row>
    <row r="748" spans="1:19" ht="12.75" customHeight="1" x14ac:dyDescent="0.1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</row>
    <row r="749" spans="1:19" ht="12.75" customHeight="1" x14ac:dyDescent="0.1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</row>
    <row r="750" spans="1:19" ht="12.75" customHeight="1" x14ac:dyDescent="0.1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</row>
    <row r="751" spans="1:19" ht="12.75" customHeight="1" x14ac:dyDescent="0.1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</row>
    <row r="752" spans="1:19" ht="12.75" customHeight="1" x14ac:dyDescent="0.1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</row>
    <row r="753" spans="1:19" ht="12.75" customHeight="1" x14ac:dyDescent="0.1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</row>
    <row r="754" spans="1:19" ht="12.75" customHeight="1" x14ac:dyDescent="0.1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</row>
    <row r="755" spans="1:19" ht="12.75" customHeight="1" x14ac:dyDescent="0.1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</row>
    <row r="756" spans="1:19" ht="12.75" customHeight="1" x14ac:dyDescent="0.1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</row>
    <row r="757" spans="1:19" ht="12.75" customHeight="1" x14ac:dyDescent="0.1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</row>
    <row r="758" spans="1:19" ht="12.75" customHeight="1" x14ac:dyDescent="0.1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</row>
    <row r="759" spans="1:19" ht="12.75" customHeight="1" x14ac:dyDescent="0.1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</row>
    <row r="760" spans="1:19" ht="12.75" customHeight="1" x14ac:dyDescent="0.1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</row>
    <row r="761" spans="1:19" ht="12.75" customHeight="1" x14ac:dyDescent="0.1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</row>
    <row r="762" spans="1:19" ht="12.75" customHeight="1" x14ac:dyDescent="0.1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</row>
    <row r="763" spans="1:19" ht="12.75" customHeight="1" x14ac:dyDescent="0.1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</row>
    <row r="764" spans="1:19" ht="12.75" customHeight="1" x14ac:dyDescent="0.1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</row>
    <row r="765" spans="1:19" ht="12.75" customHeight="1" x14ac:dyDescent="0.1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</row>
    <row r="766" spans="1:19" ht="12.75" customHeight="1" x14ac:dyDescent="0.1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</row>
    <row r="767" spans="1:19" ht="12.75" customHeight="1" x14ac:dyDescent="0.1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</row>
    <row r="768" spans="1:19" ht="12.75" customHeight="1" x14ac:dyDescent="0.1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</row>
    <row r="769" spans="1:19" ht="12.75" customHeight="1" x14ac:dyDescent="0.1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</row>
    <row r="770" spans="1:19" ht="12.75" customHeight="1" x14ac:dyDescent="0.1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</row>
    <row r="771" spans="1:19" ht="12.75" customHeight="1" x14ac:dyDescent="0.1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</row>
    <row r="772" spans="1:19" ht="12.75" customHeight="1" x14ac:dyDescent="0.1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</row>
    <row r="773" spans="1:19" ht="12.75" customHeight="1" x14ac:dyDescent="0.1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</row>
    <row r="774" spans="1:19" ht="12.75" customHeight="1" x14ac:dyDescent="0.1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</row>
    <row r="775" spans="1:19" ht="12.75" customHeight="1" x14ac:dyDescent="0.1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</row>
    <row r="776" spans="1:19" ht="12.75" customHeight="1" x14ac:dyDescent="0.1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</row>
    <row r="777" spans="1:19" ht="12.75" customHeight="1" x14ac:dyDescent="0.1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</row>
    <row r="778" spans="1:19" ht="12.75" customHeight="1" x14ac:dyDescent="0.1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</row>
    <row r="779" spans="1:19" ht="12.75" customHeight="1" x14ac:dyDescent="0.1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</row>
    <row r="780" spans="1:19" ht="12.75" customHeight="1" x14ac:dyDescent="0.1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</row>
    <row r="781" spans="1:19" ht="12.75" customHeight="1" x14ac:dyDescent="0.1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</row>
    <row r="782" spans="1:19" ht="12.75" customHeight="1" x14ac:dyDescent="0.1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</row>
    <row r="783" spans="1:19" ht="12.75" customHeight="1" x14ac:dyDescent="0.1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</row>
    <row r="784" spans="1:19" ht="12.75" customHeight="1" x14ac:dyDescent="0.1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</row>
    <row r="785" spans="1:19" ht="12.75" customHeight="1" x14ac:dyDescent="0.1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</row>
    <row r="786" spans="1:19" ht="12.75" customHeight="1" x14ac:dyDescent="0.1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</row>
    <row r="787" spans="1:19" ht="12.75" customHeight="1" x14ac:dyDescent="0.1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</row>
    <row r="788" spans="1:19" ht="12.75" customHeight="1" x14ac:dyDescent="0.1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</row>
    <row r="789" spans="1:19" ht="12.75" customHeight="1" x14ac:dyDescent="0.1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</row>
    <row r="790" spans="1:19" ht="12.75" customHeight="1" x14ac:dyDescent="0.1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</row>
    <row r="791" spans="1:19" ht="12.75" customHeight="1" x14ac:dyDescent="0.1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</row>
    <row r="792" spans="1:19" ht="12.75" customHeight="1" x14ac:dyDescent="0.1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</row>
    <row r="793" spans="1:19" ht="12.75" customHeight="1" x14ac:dyDescent="0.1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</row>
    <row r="794" spans="1:19" ht="12.75" customHeight="1" x14ac:dyDescent="0.1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</row>
    <row r="795" spans="1:19" ht="12.75" customHeight="1" x14ac:dyDescent="0.1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</row>
    <row r="796" spans="1:19" ht="12.75" customHeight="1" x14ac:dyDescent="0.1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</row>
    <row r="797" spans="1:19" ht="12.75" customHeight="1" x14ac:dyDescent="0.1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</row>
    <row r="798" spans="1:19" ht="12.75" customHeight="1" x14ac:dyDescent="0.1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</row>
    <row r="799" spans="1:19" ht="12.75" customHeight="1" x14ac:dyDescent="0.1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</row>
    <row r="800" spans="1:19" ht="12.75" customHeight="1" x14ac:dyDescent="0.1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</row>
    <row r="801" spans="1:19" ht="12.75" customHeight="1" x14ac:dyDescent="0.1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</row>
    <row r="802" spans="1:19" ht="12.75" customHeight="1" x14ac:dyDescent="0.1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</row>
    <row r="803" spans="1:19" ht="12.75" customHeight="1" x14ac:dyDescent="0.1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</row>
    <row r="804" spans="1:19" ht="12.75" customHeight="1" x14ac:dyDescent="0.1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</row>
    <row r="805" spans="1:19" ht="12.75" customHeight="1" x14ac:dyDescent="0.1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</row>
    <row r="806" spans="1:19" ht="12.75" customHeight="1" x14ac:dyDescent="0.1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</row>
    <row r="807" spans="1:19" ht="12.75" customHeight="1" x14ac:dyDescent="0.1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</row>
    <row r="808" spans="1:19" ht="12.75" customHeight="1" x14ac:dyDescent="0.1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</row>
    <row r="809" spans="1:19" ht="12.75" customHeight="1" x14ac:dyDescent="0.1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</row>
    <row r="810" spans="1:19" ht="12.75" customHeight="1" x14ac:dyDescent="0.1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</row>
    <row r="811" spans="1:19" ht="12.75" customHeight="1" x14ac:dyDescent="0.1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</row>
    <row r="812" spans="1:19" ht="12.75" customHeight="1" x14ac:dyDescent="0.1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</row>
    <row r="813" spans="1:19" ht="12.75" customHeight="1" x14ac:dyDescent="0.1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</row>
    <row r="814" spans="1:19" ht="12.75" customHeight="1" x14ac:dyDescent="0.1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</row>
    <row r="815" spans="1:19" ht="12.75" customHeight="1" x14ac:dyDescent="0.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</row>
    <row r="816" spans="1:19" ht="12.75" customHeight="1" x14ac:dyDescent="0.1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</row>
    <row r="817" spans="1:19" ht="12.75" customHeight="1" x14ac:dyDescent="0.1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</row>
    <row r="818" spans="1:19" ht="12.75" customHeight="1" x14ac:dyDescent="0.1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</row>
    <row r="819" spans="1:19" ht="12.75" customHeight="1" x14ac:dyDescent="0.1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</row>
    <row r="820" spans="1:19" ht="12.75" customHeight="1" x14ac:dyDescent="0.1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</row>
    <row r="821" spans="1:19" ht="12.75" customHeight="1" x14ac:dyDescent="0.1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</row>
    <row r="822" spans="1:19" ht="12.75" customHeight="1" x14ac:dyDescent="0.1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</row>
    <row r="823" spans="1:19" ht="12.75" customHeight="1" x14ac:dyDescent="0.1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</row>
    <row r="824" spans="1:19" ht="12.75" customHeight="1" x14ac:dyDescent="0.1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</row>
    <row r="825" spans="1:19" ht="12.75" customHeight="1" x14ac:dyDescent="0.1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</row>
    <row r="826" spans="1:19" ht="12.75" customHeight="1" x14ac:dyDescent="0.1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</row>
    <row r="827" spans="1:19" ht="12.75" customHeight="1" x14ac:dyDescent="0.1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</row>
    <row r="828" spans="1:19" ht="12.75" customHeight="1" x14ac:dyDescent="0.1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</row>
    <row r="829" spans="1:19" ht="12.75" customHeight="1" x14ac:dyDescent="0.1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</row>
    <row r="830" spans="1:19" ht="12.75" customHeight="1" x14ac:dyDescent="0.1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</row>
    <row r="831" spans="1:19" ht="12.75" customHeight="1" x14ac:dyDescent="0.1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</row>
    <row r="832" spans="1:19" ht="12.75" customHeight="1" x14ac:dyDescent="0.1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</row>
    <row r="833" spans="1:19" ht="12.75" customHeight="1" x14ac:dyDescent="0.1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</row>
    <row r="834" spans="1:19" ht="12.75" customHeight="1" x14ac:dyDescent="0.1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</row>
    <row r="835" spans="1:19" ht="12.75" customHeight="1" x14ac:dyDescent="0.1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</row>
    <row r="836" spans="1:19" ht="12.75" customHeight="1" x14ac:dyDescent="0.1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</row>
    <row r="837" spans="1:19" ht="12.75" customHeight="1" x14ac:dyDescent="0.1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</row>
    <row r="838" spans="1:19" ht="12.75" customHeight="1" x14ac:dyDescent="0.1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</row>
    <row r="839" spans="1:19" ht="12.75" customHeight="1" x14ac:dyDescent="0.1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</row>
    <row r="840" spans="1:19" ht="12.75" customHeight="1" x14ac:dyDescent="0.1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</row>
    <row r="841" spans="1:19" ht="12.75" customHeight="1" x14ac:dyDescent="0.1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</row>
    <row r="842" spans="1:19" ht="12.75" customHeight="1" x14ac:dyDescent="0.1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</row>
    <row r="843" spans="1:19" ht="12.75" customHeight="1" x14ac:dyDescent="0.1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</row>
    <row r="844" spans="1:19" ht="12.75" customHeight="1" x14ac:dyDescent="0.1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</row>
    <row r="845" spans="1:19" ht="12.75" customHeight="1" x14ac:dyDescent="0.1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</row>
    <row r="846" spans="1:19" ht="12.75" customHeight="1" x14ac:dyDescent="0.1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</row>
    <row r="847" spans="1:19" ht="12.75" customHeight="1" x14ac:dyDescent="0.1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</row>
    <row r="848" spans="1:19" ht="12.75" customHeight="1" x14ac:dyDescent="0.1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</row>
    <row r="849" spans="1:19" ht="12.75" customHeight="1" x14ac:dyDescent="0.1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</row>
    <row r="850" spans="1:19" ht="12.75" customHeight="1" x14ac:dyDescent="0.1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</row>
    <row r="851" spans="1:19" ht="12.75" customHeight="1" x14ac:dyDescent="0.1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</row>
    <row r="852" spans="1:19" ht="12.75" customHeight="1" x14ac:dyDescent="0.1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</row>
    <row r="853" spans="1:19" ht="12.75" customHeight="1" x14ac:dyDescent="0.1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</row>
    <row r="854" spans="1:19" ht="12.75" customHeight="1" x14ac:dyDescent="0.1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</row>
    <row r="855" spans="1:19" ht="12.75" customHeight="1" x14ac:dyDescent="0.1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</row>
    <row r="856" spans="1:19" ht="12.75" customHeight="1" x14ac:dyDescent="0.1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</row>
    <row r="857" spans="1:19" ht="12.75" customHeight="1" x14ac:dyDescent="0.1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</row>
    <row r="858" spans="1:19" ht="12.75" customHeight="1" x14ac:dyDescent="0.1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</row>
    <row r="859" spans="1:19" ht="12.75" customHeight="1" x14ac:dyDescent="0.1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</row>
    <row r="860" spans="1:19" ht="12.75" customHeight="1" x14ac:dyDescent="0.1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</row>
    <row r="861" spans="1:19" ht="12.75" customHeight="1" x14ac:dyDescent="0.1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</row>
    <row r="862" spans="1:19" ht="12.75" customHeight="1" x14ac:dyDescent="0.1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</row>
    <row r="863" spans="1:19" ht="12.75" customHeight="1" x14ac:dyDescent="0.1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</row>
    <row r="864" spans="1:19" ht="12.75" customHeight="1" x14ac:dyDescent="0.1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</row>
    <row r="865" spans="1:19" ht="12.75" customHeight="1" x14ac:dyDescent="0.1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</row>
    <row r="866" spans="1:19" ht="12.75" customHeight="1" x14ac:dyDescent="0.1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</row>
    <row r="867" spans="1:19" ht="12.75" customHeight="1" x14ac:dyDescent="0.1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</row>
    <row r="868" spans="1:19" ht="12.75" customHeight="1" x14ac:dyDescent="0.1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</row>
    <row r="869" spans="1:19" ht="12.75" customHeight="1" x14ac:dyDescent="0.1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</row>
    <row r="870" spans="1:19" ht="12.75" customHeight="1" x14ac:dyDescent="0.1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</row>
    <row r="871" spans="1:19" ht="12.75" customHeight="1" x14ac:dyDescent="0.1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</row>
    <row r="872" spans="1:19" ht="12.75" customHeight="1" x14ac:dyDescent="0.1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</row>
    <row r="873" spans="1:19" ht="12.75" customHeight="1" x14ac:dyDescent="0.1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</row>
    <row r="874" spans="1:19" ht="12.75" customHeight="1" x14ac:dyDescent="0.1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</row>
    <row r="875" spans="1:19" ht="12.75" customHeight="1" x14ac:dyDescent="0.1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</row>
    <row r="876" spans="1:19" ht="12.75" customHeight="1" x14ac:dyDescent="0.1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</row>
    <row r="877" spans="1:19" ht="12.75" customHeight="1" x14ac:dyDescent="0.1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</row>
    <row r="878" spans="1:19" ht="12.75" customHeight="1" x14ac:dyDescent="0.1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</row>
    <row r="879" spans="1:19" ht="12.75" customHeight="1" x14ac:dyDescent="0.1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</row>
    <row r="880" spans="1:19" ht="12.75" customHeight="1" x14ac:dyDescent="0.1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</row>
    <row r="881" spans="1:19" ht="12.75" customHeight="1" x14ac:dyDescent="0.1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</row>
    <row r="882" spans="1:19" ht="12.75" customHeight="1" x14ac:dyDescent="0.1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</row>
    <row r="883" spans="1:19" ht="12.75" customHeight="1" x14ac:dyDescent="0.1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</row>
    <row r="884" spans="1:19" ht="12.75" customHeight="1" x14ac:dyDescent="0.1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</row>
    <row r="885" spans="1:19" ht="12.75" customHeight="1" x14ac:dyDescent="0.1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</row>
    <row r="886" spans="1:19" ht="12.75" customHeight="1" x14ac:dyDescent="0.1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</row>
    <row r="887" spans="1:19" ht="12.75" customHeight="1" x14ac:dyDescent="0.1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</row>
    <row r="888" spans="1:19" ht="12.75" customHeight="1" x14ac:dyDescent="0.1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</row>
    <row r="889" spans="1:19" ht="12.75" customHeight="1" x14ac:dyDescent="0.1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</row>
    <row r="890" spans="1:19" ht="12.75" customHeight="1" x14ac:dyDescent="0.1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</row>
    <row r="891" spans="1:19" ht="12.75" customHeight="1" x14ac:dyDescent="0.1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</row>
    <row r="892" spans="1:19" ht="12.75" customHeight="1" x14ac:dyDescent="0.1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</row>
    <row r="893" spans="1:19" ht="12.75" customHeight="1" x14ac:dyDescent="0.1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</row>
    <row r="894" spans="1:19" ht="12.75" customHeight="1" x14ac:dyDescent="0.1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</row>
    <row r="895" spans="1:19" ht="12.75" customHeight="1" x14ac:dyDescent="0.1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</row>
    <row r="896" spans="1:19" ht="12.75" customHeight="1" x14ac:dyDescent="0.1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</row>
    <row r="897" spans="1:19" ht="12.75" customHeight="1" x14ac:dyDescent="0.1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</row>
    <row r="898" spans="1:19" ht="12.75" customHeight="1" x14ac:dyDescent="0.1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</row>
    <row r="899" spans="1:19" ht="12.75" customHeight="1" x14ac:dyDescent="0.1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</row>
    <row r="900" spans="1:19" ht="12.75" customHeight="1" x14ac:dyDescent="0.1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</row>
    <row r="901" spans="1:19" ht="12.75" customHeight="1" x14ac:dyDescent="0.1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</row>
    <row r="902" spans="1:19" ht="12.75" customHeight="1" x14ac:dyDescent="0.1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</row>
    <row r="903" spans="1:19" ht="12.75" customHeight="1" x14ac:dyDescent="0.1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</row>
    <row r="904" spans="1:19" ht="12.75" customHeight="1" x14ac:dyDescent="0.1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</row>
    <row r="905" spans="1:19" ht="12.75" customHeight="1" x14ac:dyDescent="0.1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</row>
    <row r="906" spans="1:19" ht="12.75" customHeight="1" x14ac:dyDescent="0.1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</row>
    <row r="907" spans="1:19" ht="12.75" customHeight="1" x14ac:dyDescent="0.1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</row>
    <row r="908" spans="1:19" ht="12.75" customHeight="1" x14ac:dyDescent="0.1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</row>
    <row r="909" spans="1:19" ht="12.75" customHeight="1" x14ac:dyDescent="0.1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</row>
    <row r="910" spans="1:19" ht="12.75" customHeight="1" x14ac:dyDescent="0.1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</row>
    <row r="911" spans="1:19" ht="12.75" customHeight="1" x14ac:dyDescent="0.1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</row>
    <row r="912" spans="1:19" ht="12.75" customHeight="1" x14ac:dyDescent="0.1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</row>
    <row r="913" spans="1:19" ht="12.75" customHeight="1" x14ac:dyDescent="0.1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</row>
    <row r="914" spans="1:19" ht="12.75" customHeight="1" x14ac:dyDescent="0.1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</row>
    <row r="915" spans="1:19" ht="12.75" customHeight="1" x14ac:dyDescent="0.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</row>
    <row r="916" spans="1:19" ht="12.75" customHeight="1" x14ac:dyDescent="0.1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</row>
    <row r="917" spans="1:19" ht="12.75" customHeight="1" x14ac:dyDescent="0.1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</row>
    <row r="918" spans="1:19" ht="12.75" customHeight="1" x14ac:dyDescent="0.1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</row>
    <row r="919" spans="1:19" ht="12.75" customHeight="1" x14ac:dyDescent="0.1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</row>
    <row r="920" spans="1:19" ht="12.75" customHeight="1" x14ac:dyDescent="0.1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</row>
    <row r="921" spans="1:19" ht="12.75" customHeight="1" x14ac:dyDescent="0.1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</row>
    <row r="922" spans="1:19" ht="12.75" customHeight="1" x14ac:dyDescent="0.1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</row>
    <row r="923" spans="1:19" ht="12.75" customHeight="1" x14ac:dyDescent="0.1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</row>
    <row r="924" spans="1:19" ht="12.75" customHeight="1" x14ac:dyDescent="0.1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</row>
    <row r="925" spans="1:19" ht="12.75" customHeight="1" x14ac:dyDescent="0.1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</row>
    <row r="926" spans="1:19" ht="12.75" customHeight="1" x14ac:dyDescent="0.1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</row>
    <row r="927" spans="1:19" ht="12.75" customHeight="1" x14ac:dyDescent="0.1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</row>
    <row r="928" spans="1:19" ht="12.75" customHeight="1" x14ac:dyDescent="0.1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</row>
    <row r="929" spans="1:19" ht="12.75" customHeight="1" x14ac:dyDescent="0.1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</row>
    <row r="930" spans="1:19" ht="12.75" customHeight="1" x14ac:dyDescent="0.1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</row>
    <row r="931" spans="1:19" ht="12.75" customHeight="1" x14ac:dyDescent="0.1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</row>
    <row r="932" spans="1:19" ht="12.75" customHeight="1" x14ac:dyDescent="0.1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</row>
    <row r="933" spans="1:19" ht="12.75" customHeight="1" x14ac:dyDescent="0.1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</row>
    <row r="934" spans="1:19" ht="12.75" customHeight="1" x14ac:dyDescent="0.1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</row>
    <row r="935" spans="1:19" ht="12.75" customHeight="1" x14ac:dyDescent="0.1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</row>
    <row r="936" spans="1:19" ht="12.75" customHeight="1" x14ac:dyDescent="0.1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</row>
    <row r="937" spans="1:19" ht="12.75" customHeight="1" x14ac:dyDescent="0.1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</row>
    <row r="938" spans="1:19" ht="12.75" customHeight="1" x14ac:dyDescent="0.1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</row>
    <row r="939" spans="1:19" ht="12.75" customHeight="1" x14ac:dyDescent="0.1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</row>
    <row r="940" spans="1:19" ht="12.75" customHeight="1" x14ac:dyDescent="0.1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</row>
    <row r="941" spans="1:19" ht="12.75" customHeight="1" x14ac:dyDescent="0.1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</row>
    <row r="942" spans="1:19" ht="12.75" customHeight="1" x14ac:dyDescent="0.1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</row>
    <row r="943" spans="1:19" ht="12.75" customHeight="1" x14ac:dyDescent="0.1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</row>
    <row r="944" spans="1:19" ht="12.75" customHeight="1" x14ac:dyDescent="0.1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</row>
    <row r="945" spans="1:19" ht="12.75" customHeight="1" x14ac:dyDescent="0.1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</row>
    <row r="946" spans="1:19" ht="12.75" customHeight="1" x14ac:dyDescent="0.1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</row>
    <row r="947" spans="1:19" ht="12.75" customHeight="1" x14ac:dyDescent="0.1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</row>
    <row r="948" spans="1:19" ht="12.75" customHeight="1" x14ac:dyDescent="0.1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</row>
    <row r="949" spans="1:19" ht="12.75" customHeight="1" x14ac:dyDescent="0.1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</row>
    <row r="950" spans="1:19" ht="12.75" customHeight="1" x14ac:dyDescent="0.1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</row>
    <row r="951" spans="1:19" ht="12.75" customHeight="1" x14ac:dyDescent="0.1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</row>
    <row r="952" spans="1:19" ht="12.75" customHeight="1" x14ac:dyDescent="0.1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</row>
    <row r="953" spans="1:19" ht="12.75" customHeight="1" x14ac:dyDescent="0.1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</row>
    <row r="954" spans="1:19" ht="12.75" customHeight="1" x14ac:dyDescent="0.1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</row>
    <row r="955" spans="1:19" ht="12.75" customHeight="1" x14ac:dyDescent="0.1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</row>
    <row r="956" spans="1:19" ht="12.75" customHeight="1" x14ac:dyDescent="0.1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</row>
    <row r="957" spans="1:19" ht="12.75" customHeight="1" x14ac:dyDescent="0.1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</row>
    <row r="958" spans="1:19" ht="12.75" customHeight="1" x14ac:dyDescent="0.1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</row>
    <row r="959" spans="1:19" ht="12.75" customHeight="1" x14ac:dyDescent="0.1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</row>
    <row r="960" spans="1:19" ht="12.75" customHeight="1" x14ac:dyDescent="0.1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</row>
    <row r="961" spans="1:19" ht="12.75" customHeight="1" x14ac:dyDescent="0.1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</row>
    <row r="962" spans="1:19" ht="12.75" customHeight="1" x14ac:dyDescent="0.1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</row>
    <row r="963" spans="1:19" ht="12.75" customHeight="1" x14ac:dyDescent="0.1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</row>
    <row r="964" spans="1:19" ht="12.75" customHeight="1" x14ac:dyDescent="0.1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</row>
    <row r="965" spans="1:19" ht="12.75" customHeight="1" x14ac:dyDescent="0.1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</row>
    <row r="966" spans="1:19" ht="12.75" customHeight="1" x14ac:dyDescent="0.1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</row>
    <row r="967" spans="1:19" ht="12.75" customHeight="1" x14ac:dyDescent="0.1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</row>
    <row r="968" spans="1:19" ht="12.75" customHeight="1" x14ac:dyDescent="0.1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</row>
    <row r="969" spans="1:19" ht="12.75" customHeight="1" x14ac:dyDescent="0.1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</row>
    <row r="970" spans="1:19" ht="12.75" customHeight="1" x14ac:dyDescent="0.1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</row>
    <row r="971" spans="1:19" ht="12.75" customHeight="1" x14ac:dyDescent="0.1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</row>
    <row r="972" spans="1:19" ht="12.75" customHeight="1" x14ac:dyDescent="0.1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</row>
    <row r="973" spans="1:19" ht="12.75" customHeight="1" x14ac:dyDescent="0.1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</row>
    <row r="974" spans="1:19" ht="12.75" customHeight="1" x14ac:dyDescent="0.1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</row>
    <row r="975" spans="1:19" ht="12.75" customHeight="1" x14ac:dyDescent="0.1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</row>
    <row r="976" spans="1:19" ht="12.75" customHeight="1" x14ac:dyDescent="0.1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</row>
    <row r="977" spans="1:19" ht="12.75" customHeight="1" x14ac:dyDescent="0.1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</row>
    <row r="978" spans="1:19" ht="12.75" customHeight="1" x14ac:dyDescent="0.1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</row>
    <row r="979" spans="1:19" ht="12.75" customHeight="1" x14ac:dyDescent="0.1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</row>
    <row r="980" spans="1:19" ht="12.75" customHeight="1" x14ac:dyDescent="0.1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</row>
    <row r="981" spans="1:19" ht="12.75" customHeight="1" x14ac:dyDescent="0.1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</row>
    <row r="982" spans="1:19" ht="12.75" customHeight="1" x14ac:dyDescent="0.1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</row>
    <row r="983" spans="1:19" ht="12.75" customHeight="1" x14ac:dyDescent="0.1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</row>
    <row r="984" spans="1:19" ht="12.75" customHeight="1" x14ac:dyDescent="0.1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</row>
    <row r="985" spans="1:19" ht="12.75" customHeight="1" x14ac:dyDescent="0.1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</row>
    <row r="986" spans="1:19" ht="12.75" customHeight="1" x14ac:dyDescent="0.1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</row>
    <row r="987" spans="1:19" ht="12.75" customHeight="1" x14ac:dyDescent="0.1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</row>
    <row r="988" spans="1:19" ht="12.75" customHeight="1" x14ac:dyDescent="0.1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</row>
    <row r="989" spans="1:19" ht="12.75" customHeight="1" x14ac:dyDescent="0.1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</row>
    <row r="990" spans="1:19" ht="12.75" customHeight="1" x14ac:dyDescent="0.1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</row>
    <row r="991" spans="1:19" ht="12.75" customHeight="1" x14ac:dyDescent="0.1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</row>
    <row r="992" spans="1:19" ht="12.75" customHeight="1" x14ac:dyDescent="0.1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</row>
    <row r="993" spans="1:19" ht="12.75" customHeight="1" x14ac:dyDescent="0.1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</row>
    <row r="994" spans="1:19" ht="12.75" customHeight="1" x14ac:dyDescent="0.1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</row>
    <row r="995" spans="1:19" ht="12.75" customHeight="1" x14ac:dyDescent="0.1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</row>
    <row r="996" spans="1:19" ht="12.75" customHeight="1" x14ac:dyDescent="0.1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</row>
    <row r="997" spans="1:19" ht="12.75" customHeight="1" x14ac:dyDescent="0.1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</row>
    <row r="998" spans="1:19" ht="12.75" customHeight="1" x14ac:dyDescent="0.1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</row>
  </sheetData>
  <mergeCells count="2">
    <mergeCell ref="D2:E2"/>
    <mergeCell ref="D3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8"/>
  <sheetViews>
    <sheetView workbookViewId="0">
      <selection activeCell="O22" sqref="O22"/>
    </sheetView>
  </sheetViews>
  <sheetFormatPr baseColWidth="10" defaultColWidth="14.5" defaultRowHeight="15.75" customHeight="1" x14ac:dyDescent="0.15"/>
  <cols>
    <col min="1" max="1" width="6.33203125" customWidth="1"/>
    <col min="2" max="2" width="15.1640625" customWidth="1"/>
    <col min="3" max="5" width="10.83203125" customWidth="1"/>
    <col min="6" max="12" width="4.83203125" customWidth="1"/>
    <col min="13" max="13" width="10.83203125" customWidth="1"/>
    <col min="14" max="19" width="8.6640625" customWidth="1"/>
  </cols>
  <sheetData>
    <row r="1" spans="1:19" ht="12.75" customHeight="1" x14ac:dyDescent="0.15">
      <c r="A1" s="9" t="s">
        <v>94</v>
      </c>
      <c r="B1" s="10" t="s">
        <v>95</v>
      </c>
      <c r="C1" s="9" t="s">
        <v>96</v>
      </c>
      <c r="D1" s="9" t="s">
        <v>97</v>
      </c>
      <c r="E1" s="9" t="s">
        <v>98</v>
      </c>
      <c r="F1" s="11" t="s">
        <v>276</v>
      </c>
      <c r="G1" s="11" t="s">
        <v>277</v>
      </c>
      <c r="H1" s="11" t="s">
        <v>278</v>
      </c>
      <c r="I1" s="11" t="s">
        <v>279</v>
      </c>
      <c r="J1" s="11" t="s">
        <v>102</v>
      </c>
      <c r="K1" s="11" t="s">
        <v>105</v>
      </c>
      <c r="L1" s="11" t="s">
        <v>280</v>
      </c>
      <c r="M1" s="12" t="s">
        <v>108</v>
      </c>
      <c r="N1" s="13"/>
      <c r="O1" s="13"/>
      <c r="P1" s="13"/>
      <c r="Q1" s="13"/>
      <c r="R1" s="13"/>
      <c r="S1" s="13"/>
    </row>
    <row r="2" spans="1:19" ht="12.75" customHeight="1" x14ac:dyDescent="0.15">
      <c r="A2" s="13"/>
      <c r="B2" s="13"/>
      <c r="C2" s="14">
        <v>20</v>
      </c>
      <c r="D2" s="24" t="s">
        <v>98</v>
      </c>
      <c r="E2" s="25"/>
      <c r="F2" s="15">
        <v>18</v>
      </c>
      <c r="G2" s="15">
        <v>18</v>
      </c>
      <c r="H2" s="15">
        <v>1</v>
      </c>
      <c r="I2" s="15">
        <v>14</v>
      </c>
      <c r="J2" s="15">
        <v>36</v>
      </c>
      <c r="K2" s="15">
        <v>72</v>
      </c>
      <c r="L2" s="15">
        <v>52</v>
      </c>
      <c r="M2" s="13"/>
      <c r="N2" s="13"/>
      <c r="O2" s="13"/>
      <c r="P2" s="13"/>
      <c r="Q2" s="13"/>
      <c r="R2" s="13"/>
      <c r="S2" s="13"/>
    </row>
    <row r="3" spans="1:19" ht="12.75" customHeight="1" x14ac:dyDescent="0.15">
      <c r="A3" s="13"/>
      <c r="B3" s="13"/>
      <c r="C3" s="14">
        <f>AVERAGE(C18:C69)</f>
        <v>15.625</v>
      </c>
      <c r="D3" s="24" t="s">
        <v>109</v>
      </c>
      <c r="E3" s="25"/>
      <c r="F3" s="16">
        <f t="shared" ref="F3:L3" si="0">AVERAGE(F18:F69)/F2</f>
        <v>0.66987179487179493</v>
      </c>
      <c r="G3" s="16">
        <f t="shared" si="0"/>
        <v>0.57905982905982911</v>
      </c>
      <c r="H3" s="16">
        <f t="shared" si="0"/>
        <v>0.90384615384615385</v>
      </c>
      <c r="I3" s="16">
        <f t="shared" si="0"/>
        <v>0.65796703296703296</v>
      </c>
      <c r="J3" s="16">
        <f t="shared" si="0"/>
        <v>0.80288461538461542</v>
      </c>
      <c r="K3" s="16">
        <f t="shared" si="0"/>
        <v>0.85897435897435903</v>
      </c>
      <c r="L3" s="16">
        <f t="shared" si="0"/>
        <v>0.85133136094674555</v>
      </c>
      <c r="M3" s="13"/>
      <c r="N3" s="13"/>
      <c r="O3" s="13"/>
      <c r="P3" s="13"/>
      <c r="Q3" s="13"/>
      <c r="R3" s="13"/>
      <c r="S3" s="13"/>
    </row>
    <row r="4" spans="1:19" ht="12.75" customHeight="1" x14ac:dyDescent="0.15">
      <c r="A4" s="17"/>
      <c r="B4" s="18" t="s">
        <v>176</v>
      </c>
      <c r="C4" s="19" t="s">
        <v>111</v>
      </c>
      <c r="D4" s="20">
        <f>SUM(A4)</f>
        <v>0</v>
      </c>
      <c r="E4" s="20"/>
      <c r="F4" s="20"/>
      <c r="G4" s="20"/>
      <c r="H4" s="20"/>
      <c r="I4" s="20"/>
      <c r="J4" s="20"/>
      <c r="K4" s="20"/>
      <c r="L4" s="20"/>
      <c r="M4" s="21"/>
      <c r="N4" s="13"/>
      <c r="O4" s="13"/>
      <c r="P4" s="13"/>
      <c r="Q4" s="13"/>
      <c r="R4" s="13"/>
      <c r="S4" s="13"/>
    </row>
    <row r="5" spans="1:19" ht="12.75" customHeight="1" x14ac:dyDescent="0.15">
      <c r="A5" s="17"/>
      <c r="B5" s="18" t="s">
        <v>190</v>
      </c>
      <c r="C5" s="19" t="s">
        <v>111</v>
      </c>
      <c r="D5" s="20">
        <f>SUM(A5)</f>
        <v>0</v>
      </c>
      <c r="E5" s="20"/>
      <c r="F5" s="20"/>
      <c r="G5" s="20"/>
      <c r="H5" s="20"/>
      <c r="I5" s="20"/>
      <c r="J5" s="20"/>
      <c r="K5" s="20"/>
      <c r="L5" s="20"/>
      <c r="M5" s="21"/>
      <c r="N5" s="13"/>
      <c r="O5" s="13"/>
      <c r="P5" s="13"/>
      <c r="Q5" s="13"/>
      <c r="R5" s="13"/>
      <c r="S5" s="13"/>
    </row>
    <row r="6" spans="1:19" ht="12.75" customHeight="1" x14ac:dyDescent="0.15">
      <c r="A6" s="17"/>
      <c r="B6" s="18" t="s">
        <v>229</v>
      </c>
      <c r="C6" s="19" t="s">
        <v>111</v>
      </c>
      <c r="D6" s="20">
        <f>SUM(A6)</f>
        <v>0</v>
      </c>
      <c r="E6" s="20"/>
      <c r="F6" s="20"/>
      <c r="G6" s="20"/>
      <c r="H6" s="20"/>
      <c r="I6" s="20"/>
      <c r="J6" s="20"/>
      <c r="K6" s="20"/>
      <c r="L6" s="20"/>
      <c r="M6" s="21"/>
      <c r="N6" s="13"/>
      <c r="O6" s="13"/>
      <c r="P6" s="13"/>
      <c r="Q6" s="13"/>
      <c r="R6" s="13"/>
      <c r="S6" s="13"/>
    </row>
    <row r="7" spans="1:19" ht="12.75" customHeight="1" x14ac:dyDescent="0.15">
      <c r="A7" s="17"/>
      <c r="B7" s="18" t="s">
        <v>154</v>
      </c>
      <c r="C7" s="19" t="s">
        <v>111</v>
      </c>
      <c r="D7" s="20">
        <f>SUM(A7)</f>
        <v>0</v>
      </c>
      <c r="E7" s="20"/>
      <c r="F7" s="20"/>
      <c r="G7" s="20"/>
      <c r="H7" s="20"/>
      <c r="I7" s="20"/>
      <c r="J7" s="20"/>
      <c r="K7" s="20"/>
      <c r="L7" s="20"/>
      <c r="M7" s="21"/>
      <c r="N7" s="13"/>
      <c r="O7" s="13"/>
      <c r="P7" s="13"/>
      <c r="Q7" s="13"/>
      <c r="R7" s="13"/>
      <c r="S7" s="13"/>
    </row>
    <row r="8" spans="1:19" ht="12.75" customHeight="1" x14ac:dyDescent="0.15">
      <c r="A8" s="17"/>
      <c r="B8" s="18" t="s">
        <v>237</v>
      </c>
      <c r="C8" s="19" t="s">
        <v>111</v>
      </c>
      <c r="D8" s="20">
        <f>SUM(A8)</f>
        <v>0</v>
      </c>
      <c r="E8" s="20"/>
      <c r="F8" s="20"/>
      <c r="G8" s="20"/>
      <c r="H8" s="20"/>
      <c r="I8" s="20"/>
      <c r="J8" s="20"/>
      <c r="K8" s="20"/>
      <c r="L8" s="20"/>
      <c r="M8" s="21"/>
      <c r="N8" s="13"/>
      <c r="O8" s="13"/>
      <c r="P8" s="13"/>
      <c r="Q8" s="13"/>
      <c r="R8" s="13"/>
      <c r="S8" s="13"/>
    </row>
    <row r="9" spans="1:19" ht="12.75" customHeight="1" x14ac:dyDescent="0.15">
      <c r="A9" s="17"/>
      <c r="B9" s="18" t="s">
        <v>110</v>
      </c>
      <c r="C9" s="19" t="s">
        <v>111</v>
      </c>
      <c r="D9" s="20">
        <f>SUM(A9)</f>
        <v>0</v>
      </c>
      <c r="E9" s="20"/>
      <c r="F9" s="20"/>
      <c r="G9" s="20"/>
      <c r="H9" s="20"/>
      <c r="I9" s="20"/>
      <c r="J9" s="20"/>
      <c r="K9" s="20"/>
      <c r="L9" s="20"/>
      <c r="M9" s="21"/>
      <c r="N9" s="13"/>
      <c r="O9" s="13"/>
      <c r="P9" s="13"/>
      <c r="Q9" s="13"/>
      <c r="R9" s="13"/>
      <c r="S9" s="13"/>
    </row>
    <row r="10" spans="1:19" ht="12.75" customHeight="1" x14ac:dyDescent="0.15">
      <c r="A10" s="17"/>
      <c r="B10" s="18" t="s">
        <v>206</v>
      </c>
      <c r="C10" s="19" t="s">
        <v>111</v>
      </c>
      <c r="D10" s="20">
        <f>SUM(A10)</f>
        <v>0</v>
      </c>
      <c r="E10" s="20"/>
      <c r="F10" s="20"/>
      <c r="G10" s="20"/>
      <c r="H10" s="20"/>
      <c r="I10" s="20"/>
      <c r="J10" s="20"/>
      <c r="K10" s="20"/>
      <c r="L10" s="20"/>
      <c r="M10" s="21"/>
      <c r="N10" s="13"/>
      <c r="O10" s="13"/>
      <c r="P10" s="13"/>
      <c r="Q10" s="13"/>
      <c r="R10" s="13"/>
      <c r="S10" s="13"/>
    </row>
    <row r="11" spans="1:19" ht="12.75" customHeight="1" x14ac:dyDescent="0.15">
      <c r="A11" s="17"/>
      <c r="B11" s="18" t="s">
        <v>126</v>
      </c>
      <c r="C11" s="19" t="s">
        <v>111</v>
      </c>
      <c r="D11" s="20">
        <f>SUM(A11)</f>
        <v>0</v>
      </c>
      <c r="E11" s="20"/>
      <c r="F11" s="20"/>
      <c r="G11" s="20"/>
      <c r="H11" s="20"/>
      <c r="I11" s="20"/>
      <c r="J11" s="20"/>
      <c r="K11" s="20"/>
      <c r="L11" s="20"/>
      <c r="M11" s="21"/>
      <c r="N11" s="13"/>
      <c r="O11" s="13"/>
      <c r="P11" s="13"/>
      <c r="Q11" s="13"/>
      <c r="R11" s="13"/>
      <c r="S11" s="13"/>
    </row>
    <row r="12" spans="1:19" ht="12.75" customHeight="1" x14ac:dyDescent="0.15">
      <c r="A12" s="17"/>
      <c r="B12" s="18" t="s">
        <v>112</v>
      </c>
      <c r="C12" s="19" t="s">
        <v>111</v>
      </c>
      <c r="D12" s="20">
        <f>SUM(A12)</f>
        <v>0</v>
      </c>
      <c r="E12" s="20"/>
      <c r="F12" s="20"/>
      <c r="G12" s="20"/>
      <c r="H12" s="20"/>
      <c r="I12" s="20"/>
      <c r="J12" s="20"/>
      <c r="K12" s="20"/>
      <c r="L12" s="20"/>
      <c r="M12" s="21"/>
      <c r="N12" s="13"/>
      <c r="O12" s="13"/>
      <c r="P12" s="13"/>
      <c r="Q12" s="13"/>
      <c r="R12" s="13"/>
      <c r="S12" s="13"/>
    </row>
    <row r="13" spans="1:19" ht="12.75" customHeight="1" x14ac:dyDescent="0.15">
      <c r="A13" s="17"/>
      <c r="B13" s="18" t="s">
        <v>253</v>
      </c>
      <c r="C13" s="19" t="s">
        <v>111</v>
      </c>
      <c r="D13" s="20">
        <f>SUM(A13)</f>
        <v>0</v>
      </c>
      <c r="E13" s="20"/>
      <c r="F13" s="20"/>
      <c r="G13" s="20"/>
      <c r="H13" s="20"/>
      <c r="I13" s="20"/>
      <c r="J13" s="20"/>
      <c r="K13" s="20"/>
      <c r="L13" s="20"/>
      <c r="M13" s="21"/>
      <c r="N13" s="13"/>
      <c r="O13" s="13"/>
      <c r="P13" s="13"/>
      <c r="Q13" s="13"/>
      <c r="R13" s="13"/>
      <c r="S13" s="13"/>
    </row>
    <row r="14" spans="1:19" ht="12.75" customHeight="1" x14ac:dyDescent="0.15">
      <c r="A14" s="17"/>
      <c r="B14" s="18" t="s">
        <v>218</v>
      </c>
      <c r="C14" s="19" t="s">
        <v>111</v>
      </c>
      <c r="D14" s="20">
        <f>SUM(A14)</f>
        <v>0</v>
      </c>
      <c r="E14" s="20"/>
      <c r="F14" s="20"/>
      <c r="G14" s="20"/>
      <c r="H14" s="20"/>
      <c r="I14" s="20"/>
      <c r="J14" s="20"/>
      <c r="K14" s="20"/>
      <c r="L14" s="20"/>
      <c r="M14" s="21"/>
      <c r="N14" s="13"/>
      <c r="O14" s="13"/>
      <c r="P14" s="13"/>
      <c r="Q14" s="13"/>
      <c r="R14" s="13"/>
      <c r="S14" s="13"/>
    </row>
    <row r="15" spans="1:19" ht="12.75" customHeight="1" x14ac:dyDescent="0.15">
      <c r="A15" s="17"/>
      <c r="B15" s="18" t="s">
        <v>129</v>
      </c>
      <c r="C15" s="19" t="s">
        <v>111</v>
      </c>
      <c r="D15" s="20">
        <f>SUM(A15)</f>
        <v>0</v>
      </c>
      <c r="E15" s="20"/>
      <c r="F15" s="20"/>
      <c r="G15" s="20"/>
      <c r="H15" s="20"/>
      <c r="I15" s="20"/>
      <c r="J15" s="20"/>
      <c r="K15" s="20"/>
      <c r="L15" s="20"/>
      <c r="M15" s="21"/>
      <c r="N15" s="13"/>
      <c r="O15" s="13"/>
      <c r="P15" s="13"/>
      <c r="Q15" s="13"/>
      <c r="R15" s="13"/>
      <c r="S15" s="13"/>
    </row>
    <row r="16" spans="1:19" ht="12.75" customHeight="1" x14ac:dyDescent="0.15">
      <c r="A16" s="17"/>
      <c r="B16" s="18" t="s">
        <v>133</v>
      </c>
      <c r="C16" s="19" t="s">
        <v>111</v>
      </c>
      <c r="D16" s="20">
        <f>SUM(A16)</f>
        <v>0</v>
      </c>
      <c r="E16" s="20"/>
      <c r="F16" s="20"/>
      <c r="G16" s="20"/>
      <c r="H16" s="20"/>
      <c r="I16" s="20"/>
      <c r="J16" s="20"/>
      <c r="K16" s="20"/>
      <c r="L16" s="20"/>
      <c r="M16" s="21"/>
      <c r="N16" s="13"/>
      <c r="O16" s="13"/>
      <c r="P16" s="13"/>
      <c r="Q16" s="13"/>
      <c r="R16" s="13"/>
      <c r="S16" s="13"/>
    </row>
    <row r="17" spans="1:19" ht="12.75" customHeight="1" x14ac:dyDescent="0.15">
      <c r="A17" s="17"/>
      <c r="B17" s="18" t="s">
        <v>113</v>
      </c>
      <c r="C17" s="19" t="s">
        <v>111</v>
      </c>
      <c r="D17" s="20">
        <f>SUM(A17)</f>
        <v>0</v>
      </c>
      <c r="E17" s="20"/>
      <c r="F17" s="20"/>
      <c r="G17" s="20"/>
      <c r="H17" s="20"/>
      <c r="I17" s="20"/>
      <c r="J17" s="20"/>
      <c r="K17" s="20"/>
      <c r="L17" s="20"/>
      <c r="M17" s="21"/>
      <c r="N17" s="13"/>
      <c r="O17" s="13"/>
      <c r="P17" s="13"/>
      <c r="Q17" s="13"/>
      <c r="R17" s="13"/>
      <c r="S17" s="13"/>
    </row>
    <row r="18" spans="1:19" ht="12.75" customHeight="1" x14ac:dyDescent="0.15">
      <c r="A18" s="17" t="s">
        <v>141</v>
      </c>
      <c r="B18" s="18" t="s">
        <v>132</v>
      </c>
      <c r="C18" s="14">
        <f t="shared" ref="C18:C69" si="1">IF($C$2&gt;0,MIN($C$2,ROUNDDOWN(D18/E18*$C$2/0.5,0)*0.5),ROUNDDOWN(D18/0.5,0)*0.5)</f>
        <v>7</v>
      </c>
      <c r="D18" s="15">
        <f t="shared" ref="D18:D69" si="2">SUM(F18:L18)</f>
        <v>79</v>
      </c>
      <c r="E18" s="15">
        <v>211</v>
      </c>
      <c r="F18" s="22">
        <v>0</v>
      </c>
      <c r="G18" s="15">
        <v>4</v>
      </c>
      <c r="H18" s="15">
        <v>0</v>
      </c>
      <c r="I18" s="15">
        <v>0</v>
      </c>
      <c r="J18" s="15">
        <v>16</v>
      </c>
      <c r="K18" s="15">
        <v>59</v>
      </c>
      <c r="L18" s="15">
        <v>0</v>
      </c>
      <c r="M18" s="21" t="s">
        <v>147</v>
      </c>
      <c r="N18" s="13"/>
      <c r="O18" s="13"/>
      <c r="P18" s="13"/>
      <c r="Q18" s="13"/>
      <c r="R18" s="13"/>
      <c r="S18" s="13"/>
    </row>
    <row r="19" spans="1:19" ht="12.75" customHeight="1" x14ac:dyDescent="0.15">
      <c r="A19" s="17" t="s">
        <v>245</v>
      </c>
      <c r="B19" s="18" t="s">
        <v>148</v>
      </c>
      <c r="C19" s="14">
        <f t="shared" si="1"/>
        <v>8</v>
      </c>
      <c r="D19" s="15">
        <f t="shared" si="2"/>
        <v>88</v>
      </c>
      <c r="E19" s="15">
        <v>211</v>
      </c>
      <c r="F19" s="15">
        <v>12</v>
      </c>
      <c r="G19" s="15">
        <v>5</v>
      </c>
      <c r="H19" s="15">
        <v>1</v>
      </c>
      <c r="I19" s="15">
        <v>3</v>
      </c>
      <c r="J19" s="15">
        <v>7</v>
      </c>
      <c r="K19" s="15">
        <v>60</v>
      </c>
      <c r="L19" s="15">
        <v>0</v>
      </c>
      <c r="M19" s="21" t="s">
        <v>148</v>
      </c>
      <c r="N19" s="13"/>
      <c r="O19" s="13"/>
      <c r="P19" s="13"/>
      <c r="Q19" s="13"/>
      <c r="R19" s="13"/>
      <c r="S19" s="13"/>
    </row>
    <row r="20" spans="1:19" ht="12.75" customHeight="1" x14ac:dyDescent="0.15">
      <c r="A20" s="17" t="s">
        <v>227</v>
      </c>
      <c r="B20" s="18" t="s">
        <v>121</v>
      </c>
      <c r="C20" s="14">
        <f t="shared" si="1"/>
        <v>9</v>
      </c>
      <c r="D20" s="15">
        <f t="shared" si="2"/>
        <v>99</v>
      </c>
      <c r="E20" s="15">
        <v>211</v>
      </c>
      <c r="F20" s="15">
        <v>0</v>
      </c>
      <c r="G20" s="15">
        <v>12</v>
      </c>
      <c r="H20" s="15">
        <v>1</v>
      </c>
      <c r="I20" s="15">
        <v>0</v>
      </c>
      <c r="J20" s="22">
        <v>0</v>
      </c>
      <c r="K20" s="15">
        <v>34</v>
      </c>
      <c r="L20" s="15">
        <v>52</v>
      </c>
      <c r="M20" s="21" t="s">
        <v>286</v>
      </c>
      <c r="N20" s="13"/>
      <c r="O20" s="13"/>
      <c r="P20" s="13"/>
      <c r="Q20" s="13"/>
      <c r="R20" s="13"/>
      <c r="S20" s="13"/>
    </row>
    <row r="21" spans="1:19" ht="12.75" customHeight="1" x14ac:dyDescent="0.15">
      <c r="A21" s="17" t="s">
        <v>199</v>
      </c>
      <c r="B21" s="18" t="s">
        <v>159</v>
      </c>
      <c r="C21" s="14">
        <f t="shared" si="1"/>
        <v>9</v>
      </c>
      <c r="D21" s="15">
        <f t="shared" si="2"/>
        <v>95</v>
      </c>
      <c r="E21" s="15">
        <v>211</v>
      </c>
      <c r="F21" s="15">
        <v>12</v>
      </c>
      <c r="G21" s="15">
        <v>6</v>
      </c>
      <c r="H21" s="15">
        <v>1</v>
      </c>
      <c r="I21" s="15">
        <v>0</v>
      </c>
      <c r="J21" s="15">
        <v>16</v>
      </c>
      <c r="K21" s="15">
        <v>60</v>
      </c>
      <c r="L21" s="15">
        <v>0</v>
      </c>
      <c r="M21" s="21" t="s">
        <v>159</v>
      </c>
      <c r="N21" s="13"/>
      <c r="O21" s="13"/>
      <c r="P21" s="13"/>
      <c r="Q21" s="13"/>
      <c r="R21" s="13"/>
      <c r="S21" s="13"/>
    </row>
    <row r="22" spans="1:19" ht="12.75" customHeight="1" x14ac:dyDescent="0.15">
      <c r="A22" s="17" t="s">
        <v>194</v>
      </c>
      <c r="B22" s="18" t="s">
        <v>151</v>
      </c>
      <c r="C22" s="14">
        <f t="shared" si="1"/>
        <v>11</v>
      </c>
      <c r="D22" s="15">
        <f t="shared" si="2"/>
        <v>120</v>
      </c>
      <c r="E22" s="15">
        <v>211</v>
      </c>
      <c r="F22" s="15">
        <v>6</v>
      </c>
      <c r="G22" s="15">
        <v>6</v>
      </c>
      <c r="H22" s="15">
        <v>0</v>
      </c>
      <c r="I22" s="15">
        <v>0</v>
      </c>
      <c r="J22" s="15">
        <v>26</v>
      </c>
      <c r="K22" s="15">
        <v>70</v>
      </c>
      <c r="L22" s="15">
        <v>12</v>
      </c>
      <c r="M22" s="21" t="s">
        <v>287</v>
      </c>
      <c r="N22" s="13"/>
      <c r="O22" s="13"/>
      <c r="P22" s="13"/>
      <c r="Q22" s="13"/>
      <c r="R22" s="13"/>
      <c r="S22" s="13"/>
    </row>
    <row r="23" spans="1:19" ht="12.75" customHeight="1" x14ac:dyDescent="0.15">
      <c r="A23" s="17" t="s">
        <v>230</v>
      </c>
      <c r="B23" s="18" t="s">
        <v>146</v>
      </c>
      <c r="C23" s="14">
        <f t="shared" si="1"/>
        <v>11.5</v>
      </c>
      <c r="D23" s="15">
        <f t="shared" si="2"/>
        <v>125</v>
      </c>
      <c r="E23" s="15">
        <v>211</v>
      </c>
      <c r="F23" s="15">
        <v>5</v>
      </c>
      <c r="G23" s="15">
        <v>4</v>
      </c>
      <c r="H23" s="15">
        <v>0</v>
      </c>
      <c r="I23" s="15">
        <v>6</v>
      </c>
      <c r="J23" s="15">
        <v>26</v>
      </c>
      <c r="K23" s="15">
        <v>60</v>
      </c>
      <c r="L23" s="15">
        <v>24</v>
      </c>
      <c r="M23" s="21" t="s">
        <v>146</v>
      </c>
      <c r="N23" s="13"/>
      <c r="O23" s="13"/>
      <c r="P23" s="13"/>
      <c r="Q23" s="13"/>
      <c r="R23" s="13"/>
      <c r="S23" s="13"/>
    </row>
    <row r="24" spans="1:19" ht="12.75" customHeight="1" x14ac:dyDescent="0.15">
      <c r="A24" s="17" t="s">
        <v>188</v>
      </c>
      <c r="B24" s="18" t="s">
        <v>193</v>
      </c>
      <c r="C24" s="14">
        <f t="shared" si="1"/>
        <v>12.5</v>
      </c>
      <c r="D24" s="15">
        <f t="shared" si="2"/>
        <v>135</v>
      </c>
      <c r="E24" s="15">
        <v>211</v>
      </c>
      <c r="F24" s="22">
        <v>0</v>
      </c>
      <c r="G24" s="15">
        <v>6</v>
      </c>
      <c r="H24" s="15">
        <v>0</v>
      </c>
      <c r="I24" s="15">
        <v>7</v>
      </c>
      <c r="J24" s="15">
        <v>36</v>
      </c>
      <c r="K24" s="15">
        <v>60</v>
      </c>
      <c r="L24" s="15">
        <v>26</v>
      </c>
      <c r="M24" s="21" t="s">
        <v>193</v>
      </c>
      <c r="N24" s="13"/>
      <c r="O24" s="13"/>
      <c r="P24" s="13"/>
      <c r="Q24" s="13"/>
      <c r="R24" s="13"/>
      <c r="S24" s="13"/>
    </row>
    <row r="25" spans="1:19" ht="12.75" customHeight="1" x14ac:dyDescent="0.15">
      <c r="A25" s="17" t="s">
        <v>145</v>
      </c>
      <c r="B25" s="18" t="s">
        <v>167</v>
      </c>
      <c r="C25" s="14">
        <f t="shared" si="1"/>
        <v>12.5</v>
      </c>
      <c r="D25" s="15">
        <f t="shared" si="2"/>
        <v>136</v>
      </c>
      <c r="E25" s="15">
        <v>211</v>
      </c>
      <c r="F25" s="15">
        <v>12</v>
      </c>
      <c r="G25" s="15">
        <v>11</v>
      </c>
      <c r="H25" s="15">
        <v>1</v>
      </c>
      <c r="I25" s="15">
        <v>6</v>
      </c>
      <c r="J25" s="15">
        <v>6</v>
      </c>
      <c r="K25" s="15">
        <v>48</v>
      </c>
      <c r="L25" s="15">
        <v>52</v>
      </c>
      <c r="M25" s="21" t="s">
        <v>181</v>
      </c>
      <c r="N25" s="13"/>
      <c r="O25" s="13"/>
      <c r="P25" s="13"/>
      <c r="Q25" s="13"/>
      <c r="R25" s="13"/>
      <c r="S25" s="13"/>
    </row>
    <row r="26" spans="1:19" ht="12.75" customHeight="1" x14ac:dyDescent="0.15">
      <c r="A26" s="17" t="s">
        <v>197</v>
      </c>
      <c r="B26" s="18" t="s">
        <v>185</v>
      </c>
      <c r="C26" s="14">
        <f t="shared" si="1"/>
        <v>12.5</v>
      </c>
      <c r="D26" s="15">
        <f t="shared" si="2"/>
        <v>133</v>
      </c>
      <c r="E26" s="15">
        <v>211</v>
      </c>
      <c r="F26" s="15">
        <v>17</v>
      </c>
      <c r="G26" s="15">
        <v>6</v>
      </c>
      <c r="H26" s="15">
        <v>1</v>
      </c>
      <c r="I26" s="15">
        <v>6</v>
      </c>
      <c r="J26" s="15">
        <v>7</v>
      </c>
      <c r="K26" s="15">
        <v>72</v>
      </c>
      <c r="L26" s="15">
        <v>24</v>
      </c>
      <c r="M26" s="21" t="s">
        <v>185</v>
      </c>
      <c r="N26" s="13"/>
      <c r="O26" s="13"/>
      <c r="P26" s="13"/>
      <c r="Q26" s="13"/>
      <c r="R26" s="13"/>
      <c r="S26" s="13"/>
    </row>
    <row r="27" spans="1:19" ht="12.75" customHeight="1" x14ac:dyDescent="0.15">
      <c r="A27" s="17" t="s">
        <v>221</v>
      </c>
      <c r="B27" s="18" t="s">
        <v>165</v>
      </c>
      <c r="C27" s="14">
        <f t="shared" si="1"/>
        <v>13</v>
      </c>
      <c r="D27" s="15">
        <f t="shared" si="2"/>
        <v>141</v>
      </c>
      <c r="E27" s="15">
        <v>211</v>
      </c>
      <c r="F27" s="15">
        <v>11</v>
      </c>
      <c r="G27" s="15">
        <v>4</v>
      </c>
      <c r="H27" s="15">
        <v>1</v>
      </c>
      <c r="I27" s="15">
        <v>6</v>
      </c>
      <c r="J27" s="15">
        <v>7</v>
      </c>
      <c r="K27" s="15">
        <v>60</v>
      </c>
      <c r="L27" s="15">
        <v>52</v>
      </c>
      <c r="M27" s="21" t="s">
        <v>165</v>
      </c>
      <c r="N27" s="13"/>
      <c r="O27" s="13"/>
      <c r="P27" s="13"/>
      <c r="Q27" s="13"/>
      <c r="R27" s="13"/>
      <c r="S27" s="13"/>
    </row>
    <row r="28" spans="1:19" ht="12.75" customHeight="1" x14ac:dyDescent="0.15">
      <c r="A28" s="17" t="s">
        <v>201</v>
      </c>
      <c r="B28" s="18" t="s">
        <v>204</v>
      </c>
      <c r="C28" s="14">
        <f t="shared" si="1"/>
        <v>13</v>
      </c>
      <c r="D28" s="15">
        <f t="shared" si="2"/>
        <v>141</v>
      </c>
      <c r="E28" s="15">
        <v>211</v>
      </c>
      <c r="F28" s="15">
        <v>18</v>
      </c>
      <c r="G28" s="15">
        <v>12</v>
      </c>
      <c r="H28" s="15">
        <v>1</v>
      </c>
      <c r="I28" s="15">
        <v>14</v>
      </c>
      <c r="J28" s="15">
        <v>36</v>
      </c>
      <c r="K28" s="15">
        <v>60</v>
      </c>
      <c r="L28" s="15">
        <v>0</v>
      </c>
      <c r="M28" s="21" t="s">
        <v>204</v>
      </c>
      <c r="N28" s="13"/>
      <c r="O28" s="13"/>
      <c r="P28" s="13"/>
      <c r="Q28" s="13"/>
      <c r="R28" s="13"/>
      <c r="S28" s="13"/>
    </row>
    <row r="29" spans="1:19" ht="12.75" customHeight="1" x14ac:dyDescent="0.15">
      <c r="A29" s="17" t="s">
        <v>219</v>
      </c>
      <c r="B29" s="18" t="s">
        <v>216</v>
      </c>
      <c r="C29" s="14">
        <f t="shared" si="1"/>
        <v>14</v>
      </c>
      <c r="D29" s="15">
        <f t="shared" si="2"/>
        <v>149</v>
      </c>
      <c r="E29" s="15">
        <v>211</v>
      </c>
      <c r="F29" s="15">
        <v>6</v>
      </c>
      <c r="G29" s="15">
        <v>18</v>
      </c>
      <c r="H29" s="15">
        <v>1</v>
      </c>
      <c r="I29" s="15">
        <v>6</v>
      </c>
      <c r="J29" s="15">
        <v>18</v>
      </c>
      <c r="K29" s="15">
        <v>48</v>
      </c>
      <c r="L29" s="15">
        <v>52</v>
      </c>
      <c r="M29" s="21" t="s">
        <v>216</v>
      </c>
      <c r="N29" s="13"/>
      <c r="O29" s="13"/>
      <c r="P29" s="13"/>
      <c r="Q29" s="13"/>
      <c r="R29" s="13"/>
      <c r="S29" s="13"/>
    </row>
    <row r="30" spans="1:19" ht="12.75" customHeight="1" x14ac:dyDescent="0.15">
      <c r="A30" s="17" t="s">
        <v>195</v>
      </c>
      <c r="B30" s="18" t="s">
        <v>123</v>
      </c>
      <c r="C30" s="14">
        <f t="shared" si="1"/>
        <v>14</v>
      </c>
      <c r="D30" s="15">
        <f t="shared" si="2"/>
        <v>149</v>
      </c>
      <c r="E30" s="15">
        <v>211</v>
      </c>
      <c r="F30" s="15">
        <v>12</v>
      </c>
      <c r="G30" s="15">
        <v>18</v>
      </c>
      <c r="H30" s="15">
        <v>1</v>
      </c>
      <c r="I30" s="15">
        <v>6</v>
      </c>
      <c r="J30" s="15">
        <v>26</v>
      </c>
      <c r="K30" s="15">
        <v>48</v>
      </c>
      <c r="L30" s="15">
        <v>38</v>
      </c>
      <c r="M30" s="21" t="s">
        <v>124</v>
      </c>
      <c r="N30" s="13"/>
      <c r="O30" s="13"/>
      <c r="P30" s="13"/>
      <c r="Q30" s="13"/>
      <c r="R30" s="13"/>
      <c r="S30" s="13"/>
    </row>
    <row r="31" spans="1:19" ht="12.75" customHeight="1" x14ac:dyDescent="0.15">
      <c r="A31" s="17" t="s">
        <v>215</v>
      </c>
      <c r="B31" s="18" t="s">
        <v>128</v>
      </c>
      <c r="C31" s="14">
        <f t="shared" si="1"/>
        <v>14</v>
      </c>
      <c r="D31" s="15">
        <f t="shared" si="2"/>
        <v>152</v>
      </c>
      <c r="E31" s="15">
        <v>211</v>
      </c>
      <c r="F31" s="15">
        <v>5</v>
      </c>
      <c r="G31" s="15">
        <v>11</v>
      </c>
      <c r="H31" s="15">
        <v>1</v>
      </c>
      <c r="I31" s="15">
        <v>14</v>
      </c>
      <c r="J31" s="15">
        <v>36</v>
      </c>
      <c r="K31" s="15">
        <v>33</v>
      </c>
      <c r="L31" s="15">
        <v>52</v>
      </c>
      <c r="M31" s="21" t="s">
        <v>128</v>
      </c>
      <c r="N31" s="13"/>
      <c r="O31" s="13"/>
      <c r="P31" s="13"/>
      <c r="Q31" s="13"/>
      <c r="R31" s="13"/>
      <c r="S31" s="13"/>
    </row>
    <row r="32" spans="1:19" ht="12.75" customHeight="1" x14ac:dyDescent="0.15">
      <c r="A32" s="17" t="s">
        <v>161</v>
      </c>
      <c r="B32" s="18" t="s">
        <v>209</v>
      </c>
      <c r="C32" s="14">
        <f t="shared" si="1"/>
        <v>14.5</v>
      </c>
      <c r="D32" s="15">
        <f t="shared" si="2"/>
        <v>155</v>
      </c>
      <c r="E32" s="15">
        <v>211</v>
      </c>
      <c r="F32" s="15">
        <v>6</v>
      </c>
      <c r="G32" s="15">
        <v>6</v>
      </c>
      <c r="H32" s="15">
        <v>1</v>
      </c>
      <c r="I32" s="15">
        <v>6</v>
      </c>
      <c r="J32" s="15">
        <v>26</v>
      </c>
      <c r="K32" s="15">
        <v>58</v>
      </c>
      <c r="L32" s="15">
        <v>52</v>
      </c>
      <c r="M32" s="21" t="s">
        <v>212</v>
      </c>
      <c r="N32" s="13"/>
      <c r="O32" s="13"/>
      <c r="P32" s="13"/>
      <c r="Q32" s="13"/>
      <c r="R32" s="13"/>
      <c r="S32" s="13"/>
    </row>
    <row r="33" spans="1:19" ht="12.75" customHeight="1" x14ac:dyDescent="0.15">
      <c r="A33" s="17" t="s">
        <v>205</v>
      </c>
      <c r="B33" s="18" t="s">
        <v>157</v>
      </c>
      <c r="C33" s="14">
        <f t="shared" si="1"/>
        <v>14.5</v>
      </c>
      <c r="D33" s="15">
        <f t="shared" si="2"/>
        <v>158</v>
      </c>
      <c r="E33" s="15">
        <v>211</v>
      </c>
      <c r="F33" s="15">
        <v>11</v>
      </c>
      <c r="G33" s="15">
        <v>12</v>
      </c>
      <c r="H33" s="15">
        <v>1</v>
      </c>
      <c r="I33" s="15">
        <v>14</v>
      </c>
      <c r="J33" s="15">
        <v>36</v>
      </c>
      <c r="K33" s="15">
        <v>60</v>
      </c>
      <c r="L33" s="15">
        <v>24</v>
      </c>
      <c r="M33" s="21" t="s">
        <v>157</v>
      </c>
      <c r="N33" s="13"/>
      <c r="O33" s="13"/>
      <c r="P33" s="13"/>
      <c r="Q33" s="13"/>
      <c r="R33" s="13"/>
      <c r="S33" s="13"/>
    </row>
    <row r="34" spans="1:19" ht="12.75" customHeight="1" x14ac:dyDescent="0.15">
      <c r="A34" s="17" t="s">
        <v>164</v>
      </c>
      <c r="B34" s="18" t="s">
        <v>244</v>
      </c>
      <c r="C34" s="14">
        <f t="shared" si="1"/>
        <v>15</v>
      </c>
      <c r="D34" s="15">
        <f t="shared" si="2"/>
        <v>159</v>
      </c>
      <c r="E34" s="15">
        <v>211</v>
      </c>
      <c r="F34" s="15">
        <v>2</v>
      </c>
      <c r="G34" s="15">
        <v>12</v>
      </c>
      <c r="H34" s="15">
        <v>1</v>
      </c>
      <c r="I34" s="15">
        <v>4</v>
      </c>
      <c r="J34" s="15">
        <v>16</v>
      </c>
      <c r="K34" s="15">
        <v>72</v>
      </c>
      <c r="L34" s="15">
        <v>52</v>
      </c>
      <c r="M34" s="21" t="s">
        <v>246</v>
      </c>
      <c r="N34" s="13"/>
      <c r="O34" s="13"/>
      <c r="P34" s="13"/>
      <c r="Q34" s="13"/>
      <c r="R34" s="13"/>
      <c r="S34" s="13"/>
    </row>
    <row r="35" spans="1:19" ht="12.75" customHeight="1" x14ac:dyDescent="0.15">
      <c r="A35" s="17" t="s">
        <v>192</v>
      </c>
      <c r="B35" s="18" t="s">
        <v>224</v>
      </c>
      <c r="C35" s="14">
        <f t="shared" si="1"/>
        <v>15.5</v>
      </c>
      <c r="D35" s="15">
        <f t="shared" si="2"/>
        <v>166</v>
      </c>
      <c r="E35" s="15">
        <v>211</v>
      </c>
      <c r="F35" s="15">
        <v>12</v>
      </c>
      <c r="G35" s="15">
        <v>5</v>
      </c>
      <c r="H35" s="15">
        <v>1</v>
      </c>
      <c r="I35" s="15">
        <v>0</v>
      </c>
      <c r="J35" s="15">
        <v>36</v>
      </c>
      <c r="K35" s="15">
        <v>60</v>
      </c>
      <c r="L35" s="15">
        <v>52</v>
      </c>
      <c r="M35" s="21" t="s">
        <v>224</v>
      </c>
      <c r="N35" s="13"/>
      <c r="O35" s="13"/>
      <c r="P35" s="13"/>
      <c r="Q35" s="13"/>
      <c r="R35" s="13"/>
      <c r="S35" s="13"/>
    </row>
    <row r="36" spans="1:19" ht="12.75" customHeight="1" x14ac:dyDescent="0.15">
      <c r="A36" s="17" t="s">
        <v>174</v>
      </c>
      <c r="B36" s="18" t="s">
        <v>119</v>
      </c>
      <c r="C36" s="14">
        <f t="shared" si="1"/>
        <v>15.5</v>
      </c>
      <c r="D36" s="15">
        <f t="shared" si="2"/>
        <v>164</v>
      </c>
      <c r="E36" s="15">
        <v>211</v>
      </c>
      <c r="F36" s="15">
        <v>12</v>
      </c>
      <c r="G36" s="15">
        <v>11</v>
      </c>
      <c r="H36" s="15">
        <v>1</v>
      </c>
      <c r="I36" s="15">
        <v>0</v>
      </c>
      <c r="J36" s="15">
        <v>16</v>
      </c>
      <c r="K36" s="15">
        <v>72</v>
      </c>
      <c r="L36" s="15">
        <v>52</v>
      </c>
      <c r="M36" s="21" t="s">
        <v>120</v>
      </c>
      <c r="N36" s="13"/>
      <c r="O36" s="13"/>
      <c r="P36" s="13"/>
      <c r="Q36" s="13"/>
      <c r="R36" s="13"/>
      <c r="S36" s="13"/>
    </row>
    <row r="37" spans="1:19" ht="12.75" customHeight="1" x14ac:dyDescent="0.15">
      <c r="A37" s="17" t="s">
        <v>248</v>
      </c>
      <c r="B37" s="18" t="s">
        <v>247</v>
      </c>
      <c r="C37" s="14">
        <f t="shared" si="1"/>
        <v>15.5</v>
      </c>
      <c r="D37" s="15">
        <f t="shared" si="2"/>
        <v>168</v>
      </c>
      <c r="E37" s="15">
        <v>211</v>
      </c>
      <c r="F37" s="15">
        <v>11</v>
      </c>
      <c r="G37" s="15">
        <v>6</v>
      </c>
      <c r="H37" s="15">
        <v>1</v>
      </c>
      <c r="I37" s="15">
        <v>14</v>
      </c>
      <c r="J37" s="15">
        <v>36</v>
      </c>
      <c r="K37" s="15">
        <v>48</v>
      </c>
      <c r="L37" s="15">
        <v>52</v>
      </c>
      <c r="M37" s="21" t="s">
        <v>247</v>
      </c>
      <c r="N37" s="13"/>
      <c r="O37" s="13"/>
      <c r="P37" s="13"/>
      <c r="Q37" s="13"/>
      <c r="R37" s="13"/>
      <c r="S37" s="13"/>
    </row>
    <row r="38" spans="1:19" ht="12.75" customHeight="1" x14ac:dyDescent="0.15">
      <c r="A38" s="17" t="s">
        <v>232</v>
      </c>
      <c r="B38" s="18" t="s">
        <v>198</v>
      </c>
      <c r="C38" s="14">
        <f t="shared" si="1"/>
        <v>15.5</v>
      </c>
      <c r="D38" s="15">
        <f t="shared" si="2"/>
        <v>166</v>
      </c>
      <c r="E38" s="15">
        <v>211</v>
      </c>
      <c r="F38" s="15">
        <v>18</v>
      </c>
      <c r="G38" s="15">
        <v>6</v>
      </c>
      <c r="H38" s="15">
        <v>1</v>
      </c>
      <c r="I38" s="15">
        <v>7</v>
      </c>
      <c r="J38" s="15">
        <v>36</v>
      </c>
      <c r="K38" s="15">
        <v>48</v>
      </c>
      <c r="L38" s="15">
        <v>50</v>
      </c>
      <c r="M38" s="21" t="s">
        <v>198</v>
      </c>
      <c r="N38" s="13"/>
      <c r="O38" s="13"/>
      <c r="P38" s="13"/>
      <c r="Q38" s="13"/>
      <c r="R38" s="13"/>
      <c r="S38" s="13"/>
    </row>
    <row r="39" spans="1:19" ht="12.75" customHeight="1" x14ac:dyDescent="0.15">
      <c r="A39" s="17" t="s">
        <v>175</v>
      </c>
      <c r="B39" s="18" t="s">
        <v>226</v>
      </c>
      <c r="C39" s="14">
        <f t="shared" si="1"/>
        <v>15.5</v>
      </c>
      <c r="D39" s="15">
        <f t="shared" si="2"/>
        <v>168</v>
      </c>
      <c r="E39" s="15">
        <v>211</v>
      </c>
      <c r="F39" s="15">
        <v>10</v>
      </c>
      <c r="G39" s="15">
        <v>11</v>
      </c>
      <c r="H39" s="15">
        <v>1</v>
      </c>
      <c r="I39" s="15">
        <v>14</v>
      </c>
      <c r="J39" s="15">
        <v>36</v>
      </c>
      <c r="K39" s="15">
        <v>44</v>
      </c>
      <c r="L39" s="15">
        <v>52</v>
      </c>
      <c r="M39" s="21" t="s">
        <v>226</v>
      </c>
      <c r="N39" s="13"/>
      <c r="O39" s="13"/>
      <c r="P39" s="13"/>
      <c r="Q39" s="13"/>
      <c r="R39" s="13"/>
      <c r="S39" s="13"/>
    </row>
    <row r="40" spans="1:19" ht="12.75" customHeight="1" x14ac:dyDescent="0.15">
      <c r="A40" s="17" t="s">
        <v>158</v>
      </c>
      <c r="B40" s="18" t="s">
        <v>228</v>
      </c>
      <c r="C40" s="14">
        <f t="shared" si="1"/>
        <v>15.5</v>
      </c>
      <c r="D40" s="15">
        <f t="shared" si="2"/>
        <v>164</v>
      </c>
      <c r="E40" s="15">
        <v>211</v>
      </c>
      <c r="F40" s="15">
        <v>12</v>
      </c>
      <c r="G40" s="15">
        <v>18</v>
      </c>
      <c r="H40" s="15">
        <v>1</v>
      </c>
      <c r="I40" s="15">
        <v>6</v>
      </c>
      <c r="J40" s="15">
        <v>16</v>
      </c>
      <c r="K40" s="15">
        <v>59</v>
      </c>
      <c r="L40" s="15">
        <v>52</v>
      </c>
      <c r="M40" s="21" t="s">
        <v>228</v>
      </c>
      <c r="N40" s="13"/>
      <c r="O40" s="13"/>
      <c r="P40" s="13"/>
      <c r="Q40" s="13"/>
      <c r="R40" s="13"/>
      <c r="S40" s="13"/>
    </row>
    <row r="41" spans="1:19" ht="12.75" customHeight="1" x14ac:dyDescent="0.15">
      <c r="A41" s="17" t="s">
        <v>131</v>
      </c>
      <c r="B41" s="18" t="s">
        <v>214</v>
      </c>
      <c r="C41" s="14">
        <f t="shared" si="1"/>
        <v>16</v>
      </c>
      <c r="D41" s="15">
        <f t="shared" si="2"/>
        <v>172</v>
      </c>
      <c r="E41" s="15">
        <v>211</v>
      </c>
      <c r="F41" s="15">
        <v>18</v>
      </c>
      <c r="G41" s="15">
        <v>5</v>
      </c>
      <c r="H41" s="15">
        <v>1</v>
      </c>
      <c r="I41" s="15">
        <v>6</v>
      </c>
      <c r="J41" s="15">
        <v>18</v>
      </c>
      <c r="K41" s="15">
        <v>72</v>
      </c>
      <c r="L41" s="15">
        <v>52</v>
      </c>
      <c r="M41" s="21" t="s">
        <v>214</v>
      </c>
      <c r="N41" s="13"/>
      <c r="O41" s="13"/>
      <c r="P41" s="13"/>
      <c r="Q41" s="13"/>
      <c r="R41" s="13"/>
      <c r="S41" s="13"/>
    </row>
    <row r="42" spans="1:19" ht="12.75" customHeight="1" x14ac:dyDescent="0.15">
      <c r="A42" s="17" t="s">
        <v>183</v>
      </c>
      <c r="B42" s="18" t="s">
        <v>211</v>
      </c>
      <c r="C42" s="14">
        <f t="shared" si="1"/>
        <v>16</v>
      </c>
      <c r="D42" s="15">
        <f t="shared" si="2"/>
        <v>169</v>
      </c>
      <c r="E42" s="15">
        <v>211</v>
      </c>
      <c r="F42" s="15">
        <v>12</v>
      </c>
      <c r="G42" s="15">
        <v>6</v>
      </c>
      <c r="H42" s="15">
        <v>1</v>
      </c>
      <c r="I42" s="15">
        <v>14</v>
      </c>
      <c r="J42" s="15">
        <v>36</v>
      </c>
      <c r="K42" s="15">
        <v>48</v>
      </c>
      <c r="L42" s="15">
        <v>52</v>
      </c>
      <c r="M42" s="21" t="s">
        <v>211</v>
      </c>
      <c r="N42" s="13"/>
      <c r="O42" s="13"/>
      <c r="P42" s="13"/>
      <c r="Q42" s="13"/>
      <c r="R42" s="13"/>
      <c r="S42" s="13"/>
    </row>
    <row r="43" spans="1:19" ht="12.75" customHeight="1" x14ac:dyDescent="0.15">
      <c r="A43" s="17" t="s">
        <v>252</v>
      </c>
      <c r="B43" s="18" t="s">
        <v>117</v>
      </c>
      <c r="C43" s="14">
        <f t="shared" si="1"/>
        <v>16</v>
      </c>
      <c r="D43" s="15">
        <f t="shared" si="2"/>
        <v>169</v>
      </c>
      <c r="E43" s="15">
        <v>211</v>
      </c>
      <c r="F43" s="15">
        <v>6</v>
      </c>
      <c r="G43" s="15">
        <v>0</v>
      </c>
      <c r="H43" s="15">
        <v>1</v>
      </c>
      <c r="I43" s="15">
        <v>14</v>
      </c>
      <c r="J43" s="15">
        <v>26</v>
      </c>
      <c r="K43" s="15">
        <v>70</v>
      </c>
      <c r="L43" s="15">
        <v>52</v>
      </c>
      <c r="M43" s="21" t="s">
        <v>117</v>
      </c>
      <c r="N43" s="13"/>
      <c r="O43" s="13"/>
      <c r="P43" s="13"/>
      <c r="Q43" s="13"/>
      <c r="R43" s="13"/>
      <c r="S43" s="13"/>
    </row>
    <row r="44" spans="1:19" ht="12.75" customHeight="1" x14ac:dyDescent="0.15">
      <c r="A44" s="17" t="s">
        <v>217</v>
      </c>
      <c r="B44" s="18" t="s">
        <v>231</v>
      </c>
      <c r="C44" s="14">
        <f t="shared" si="1"/>
        <v>16</v>
      </c>
      <c r="D44" s="15">
        <f t="shared" si="2"/>
        <v>171</v>
      </c>
      <c r="E44" s="15">
        <v>211</v>
      </c>
      <c r="F44" s="15">
        <v>12</v>
      </c>
      <c r="G44" s="15">
        <v>12</v>
      </c>
      <c r="H44" s="15">
        <v>1</v>
      </c>
      <c r="I44" s="15">
        <v>14</v>
      </c>
      <c r="J44" s="15">
        <v>36</v>
      </c>
      <c r="K44" s="15">
        <v>72</v>
      </c>
      <c r="L44" s="15">
        <v>24</v>
      </c>
      <c r="M44" s="21" t="s">
        <v>231</v>
      </c>
      <c r="N44" s="13"/>
      <c r="O44" s="13"/>
      <c r="P44" s="13"/>
      <c r="Q44" s="13"/>
      <c r="R44" s="13"/>
      <c r="S44" s="13"/>
    </row>
    <row r="45" spans="1:19" ht="12.75" customHeight="1" x14ac:dyDescent="0.15">
      <c r="A45" s="17" t="s">
        <v>222</v>
      </c>
      <c r="B45" s="18" t="s">
        <v>208</v>
      </c>
      <c r="C45" s="14">
        <f t="shared" si="1"/>
        <v>16</v>
      </c>
      <c r="D45" s="15">
        <f t="shared" si="2"/>
        <v>172</v>
      </c>
      <c r="E45" s="15">
        <v>211</v>
      </c>
      <c r="F45" s="15">
        <v>12</v>
      </c>
      <c r="G45" s="15">
        <v>11</v>
      </c>
      <c r="H45" s="15">
        <v>1</v>
      </c>
      <c r="I45" s="15">
        <v>0</v>
      </c>
      <c r="J45" s="15">
        <v>36</v>
      </c>
      <c r="K45" s="15">
        <v>60</v>
      </c>
      <c r="L45" s="15">
        <v>52</v>
      </c>
      <c r="M45" s="21" t="s">
        <v>208</v>
      </c>
      <c r="N45" s="13"/>
      <c r="O45" s="13"/>
      <c r="P45" s="13"/>
      <c r="Q45" s="13"/>
      <c r="R45" s="13"/>
      <c r="S45" s="13"/>
    </row>
    <row r="46" spans="1:19" ht="12.75" customHeight="1" x14ac:dyDescent="0.15">
      <c r="A46" s="17" t="s">
        <v>223</v>
      </c>
      <c r="B46" s="18" t="s">
        <v>202</v>
      </c>
      <c r="C46" s="14">
        <f t="shared" si="1"/>
        <v>16.5</v>
      </c>
      <c r="D46" s="15">
        <f t="shared" si="2"/>
        <v>177</v>
      </c>
      <c r="E46" s="15">
        <v>211</v>
      </c>
      <c r="F46" s="15">
        <v>5</v>
      </c>
      <c r="G46" s="15">
        <v>12</v>
      </c>
      <c r="H46" s="15">
        <v>0</v>
      </c>
      <c r="I46" s="15">
        <v>0</v>
      </c>
      <c r="J46" s="15">
        <v>36</v>
      </c>
      <c r="K46" s="15">
        <v>72</v>
      </c>
      <c r="L46" s="15">
        <v>52</v>
      </c>
      <c r="M46" s="21" t="s">
        <v>202</v>
      </c>
      <c r="N46" s="13"/>
      <c r="O46" s="13"/>
      <c r="P46" s="13"/>
      <c r="Q46" s="13"/>
      <c r="R46" s="13"/>
      <c r="S46" s="13"/>
    </row>
    <row r="47" spans="1:19" ht="12.75" customHeight="1" x14ac:dyDescent="0.15">
      <c r="A47" s="17" t="s">
        <v>118</v>
      </c>
      <c r="B47" s="18" t="s">
        <v>239</v>
      </c>
      <c r="C47" s="14">
        <f t="shared" si="1"/>
        <v>16.5</v>
      </c>
      <c r="D47" s="15">
        <f t="shared" si="2"/>
        <v>176</v>
      </c>
      <c r="E47" s="15">
        <v>211</v>
      </c>
      <c r="F47" s="15">
        <v>18</v>
      </c>
      <c r="G47" s="15">
        <v>4</v>
      </c>
      <c r="H47" s="15">
        <v>1</v>
      </c>
      <c r="I47" s="15">
        <v>6</v>
      </c>
      <c r="J47" s="15">
        <v>36</v>
      </c>
      <c r="K47" s="15">
        <v>59</v>
      </c>
      <c r="L47" s="15">
        <v>52</v>
      </c>
      <c r="M47" s="21" t="s">
        <v>239</v>
      </c>
      <c r="N47" s="13"/>
      <c r="O47" s="13"/>
      <c r="P47" s="13"/>
      <c r="Q47" s="13"/>
      <c r="R47" s="13"/>
      <c r="S47" s="13"/>
    </row>
    <row r="48" spans="1:19" ht="12.75" customHeight="1" x14ac:dyDescent="0.15">
      <c r="A48" s="17" t="s">
        <v>225</v>
      </c>
      <c r="B48" s="18" t="s">
        <v>136</v>
      </c>
      <c r="C48" s="14">
        <f t="shared" si="1"/>
        <v>17</v>
      </c>
      <c r="D48" s="15">
        <f t="shared" si="2"/>
        <v>183</v>
      </c>
      <c r="E48" s="15">
        <v>211</v>
      </c>
      <c r="F48" s="15">
        <v>18</v>
      </c>
      <c r="G48" s="15">
        <v>18</v>
      </c>
      <c r="H48" s="15">
        <v>1</v>
      </c>
      <c r="I48" s="15">
        <v>14</v>
      </c>
      <c r="J48" s="15">
        <v>36</v>
      </c>
      <c r="K48" s="15">
        <v>44</v>
      </c>
      <c r="L48" s="15">
        <v>52</v>
      </c>
      <c r="M48" s="21" t="s">
        <v>136</v>
      </c>
      <c r="N48" s="13"/>
      <c r="O48" s="13"/>
      <c r="P48" s="13"/>
      <c r="Q48" s="13"/>
      <c r="R48" s="13"/>
      <c r="S48" s="13"/>
    </row>
    <row r="49" spans="1:19" ht="12.75" customHeight="1" x14ac:dyDescent="0.15">
      <c r="A49" s="17" t="s">
        <v>178</v>
      </c>
      <c r="B49" s="18" t="s">
        <v>234</v>
      </c>
      <c r="C49" s="14">
        <f t="shared" si="1"/>
        <v>17</v>
      </c>
      <c r="D49" s="15">
        <f t="shared" si="2"/>
        <v>183</v>
      </c>
      <c r="E49" s="15">
        <v>211</v>
      </c>
      <c r="F49" s="15">
        <v>18</v>
      </c>
      <c r="G49" s="15">
        <v>12</v>
      </c>
      <c r="H49" s="15">
        <v>1</v>
      </c>
      <c r="I49" s="15">
        <v>14</v>
      </c>
      <c r="J49" s="15">
        <v>26</v>
      </c>
      <c r="K49" s="15">
        <v>60</v>
      </c>
      <c r="L49" s="15">
        <v>52</v>
      </c>
      <c r="M49" s="21" t="s">
        <v>234</v>
      </c>
      <c r="N49" s="13"/>
      <c r="O49" s="13"/>
      <c r="P49" s="13"/>
      <c r="Q49" s="13"/>
      <c r="R49" s="13"/>
      <c r="S49" s="13"/>
    </row>
    <row r="50" spans="1:19" ht="12.75" customHeight="1" x14ac:dyDescent="0.15">
      <c r="A50" s="17" t="s">
        <v>114</v>
      </c>
      <c r="B50" s="18" t="s">
        <v>115</v>
      </c>
      <c r="C50" s="14">
        <f t="shared" si="1"/>
        <v>17</v>
      </c>
      <c r="D50" s="15">
        <f t="shared" si="2"/>
        <v>184</v>
      </c>
      <c r="E50" s="15">
        <v>211</v>
      </c>
      <c r="F50" s="15">
        <v>12</v>
      </c>
      <c r="G50" s="15">
        <v>5</v>
      </c>
      <c r="H50" s="15">
        <v>1</v>
      </c>
      <c r="I50" s="15">
        <v>6</v>
      </c>
      <c r="J50" s="15">
        <v>36</v>
      </c>
      <c r="K50" s="15">
        <v>72</v>
      </c>
      <c r="L50" s="15">
        <v>52</v>
      </c>
      <c r="M50" s="21" t="s">
        <v>115</v>
      </c>
      <c r="N50" s="13"/>
      <c r="O50" s="13"/>
      <c r="P50" s="13"/>
      <c r="Q50" s="13"/>
      <c r="R50" s="13"/>
      <c r="S50" s="13"/>
    </row>
    <row r="51" spans="1:19" ht="12.75" customHeight="1" x14ac:dyDescent="0.15">
      <c r="A51" s="17" t="s">
        <v>162</v>
      </c>
      <c r="B51" s="18" t="s">
        <v>163</v>
      </c>
      <c r="C51" s="14">
        <f t="shared" si="1"/>
        <v>17.5</v>
      </c>
      <c r="D51" s="15">
        <f t="shared" si="2"/>
        <v>189</v>
      </c>
      <c r="E51" s="15">
        <v>211</v>
      </c>
      <c r="F51" s="15">
        <v>18</v>
      </c>
      <c r="G51" s="15">
        <v>18</v>
      </c>
      <c r="H51" s="15">
        <v>1</v>
      </c>
      <c r="I51" s="15">
        <v>14</v>
      </c>
      <c r="J51" s="15">
        <v>26</v>
      </c>
      <c r="K51" s="15">
        <v>60</v>
      </c>
      <c r="L51" s="15">
        <v>52</v>
      </c>
      <c r="M51" s="21" t="s">
        <v>163</v>
      </c>
      <c r="N51" s="13"/>
      <c r="O51" s="13"/>
      <c r="P51" s="13"/>
      <c r="Q51" s="13"/>
      <c r="R51" s="13"/>
      <c r="S51" s="13"/>
    </row>
    <row r="52" spans="1:19" ht="12.75" customHeight="1" x14ac:dyDescent="0.15">
      <c r="A52" s="17" t="s">
        <v>125</v>
      </c>
      <c r="B52" s="18" t="s">
        <v>144</v>
      </c>
      <c r="C52" s="14">
        <f t="shared" si="1"/>
        <v>17.5</v>
      </c>
      <c r="D52" s="15">
        <f t="shared" si="2"/>
        <v>186</v>
      </c>
      <c r="E52" s="15">
        <v>211</v>
      </c>
      <c r="F52" s="15">
        <v>12</v>
      </c>
      <c r="G52" s="15">
        <v>12</v>
      </c>
      <c r="H52" s="15">
        <v>1</v>
      </c>
      <c r="I52" s="15">
        <v>14</v>
      </c>
      <c r="J52" s="15">
        <v>36</v>
      </c>
      <c r="K52" s="15">
        <v>59</v>
      </c>
      <c r="L52" s="15">
        <v>52</v>
      </c>
      <c r="M52" s="21" t="s">
        <v>144</v>
      </c>
      <c r="N52" s="13"/>
      <c r="O52" s="13"/>
      <c r="P52" s="13"/>
      <c r="Q52" s="13"/>
      <c r="R52" s="13"/>
      <c r="S52" s="13"/>
    </row>
    <row r="53" spans="1:19" ht="12.75" customHeight="1" x14ac:dyDescent="0.15">
      <c r="A53" s="17" t="s">
        <v>189</v>
      </c>
      <c r="B53" s="18" t="s">
        <v>150</v>
      </c>
      <c r="C53" s="14">
        <f t="shared" si="1"/>
        <v>17.5</v>
      </c>
      <c r="D53" s="15">
        <f t="shared" si="2"/>
        <v>187</v>
      </c>
      <c r="E53" s="15">
        <v>211</v>
      </c>
      <c r="F53" s="15">
        <v>18</v>
      </c>
      <c r="G53" s="15">
        <v>6</v>
      </c>
      <c r="H53" s="15">
        <v>1</v>
      </c>
      <c r="I53" s="15">
        <v>14</v>
      </c>
      <c r="J53" s="15">
        <v>36</v>
      </c>
      <c r="K53" s="15">
        <v>60</v>
      </c>
      <c r="L53" s="15">
        <v>52</v>
      </c>
      <c r="M53" s="21" t="s">
        <v>288</v>
      </c>
      <c r="N53" s="13"/>
      <c r="O53" s="13"/>
      <c r="P53" s="13"/>
      <c r="Q53" s="13"/>
      <c r="R53" s="13"/>
      <c r="S53" s="13"/>
    </row>
    <row r="54" spans="1:19" ht="12.75" customHeight="1" x14ac:dyDescent="0.15">
      <c r="A54" s="17" t="s">
        <v>179</v>
      </c>
      <c r="B54" s="18" t="s">
        <v>173</v>
      </c>
      <c r="C54" s="14">
        <f t="shared" si="1"/>
        <v>18</v>
      </c>
      <c r="D54" s="15">
        <f t="shared" si="2"/>
        <v>191</v>
      </c>
      <c r="E54" s="15">
        <v>211</v>
      </c>
      <c r="F54" s="15">
        <v>18</v>
      </c>
      <c r="G54" s="15">
        <v>5</v>
      </c>
      <c r="H54" s="15">
        <v>1</v>
      </c>
      <c r="I54" s="15">
        <v>7</v>
      </c>
      <c r="J54" s="15">
        <v>36</v>
      </c>
      <c r="K54" s="15">
        <v>72</v>
      </c>
      <c r="L54" s="15">
        <v>52</v>
      </c>
      <c r="M54" s="21" t="s">
        <v>173</v>
      </c>
      <c r="N54" s="13"/>
      <c r="O54" s="13"/>
      <c r="P54" s="13"/>
      <c r="Q54" s="13"/>
      <c r="R54" s="13"/>
      <c r="S54" s="13"/>
    </row>
    <row r="55" spans="1:19" ht="12.75" customHeight="1" x14ac:dyDescent="0.15">
      <c r="A55" s="17" t="s">
        <v>152</v>
      </c>
      <c r="B55" s="18" t="s">
        <v>142</v>
      </c>
      <c r="C55" s="14">
        <f t="shared" si="1"/>
        <v>18</v>
      </c>
      <c r="D55" s="15">
        <f t="shared" si="2"/>
        <v>192</v>
      </c>
      <c r="E55" s="15">
        <v>211</v>
      </c>
      <c r="F55" s="15">
        <v>6</v>
      </c>
      <c r="G55" s="15">
        <v>11</v>
      </c>
      <c r="H55" s="15">
        <v>1</v>
      </c>
      <c r="I55" s="15">
        <v>14</v>
      </c>
      <c r="J55" s="15">
        <v>36</v>
      </c>
      <c r="K55" s="15">
        <v>72</v>
      </c>
      <c r="L55" s="15">
        <v>52</v>
      </c>
      <c r="M55" s="21" t="s">
        <v>142</v>
      </c>
      <c r="N55" s="13"/>
      <c r="O55" s="13"/>
      <c r="P55" s="13"/>
      <c r="Q55" s="13"/>
      <c r="R55" s="13"/>
      <c r="S55" s="13"/>
    </row>
    <row r="56" spans="1:19" ht="12.75" customHeight="1" x14ac:dyDescent="0.15">
      <c r="A56" s="17" t="s">
        <v>203</v>
      </c>
      <c r="B56" s="18" t="s">
        <v>242</v>
      </c>
      <c r="C56" s="14">
        <f t="shared" si="1"/>
        <v>18</v>
      </c>
      <c r="D56" s="15">
        <f t="shared" si="2"/>
        <v>193</v>
      </c>
      <c r="E56" s="15">
        <v>211</v>
      </c>
      <c r="F56" s="15">
        <v>12</v>
      </c>
      <c r="G56" s="15">
        <v>18</v>
      </c>
      <c r="H56" s="15">
        <v>1</v>
      </c>
      <c r="I56" s="15">
        <v>14</v>
      </c>
      <c r="J56" s="15">
        <v>36</v>
      </c>
      <c r="K56" s="15">
        <v>60</v>
      </c>
      <c r="L56" s="15">
        <v>52</v>
      </c>
      <c r="M56" s="21" t="s">
        <v>242</v>
      </c>
      <c r="N56" s="13"/>
      <c r="O56" s="13"/>
      <c r="P56" s="13"/>
      <c r="Q56" s="13"/>
      <c r="R56" s="13"/>
      <c r="S56" s="13"/>
    </row>
    <row r="57" spans="1:19" ht="12.75" customHeight="1" x14ac:dyDescent="0.15">
      <c r="A57" s="17" t="s">
        <v>213</v>
      </c>
      <c r="B57" s="18" t="s">
        <v>187</v>
      </c>
      <c r="C57" s="14">
        <f t="shared" si="1"/>
        <v>18</v>
      </c>
      <c r="D57" s="15">
        <f t="shared" si="2"/>
        <v>191</v>
      </c>
      <c r="E57" s="15">
        <v>211</v>
      </c>
      <c r="F57" s="15">
        <v>12</v>
      </c>
      <c r="G57" s="15">
        <v>12</v>
      </c>
      <c r="H57" s="15">
        <v>1</v>
      </c>
      <c r="I57" s="15">
        <v>7</v>
      </c>
      <c r="J57" s="15">
        <v>36</v>
      </c>
      <c r="K57" s="15">
        <v>71</v>
      </c>
      <c r="L57" s="15">
        <v>52</v>
      </c>
      <c r="M57" s="21" t="s">
        <v>187</v>
      </c>
      <c r="N57" s="13"/>
      <c r="O57" s="13"/>
      <c r="P57" s="13"/>
      <c r="Q57" s="13"/>
      <c r="R57" s="13"/>
      <c r="S57" s="13"/>
    </row>
    <row r="58" spans="1:19" ht="12.75" customHeight="1" x14ac:dyDescent="0.15">
      <c r="A58" s="17" t="s">
        <v>182</v>
      </c>
      <c r="B58" s="18" t="s">
        <v>256</v>
      </c>
      <c r="C58" s="14">
        <f t="shared" si="1"/>
        <v>18.5</v>
      </c>
      <c r="D58" s="15">
        <f t="shared" si="2"/>
        <v>199</v>
      </c>
      <c r="E58" s="15">
        <v>211</v>
      </c>
      <c r="F58" s="15">
        <v>18</v>
      </c>
      <c r="G58" s="15">
        <v>18</v>
      </c>
      <c r="H58" s="15">
        <v>1</v>
      </c>
      <c r="I58" s="15">
        <v>14</v>
      </c>
      <c r="J58" s="15">
        <v>36</v>
      </c>
      <c r="K58" s="15">
        <v>60</v>
      </c>
      <c r="L58" s="15">
        <v>52</v>
      </c>
      <c r="M58" s="21" t="s">
        <v>256</v>
      </c>
      <c r="N58" s="13"/>
      <c r="O58" s="13"/>
      <c r="P58" s="13"/>
      <c r="Q58" s="13"/>
      <c r="R58" s="13"/>
      <c r="S58" s="13"/>
    </row>
    <row r="59" spans="1:19" ht="12.75" customHeight="1" x14ac:dyDescent="0.15">
      <c r="A59" s="17" t="s">
        <v>138</v>
      </c>
      <c r="B59" s="18" t="s">
        <v>200</v>
      </c>
      <c r="C59" s="14">
        <f t="shared" si="1"/>
        <v>18.5</v>
      </c>
      <c r="D59" s="15">
        <f t="shared" si="2"/>
        <v>199</v>
      </c>
      <c r="E59" s="15">
        <v>211</v>
      </c>
      <c r="F59" s="15">
        <v>18</v>
      </c>
      <c r="G59" s="15">
        <v>18</v>
      </c>
      <c r="H59" s="15">
        <v>1</v>
      </c>
      <c r="I59" s="15">
        <v>14</v>
      </c>
      <c r="J59" s="15">
        <v>36</v>
      </c>
      <c r="K59" s="15">
        <v>60</v>
      </c>
      <c r="L59" s="15">
        <v>52</v>
      </c>
      <c r="M59" s="21" t="s">
        <v>200</v>
      </c>
      <c r="N59" s="13"/>
      <c r="O59" s="13"/>
      <c r="P59" s="13"/>
      <c r="Q59" s="13"/>
      <c r="R59" s="13"/>
      <c r="S59" s="13"/>
    </row>
    <row r="60" spans="1:19" ht="12.75" customHeight="1" x14ac:dyDescent="0.15">
      <c r="A60" s="17" t="s">
        <v>156</v>
      </c>
      <c r="B60" s="18" t="s">
        <v>249</v>
      </c>
      <c r="C60" s="14">
        <f t="shared" si="1"/>
        <v>18.5</v>
      </c>
      <c r="D60" s="15">
        <f t="shared" si="2"/>
        <v>198</v>
      </c>
      <c r="E60" s="15">
        <v>211</v>
      </c>
      <c r="F60" s="15">
        <v>5</v>
      </c>
      <c r="G60" s="15">
        <v>18</v>
      </c>
      <c r="H60" s="15">
        <v>1</v>
      </c>
      <c r="I60" s="15">
        <v>14</v>
      </c>
      <c r="J60" s="15">
        <v>36</v>
      </c>
      <c r="K60" s="15">
        <v>72</v>
      </c>
      <c r="L60" s="15">
        <v>52</v>
      </c>
      <c r="M60" s="21" t="s">
        <v>249</v>
      </c>
      <c r="N60" s="13"/>
      <c r="O60" s="13"/>
      <c r="P60" s="13"/>
      <c r="Q60" s="13"/>
      <c r="R60" s="13"/>
      <c r="S60" s="13"/>
    </row>
    <row r="61" spans="1:19" ht="12.75" customHeight="1" x14ac:dyDescent="0.15">
      <c r="A61" s="17" t="s">
        <v>255</v>
      </c>
      <c r="B61" s="18" t="s">
        <v>251</v>
      </c>
      <c r="C61" s="14">
        <f t="shared" si="1"/>
        <v>18.5</v>
      </c>
      <c r="D61" s="15">
        <f t="shared" si="2"/>
        <v>198</v>
      </c>
      <c r="E61" s="15">
        <v>211</v>
      </c>
      <c r="F61" s="15">
        <v>12</v>
      </c>
      <c r="G61" s="15">
        <v>11</v>
      </c>
      <c r="H61" s="15">
        <v>1</v>
      </c>
      <c r="I61" s="15">
        <v>14</v>
      </c>
      <c r="J61" s="15">
        <v>36</v>
      </c>
      <c r="K61" s="15">
        <v>72</v>
      </c>
      <c r="L61" s="15">
        <v>52</v>
      </c>
      <c r="M61" s="21" t="s">
        <v>251</v>
      </c>
      <c r="N61" s="13"/>
      <c r="O61" s="13"/>
      <c r="P61" s="13"/>
      <c r="Q61" s="13"/>
      <c r="R61" s="13"/>
      <c r="S61" s="13"/>
    </row>
    <row r="62" spans="1:19" ht="12.75" customHeight="1" x14ac:dyDescent="0.15">
      <c r="A62" s="17" t="s">
        <v>169</v>
      </c>
      <c r="B62" s="18" t="s">
        <v>260</v>
      </c>
      <c r="C62" s="14">
        <f t="shared" si="1"/>
        <v>18.5</v>
      </c>
      <c r="D62" s="15">
        <f t="shared" si="2"/>
        <v>198</v>
      </c>
      <c r="E62" s="15">
        <v>211</v>
      </c>
      <c r="F62" s="15">
        <v>18</v>
      </c>
      <c r="G62" s="15">
        <v>5</v>
      </c>
      <c r="H62" s="15">
        <v>1</v>
      </c>
      <c r="I62" s="15">
        <v>14</v>
      </c>
      <c r="J62" s="15">
        <v>36</v>
      </c>
      <c r="K62" s="15">
        <v>72</v>
      </c>
      <c r="L62" s="15">
        <v>52</v>
      </c>
      <c r="M62" s="21" t="s">
        <v>260</v>
      </c>
      <c r="N62" s="13"/>
      <c r="O62" s="13"/>
      <c r="P62" s="13"/>
      <c r="Q62" s="13"/>
      <c r="R62" s="13"/>
      <c r="S62" s="13"/>
    </row>
    <row r="63" spans="1:19" ht="12.75" customHeight="1" x14ac:dyDescent="0.15">
      <c r="A63" s="17" t="s">
        <v>186</v>
      </c>
      <c r="B63" s="18" t="s">
        <v>153</v>
      </c>
      <c r="C63" s="14">
        <f t="shared" si="1"/>
        <v>18.5</v>
      </c>
      <c r="D63" s="15">
        <f t="shared" si="2"/>
        <v>199</v>
      </c>
      <c r="E63" s="15">
        <v>211</v>
      </c>
      <c r="F63" s="15">
        <v>18</v>
      </c>
      <c r="G63" s="15">
        <v>6</v>
      </c>
      <c r="H63" s="15">
        <v>1</v>
      </c>
      <c r="I63" s="15">
        <v>14</v>
      </c>
      <c r="J63" s="15">
        <v>36</v>
      </c>
      <c r="K63" s="15">
        <v>72</v>
      </c>
      <c r="L63" s="15">
        <v>52</v>
      </c>
      <c r="M63" s="21" t="s">
        <v>261</v>
      </c>
      <c r="N63" s="13"/>
      <c r="O63" s="13"/>
      <c r="P63" s="13"/>
      <c r="Q63" s="13"/>
      <c r="R63" s="13"/>
      <c r="S63" s="13"/>
    </row>
    <row r="64" spans="1:19" ht="12.75" customHeight="1" x14ac:dyDescent="0.15">
      <c r="A64" s="17" t="s">
        <v>139</v>
      </c>
      <c r="B64" s="18" t="s">
        <v>258</v>
      </c>
      <c r="C64" s="14">
        <f t="shared" si="1"/>
        <v>19</v>
      </c>
      <c r="D64" s="15">
        <f t="shared" si="2"/>
        <v>201</v>
      </c>
      <c r="E64" s="15">
        <v>211</v>
      </c>
      <c r="F64" s="15">
        <v>18</v>
      </c>
      <c r="G64" s="15">
        <v>18</v>
      </c>
      <c r="H64" s="15">
        <v>1</v>
      </c>
      <c r="I64" s="15">
        <v>14</v>
      </c>
      <c r="J64" s="15">
        <v>26</v>
      </c>
      <c r="K64" s="15">
        <v>72</v>
      </c>
      <c r="L64" s="15">
        <v>52</v>
      </c>
      <c r="M64" s="21" t="s">
        <v>258</v>
      </c>
      <c r="N64" s="13"/>
      <c r="O64" s="13"/>
      <c r="P64" s="13"/>
      <c r="Q64" s="13"/>
      <c r="R64" s="13"/>
      <c r="S64" s="13"/>
    </row>
    <row r="65" spans="1:19" ht="12.75" customHeight="1" x14ac:dyDescent="0.15">
      <c r="A65" s="17" t="s">
        <v>184</v>
      </c>
      <c r="B65" s="18" t="s">
        <v>250</v>
      </c>
      <c r="C65" s="14">
        <f t="shared" si="1"/>
        <v>19</v>
      </c>
      <c r="D65" s="15">
        <f t="shared" si="2"/>
        <v>205</v>
      </c>
      <c r="E65" s="15">
        <v>211</v>
      </c>
      <c r="F65" s="15">
        <v>18</v>
      </c>
      <c r="G65" s="15">
        <v>12</v>
      </c>
      <c r="H65" s="15">
        <v>1</v>
      </c>
      <c r="I65" s="15">
        <v>14</v>
      </c>
      <c r="J65" s="15">
        <v>36</v>
      </c>
      <c r="K65" s="15">
        <v>72</v>
      </c>
      <c r="L65" s="15">
        <v>52</v>
      </c>
      <c r="M65" s="21" t="s">
        <v>250</v>
      </c>
      <c r="N65" s="13"/>
      <c r="O65" s="13"/>
      <c r="P65" s="13"/>
      <c r="Q65" s="13"/>
      <c r="R65" s="13"/>
      <c r="S65" s="13"/>
    </row>
    <row r="66" spans="1:19" ht="12.75" customHeight="1" x14ac:dyDescent="0.15">
      <c r="A66" s="17" t="s">
        <v>135</v>
      </c>
      <c r="B66" s="18" t="s">
        <v>259</v>
      </c>
      <c r="C66" s="14">
        <f t="shared" si="1"/>
        <v>19</v>
      </c>
      <c r="D66" s="15">
        <f t="shared" si="2"/>
        <v>204</v>
      </c>
      <c r="E66" s="15">
        <v>211</v>
      </c>
      <c r="F66" s="15">
        <v>18</v>
      </c>
      <c r="G66" s="15">
        <v>11</v>
      </c>
      <c r="H66" s="15">
        <v>1</v>
      </c>
      <c r="I66" s="15">
        <v>14</v>
      </c>
      <c r="J66" s="15">
        <v>36</v>
      </c>
      <c r="K66" s="15">
        <v>72</v>
      </c>
      <c r="L66" s="15">
        <v>52</v>
      </c>
      <c r="M66" s="21" t="s">
        <v>259</v>
      </c>
      <c r="N66" s="13"/>
      <c r="O66" s="13"/>
      <c r="P66" s="13"/>
      <c r="Q66" s="13"/>
      <c r="R66" s="13"/>
      <c r="S66" s="13"/>
    </row>
    <row r="67" spans="1:19" ht="12.75" customHeight="1" x14ac:dyDescent="0.15">
      <c r="A67" s="17" t="s">
        <v>177</v>
      </c>
      <c r="B67" s="18" t="s">
        <v>170</v>
      </c>
      <c r="C67" s="14">
        <f t="shared" si="1"/>
        <v>19</v>
      </c>
      <c r="D67" s="15">
        <f t="shared" si="2"/>
        <v>204</v>
      </c>
      <c r="E67" s="15">
        <v>211</v>
      </c>
      <c r="F67" s="15">
        <v>11</v>
      </c>
      <c r="G67" s="15">
        <v>18</v>
      </c>
      <c r="H67" s="15">
        <v>1</v>
      </c>
      <c r="I67" s="15">
        <v>14</v>
      </c>
      <c r="J67" s="15">
        <v>36</v>
      </c>
      <c r="K67" s="15">
        <v>72</v>
      </c>
      <c r="L67" s="15">
        <v>52</v>
      </c>
      <c r="M67" s="21" t="s">
        <v>170</v>
      </c>
      <c r="N67" s="13"/>
      <c r="O67" s="13"/>
      <c r="P67" s="13"/>
      <c r="Q67" s="13"/>
      <c r="R67" s="13"/>
      <c r="S67" s="13"/>
    </row>
    <row r="68" spans="1:19" ht="12.75" customHeight="1" x14ac:dyDescent="0.15">
      <c r="A68" s="17" t="s">
        <v>172</v>
      </c>
      <c r="B68" s="18" t="s">
        <v>180</v>
      </c>
      <c r="C68" s="14">
        <f t="shared" si="1"/>
        <v>19</v>
      </c>
      <c r="D68" s="15">
        <f t="shared" si="2"/>
        <v>205</v>
      </c>
      <c r="E68" s="15">
        <v>211</v>
      </c>
      <c r="F68" s="15">
        <v>18</v>
      </c>
      <c r="G68" s="15">
        <v>12</v>
      </c>
      <c r="H68" s="15">
        <v>1</v>
      </c>
      <c r="I68" s="15">
        <v>14</v>
      </c>
      <c r="J68" s="15">
        <v>36</v>
      </c>
      <c r="K68" s="15">
        <v>72</v>
      </c>
      <c r="L68" s="15">
        <v>52</v>
      </c>
      <c r="M68" s="21" t="s">
        <v>180</v>
      </c>
      <c r="N68" s="13"/>
      <c r="O68" s="13"/>
      <c r="P68" s="13"/>
      <c r="Q68" s="13"/>
      <c r="R68" s="13"/>
      <c r="S68" s="13"/>
    </row>
    <row r="69" spans="1:19" ht="12.75" customHeight="1" x14ac:dyDescent="0.15">
      <c r="A69" s="17" t="s">
        <v>257</v>
      </c>
      <c r="B69" s="18" t="s">
        <v>137</v>
      </c>
      <c r="C69" s="14">
        <f t="shared" si="1"/>
        <v>20</v>
      </c>
      <c r="D69" s="15">
        <f t="shared" si="2"/>
        <v>211</v>
      </c>
      <c r="E69" s="15">
        <v>211</v>
      </c>
      <c r="F69" s="15">
        <v>18</v>
      </c>
      <c r="G69" s="15">
        <v>18</v>
      </c>
      <c r="H69" s="15">
        <v>1</v>
      </c>
      <c r="I69" s="15">
        <v>14</v>
      </c>
      <c r="J69" s="15">
        <v>36</v>
      </c>
      <c r="K69" s="15">
        <v>72</v>
      </c>
      <c r="L69" s="15">
        <v>52</v>
      </c>
      <c r="M69" s="21" t="s">
        <v>137</v>
      </c>
      <c r="N69" s="13"/>
      <c r="O69" s="13"/>
      <c r="P69" s="13"/>
      <c r="Q69" s="13"/>
      <c r="R69" s="13"/>
      <c r="S69" s="13"/>
    </row>
    <row r="70" spans="1:19" ht="12.75" customHeight="1" x14ac:dyDescent="0.1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</row>
    <row r="71" spans="1:19" ht="12.75" customHeight="1" x14ac:dyDescent="0.1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</row>
    <row r="72" spans="1:19" ht="12.75" customHeight="1" x14ac:dyDescent="0.1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</row>
    <row r="73" spans="1:19" ht="12.75" customHeight="1" x14ac:dyDescent="0.1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</row>
    <row r="74" spans="1:19" ht="12.75" customHeight="1" x14ac:dyDescent="0.1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</row>
    <row r="75" spans="1:19" ht="12.75" customHeight="1" x14ac:dyDescent="0.1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</row>
    <row r="76" spans="1:19" ht="12.75" customHeight="1" x14ac:dyDescent="0.1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</row>
    <row r="77" spans="1:19" ht="12.75" customHeight="1" x14ac:dyDescent="0.1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</row>
    <row r="78" spans="1:19" ht="12.75" customHeight="1" x14ac:dyDescent="0.1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</row>
    <row r="79" spans="1:19" ht="12.75" customHeight="1" x14ac:dyDescent="0.1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</row>
    <row r="80" spans="1:19" ht="12.75" customHeight="1" x14ac:dyDescent="0.1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</row>
    <row r="81" spans="1:19" ht="12.75" customHeight="1" x14ac:dyDescent="0.1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</row>
    <row r="82" spans="1:19" ht="12.75" customHeight="1" x14ac:dyDescent="0.1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</row>
    <row r="83" spans="1:19" ht="12.75" customHeight="1" x14ac:dyDescent="0.1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</row>
    <row r="84" spans="1:19" ht="12.75" customHeight="1" x14ac:dyDescent="0.1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</row>
    <row r="85" spans="1:19" ht="12.75" customHeight="1" x14ac:dyDescent="0.1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</row>
    <row r="86" spans="1:19" ht="12.75" customHeight="1" x14ac:dyDescent="0.1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</row>
    <row r="87" spans="1:19" ht="12.75" customHeight="1" x14ac:dyDescent="0.1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</row>
    <row r="88" spans="1:19" ht="12.75" customHeight="1" x14ac:dyDescent="0.1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</row>
    <row r="89" spans="1:19" ht="12.75" customHeight="1" x14ac:dyDescent="0.1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</row>
    <row r="90" spans="1:19" ht="12.75" customHeight="1" x14ac:dyDescent="0.1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</row>
    <row r="91" spans="1:19" ht="12.75" customHeight="1" x14ac:dyDescent="0.1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</row>
    <row r="92" spans="1:19" ht="12.75" customHeight="1" x14ac:dyDescent="0.1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</row>
    <row r="93" spans="1:19" ht="12.75" customHeight="1" x14ac:dyDescent="0.1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</row>
    <row r="94" spans="1:19" ht="12.75" customHeight="1" x14ac:dyDescent="0.1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</row>
    <row r="95" spans="1:19" ht="12.75" customHeight="1" x14ac:dyDescent="0.1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</row>
    <row r="96" spans="1:19" ht="12.75" customHeight="1" x14ac:dyDescent="0.1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</row>
    <row r="97" spans="1:19" ht="12.75" customHeight="1" x14ac:dyDescent="0.1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</row>
    <row r="98" spans="1:19" ht="12.75" customHeight="1" x14ac:dyDescent="0.1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</row>
    <row r="99" spans="1:19" ht="12.75" customHeight="1" x14ac:dyDescent="0.1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</row>
    <row r="100" spans="1:19" ht="12.75" customHeight="1" x14ac:dyDescent="0.1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</row>
    <row r="101" spans="1:19" ht="12.75" customHeight="1" x14ac:dyDescent="0.1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</row>
    <row r="102" spans="1:19" ht="12.75" customHeight="1" x14ac:dyDescent="0.1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</row>
    <row r="103" spans="1:19" ht="12.75" customHeight="1" x14ac:dyDescent="0.1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</row>
    <row r="104" spans="1:19" ht="12.75" customHeight="1" x14ac:dyDescent="0.1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</row>
    <row r="105" spans="1:19" ht="12.75" customHeight="1" x14ac:dyDescent="0.1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</row>
    <row r="106" spans="1:19" ht="12.75" customHeight="1" x14ac:dyDescent="0.1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</row>
    <row r="107" spans="1:19" ht="12.75" customHeight="1" x14ac:dyDescent="0.1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</row>
    <row r="108" spans="1:19" ht="12.75" customHeight="1" x14ac:dyDescent="0.1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</row>
    <row r="109" spans="1:19" ht="12.75" customHeight="1" x14ac:dyDescent="0.1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</row>
    <row r="110" spans="1:19" ht="12.75" customHeight="1" x14ac:dyDescent="0.1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</row>
    <row r="111" spans="1:19" ht="12.75" customHeight="1" x14ac:dyDescent="0.1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</row>
    <row r="112" spans="1:19" ht="12.75" customHeight="1" x14ac:dyDescent="0.1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</row>
    <row r="113" spans="1:19" ht="12.75" customHeight="1" x14ac:dyDescent="0.1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</row>
    <row r="114" spans="1:19" ht="12.75" customHeight="1" x14ac:dyDescent="0.1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</row>
    <row r="115" spans="1:19" ht="12.75" customHeight="1" x14ac:dyDescent="0.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</row>
    <row r="116" spans="1:19" ht="12.75" customHeight="1" x14ac:dyDescent="0.1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</row>
    <row r="117" spans="1:19" ht="12.75" customHeight="1" x14ac:dyDescent="0.1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</row>
    <row r="118" spans="1:19" ht="12.75" customHeight="1" x14ac:dyDescent="0.1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</row>
    <row r="119" spans="1:19" ht="12.75" customHeight="1" x14ac:dyDescent="0.1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</row>
    <row r="120" spans="1:19" ht="12.75" customHeight="1" x14ac:dyDescent="0.1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</row>
    <row r="121" spans="1:19" ht="12.75" customHeight="1" x14ac:dyDescent="0.1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</row>
    <row r="122" spans="1:19" ht="12.75" customHeight="1" x14ac:dyDescent="0.1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</row>
    <row r="123" spans="1:19" ht="12.75" customHeight="1" x14ac:dyDescent="0.1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</row>
    <row r="124" spans="1:19" ht="12.75" customHeight="1" x14ac:dyDescent="0.1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</row>
    <row r="125" spans="1:19" ht="12.75" customHeight="1" x14ac:dyDescent="0.1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</row>
    <row r="126" spans="1:19" ht="12.75" customHeight="1" x14ac:dyDescent="0.1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</row>
    <row r="127" spans="1:19" ht="12.75" customHeight="1" x14ac:dyDescent="0.1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</row>
    <row r="128" spans="1:19" ht="12.75" customHeight="1" x14ac:dyDescent="0.1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</row>
    <row r="129" spans="1:19" ht="12.75" customHeight="1" x14ac:dyDescent="0.1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</row>
    <row r="130" spans="1:19" ht="12.75" customHeight="1" x14ac:dyDescent="0.1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</row>
    <row r="131" spans="1:19" ht="12.75" customHeight="1" x14ac:dyDescent="0.1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</row>
    <row r="132" spans="1:19" ht="12.75" customHeight="1" x14ac:dyDescent="0.1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</row>
    <row r="133" spans="1:19" ht="12.75" customHeight="1" x14ac:dyDescent="0.1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</row>
    <row r="134" spans="1:19" ht="12.75" customHeight="1" x14ac:dyDescent="0.1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</row>
    <row r="135" spans="1:19" ht="12.75" customHeight="1" x14ac:dyDescent="0.1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</row>
    <row r="136" spans="1:19" ht="12.75" customHeight="1" x14ac:dyDescent="0.1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</row>
    <row r="137" spans="1:19" ht="12.75" customHeight="1" x14ac:dyDescent="0.1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</row>
    <row r="138" spans="1:19" ht="12.75" customHeight="1" x14ac:dyDescent="0.1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</row>
    <row r="139" spans="1:19" ht="12.75" customHeight="1" x14ac:dyDescent="0.1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</row>
    <row r="140" spans="1:19" ht="12.75" customHeight="1" x14ac:dyDescent="0.1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</row>
    <row r="141" spans="1:19" ht="12.75" customHeight="1" x14ac:dyDescent="0.1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</row>
    <row r="142" spans="1:19" ht="12.75" customHeight="1" x14ac:dyDescent="0.1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</row>
    <row r="143" spans="1:19" ht="12.75" customHeight="1" x14ac:dyDescent="0.1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</row>
    <row r="144" spans="1:19" ht="12.75" customHeight="1" x14ac:dyDescent="0.1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</row>
    <row r="145" spans="1:19" ht="12.75" customHeight="1" x14ac:dyDescent="0.1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</row>
    <row r="146" spans="1:19" ht="12.75" customHeight="1" x14ac:dyDescent="0.1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</row>
    <row r="147" spans="1:19" ht="12.75" customHeight="1" x14ac:dyDescent="0.1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</row>
    <row r="148" spans="1:19" ht="12.75" customHeight="1" x14ac:dyDescent="0.1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</row>
    <row r="149" spans="1:19" ht="12.75" customHeight="1" x14ac:dyDescent="0.1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</row>
    <row r="150" spans="1:19" ht="12.75" customHeight="1" x14ac:dyDescent="0.1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</row>
    <row r="151" spans="1:19" ht="12.75" customHeight="1" x14ac:dyDescent="0.1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</row>
    <row r="152" spans="1:19" ht="12.75" customHeight="1" x14ac:dyDescent="0.1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</row>
    <row r="153" spans="1:19" ht="12.75" customHeight="1" x14ac:dyDescent="0.1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</row>
    <row r="154" spans="1:19" ht="12.75" customHeight="1" x14ac:dyDescent="0.1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</row>
    <row r="155" spans="1:19" ht="12.75" customHeight="1" x14ac:dyDescent="0.1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</row>
    <row r="156" spans="1:19" ht="12.75" customHeight="1" x14ac:dyDescent="0.1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</row>
    <row r="157" spans="1:19" ht="12.75" customHeight="1" x14ac:dyDescent="0.1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</row>
    <row r="158" spans="1:19" ht="12.75" customHeight="1" x14ac:dyDescent="0.1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</row>
    <row r="159" spans="1:19" ht="12.75" customHeight="1" x14ac:dyDescent="0.1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</row>
    <row r="160" spans="1:19" ht="12.75" customHeight="1" x14ac:dyDescent="0.1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</row>
    <row r="161" spans="1:19" ht="12.75" customHeight="1" x14ac:dyDescent="0.1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</row>
    <row r="162" spans="1:19" ht="12.75" customHeight="1" x14ac:dyDescent="0.1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</row>
    <row r="163" spans="1:19" ht="12.75" customHeight="1" x14ac:dyDescent="0.1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</row>
    <row r="164" spans="1:19" ht="12.75" customHeight="1" x14ac:dyDescent="0.1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</row>
    <row r="165" spans="1:19" ht="12.75" customHeight="1" x14ac:dyDescent="0.1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</row>
    <row r="166" spans="1:19" ht="12.75" customHeight="1" x14ac:dyDescent="0.1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</row>
    <row r="167" spans="1:19" ht="12.75" customHeight="1" x14ac:dyDescent="0.1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</row>
    <row r="168" spans="1:19" ht="12.75" customHeight="1" x14ac:dyDescent="0.1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</row>
    <row r="169" spans="1:19" ht="12.75" customHeight="1" x14ac:dyDescent="0.1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</row>
    <row r="170" spans="1:19" ht="12.75" customHeight="1" x14ac:dyDescent="0.1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</row>
    <row r="171" spans="1:19" ht="12.75" customHeight="1" x14ac:dyDescent="0.1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</row>
    <row r="172" spans="1:19" ht="12.75" customHeight="1" x14ac:dyDescent="0.1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</row>
    <row r="173" spans="1:19" ht="12.75" customHeight="1" x14ac:dyDescent="0.1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</row>
    <row r="174" spans="1:19" ht="12.75" customHeight="1" x14ac:dyDescent="0.1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</row>
    <row r="175" spans="1:19" ht="12.75" customHeight="1" x14ac:dyDescent="0.1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</row>
    <row r="176" spans="1:19" ht="12.75" customHeight="1" x14ac:dyDescent="0.1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</row>
    <row r="177" spans="1:19" ht="12.75" customHeight="1" x14ac:dyDescent="0.1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</row>
    <row r="178" spans="1:19" ht="12.75" customHeight="1" x14ac:dyDescent="0.1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</row>
    <row r="179" spans="1:19" ht="12.75" customHeight="1" x14ac:dyDescent="0.1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</row>
    <row r="180" spans="1:19" ht="12.75" customHeight="1" x14ac:dyDescent="0.1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</row>
    <row r="181" spans="1:19" ht="12.75" customHeight="1" x14ac:dyDescent="0.1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</row>
    <row r="182" spans="1:19" ht="12.75" customHeight="1" x14ac:dyDescent="0.1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</row>
    <row r="183" spans="1:19" ht="12.75" customHeight="1" x14ac:dyDescent="0.1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</row>
    <row r="184" spans="1:19" ht="12.75" customHeight="1" x14ac:dyDescent="0.1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</row>
    <row r="185" spans="1:19" ht="12.75" customHeight="1" x14ac:dyDescent="0.1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</row>
    <row r="186" spans="1:19" ht="12.75" customHeight="1" x14ac:dyDescent="0.1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</row>
    <row r="187" spans="1:19" ht="12.75" customHeight="1" x14ac:dyDescent="0.1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</row>
    <row r="188" spans="1:19" ht="12.75" customHeight="1" x14ac:dyDescent="0.1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</row>
    <row r="189" spans="1:19" ht="12.75" customHeight="1" x14ac:dyDescent="0.1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</row>
    <row r="190" spans="1:19" ht="12.75" customHeight="1" x14ac:dyDescent="0.1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</row>
    <row r="191" spans="1:19" ht="12.75" customHeight="1" x14ac:dyDescent="0.1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</row>
    <row r="192" spans="1:19" ht="12.75" customHeight="1" x14ac:dyDescent="0.1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</row>
    <row r="193" spans="1:19" ht="12.75" customHeight="1" x14ac:dyDescent="0.1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</row>
    <row r="194" spans="1:19" ht="12.75" customHeight="1" x14ac:dyDescent="0.1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</row>
    <row r="195" spans="1:19" ht="12.75" customHeight="1" x14ac:dyDescent="0.1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</row>
    <row r="196" spans="1:19" ht="12.75" customHeight="1" x14ac:dyDescent="0.1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</row>
    <row r="197" spans="1:19" ht="12.75" customHeight="1" x14ac:dyDescent="0.1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</row>
    <row r="198" spans="1:19" ht="12.75" customHeight="1" x14ac:dyDescent="0.1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</row>
    <row r="199" spans="1:19" ht="12.75" customHeight="1" x14ac:dyDescent="0.1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</row>
    <row r="200" spans="1:19" ht="12.75" customHeight="1" x14ac:dyDescent="0.1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</row>
    <row r="201" spans="1:19" ht="12.75" customHeight="1" x14ac:dyDescent="0.1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</row>
    <row r="202" spans="1:19" ht="12.75" customHeight="1" x14ac:dyDescent="0.1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</row>
    <row r="203" spans="1:19" ht="12.75" customHeight="1" x14ac:dyDescent="0.1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</row>
    <row r="204" spans="1:19" ht="12.75" customHeight="1" x14ac:dyDescent="0.1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</row>
    <row r="205" spans="1:19" ht="12.75" customHeight="1" x14ac:dyDescent="0.1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</row>
    <row r="206" spans="1:19" ht="12.75" customHeight="1" x14ac:dyDescent="0.1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</row>
    <row r="207" spans="1:19" ht="12.75" customHeight="1" x14ac:dyDescent="0.1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</row>
    <row r="208" spans="1:19" ht="12.75" customHeight="1" x14ac:dyDescent="0.1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</row>
    <row r="209" spans="1:19" ht="12.75" customHeight="1" x14ac:dyDescent="0.1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</row>
    <row r="210" spans="1:19" ht="12.75" customHeight="1" x14ac:dyDescent="0.1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</row>
    <row r="211" spans="1:19" ht="12.75" customHeight="1" x14ac:dyDescent="0.1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</row>
    <row r="212" spans="1:19" ht="12.75" customHeight="1" x14ac:dyDescent="0.1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</row>
    <row r="213" spans="1:19" ht="12.75" customHeight="1" x14ac:dyDescent="0.1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</row>
    <row r="214" spans="1:19" ht="12.75" customHeight="1" x14ac:dyDescent="0.1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</row>
    <row r="215" spans="1:19" ht="12.75" customHeight="1" x14ac:dyDescent="0.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</row>
    <row r="216" spans="1:19" ht="12.75" customHeight="1" x14ac:dyDescent="0.1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</row>
    <row r="217" spans="1:19" ht="12.75" customHeight="1" x14ac:dyDescent="0.1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</row>
    <row r="218" spans="1:19" ht="12.75" customHeight="1" x14ac:dyDescent="0.1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</row>
    <row r="219" spans="1:19" ht="12.75" customHeight="1" x14ac:dyDescent="0.1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</row>
    <row r="220" spans="1:19" ht="12.75" customHeight="1" x14ac:dyDescent="0.1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</row>
    <row r="221" spans="1:19" ht="12.75" customHeight="1" x14ac:dyDescent="0.1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</row>
    <row r="222" spans="1:19" ht="12.75" customHeight="1" x14ac:dyDescent="0.1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</row>
    <row r="223" spans="1:19" ht="12.75" customHeight="1" x14ac:dyDescent="0.1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</row>
    <row r="224" spans="1:19" ht="12.75" customHeight="1" x14ac:dyDescent="0.1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</row>
    <row r="225" spans="1:19" ht="12.75" customHeight="1" x14ac:dyDescent="0.1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</row>
    <row r="226" spans="1:19" ht="12.75" customHeight="1" x14ac:dyDescent="0.1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</row>
    <row r="227" spans="1:19" ht="12.75" customHeight="1" x14ac:dyDescent="0.1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</row>
    <row r="228" spans="1:19" ht="12.75" customHeight="1" x14ac:dyDescent="0.1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</row>
    <row r="229" spans="1:19" ht="12.75" customHeight="1" x14ac:dyDescent="0.1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</row>
    <row r="230" spans="1:19" ht="12.75" customHeight="1" x14ac:dyDescent="0.1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</row>
    <row r="231" spans="1:19" ht="12.75" customHeight="1" x14ac:dyDescent="0.1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</row>
    <row r="232" spans="1:19" ht="12.75" customHeight="1" x14ac:dyDescent="0.1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</row>
    <row r="233" spans="1:19" ht="12.75" customHeight="1" x14ac:dyDescent="0.1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</row>
    <row r="234" spans="1:19" ht="12.75" customHeight="1" x14ac:dyDescent="0.1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</row>
    <row r="235" spans="1:19" ht="12.75" customHeight="1" x14ac:dyDescent="0.1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</row>
    <row r="236" spans="1:19" ht="12.75" customHeight="1" x14ac:dyDescent="0.1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</row>
    <row r="237" spans="1:19" ht="12.75" customHeight="1" x14ac:dyDescent="0.1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</row>
    <row r="238" spans="1:19" ht="12.75" customHeight="1" x14ac:dyDescent="0.1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</row>
    <row r="239" spans="1:19" ht="12.75" customHeight="1" x14ac:dyDescent="0.1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</row>
    <row r="240" spans="1:19" ht="12.75" customHeight="1" x14ac:dyDescent="0.1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</row>
    <row r="241" spans="1:19" ht="12.75" customHeight="1" x14ac:dyDescent="0.1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</row>
    <row r="242" spans="1:19" ht="12.75" customHeight="1" x14ac:dyDescent="0.1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</row>
    <row r="243" spans="1:19" ht="12.75" customHeight="1" x14ac:dyDescent="0.1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</row>
    <row r="244" spans="1:19" ht="12.75" customHeight="1" x14ac:dyDescent="0.1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</row>
    <row r="245" spans="1:19" ht="12.75" customHeight="1" x14ac:dyDescent="0.1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</row>
    <row r="246" spans="1:19" ht="12.75" customHeight="1" x14ac:dyDescent="0.1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</row>
    <row r="247" spans="1:19" ht="12.75" customHeight="1" x14ac:dyDescent="0.1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</row>
    <row r="248" spans="1:19" ht="12.75" customHeight="1" x14ac:dyDescent="0.1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</row>
    <row r="249" spans="1:19" ht="12.75" customHeight="1" x14ac:dyDescent="0.1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</row>
    <row r="250" spans="1:19" ht="12.75" customHeight="1" x14ac:dyDescent="0.1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</row>
    <row r="251" spans="1:19" ht="12.75" customHeight="1" x14ac:dyDescent="0.1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</row>
    <row r="252" spans="1:19" ht="12.75" customHeight="1" x14ac:dyDescent="0.1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</row>
    <row r="253" spans="1:19" ht="12.75" customHeight="1" x14ac:dyDescent="0.1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</row>
    <row r="254" spans="1:19" ht="12.75" customHeight="1" x14ac:dyDescent="0.1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</row>
    <row r="255" spans="1:19" ht="12.75" customHeight="1" x14ac:dyDescent="0.1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</row>
    <row r="256" spans="1:19" ht="12.75" customHeight="1" x14ac:dyDescent="0.1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</row>
    <row r="257" spans="1:19" ht="12.75" customHeight="1" x14ac:dyDescent="0.1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</row>
    <row r="258" spans="1:19" ht="12.75" customHeight="1" x14ac:dyDescent="0.1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</row>
    <row r="259" spans="1:19" ht="12.75" customHeight="1" x14ac:dyDescent="0.1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</row>
    <row r="260" spans="1:19" ht="12.75" customHeight="1" x14ac:dyDescent="0.1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</row>
    <row r="261" spans="1:19" ht="12.75" customHeight="1" x14ac:dyDescent="0.1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</row>
    <row r="262" spans="1:19" ht="12.75" customHeight="1" x14ac:dyDescent="0.1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</row>
    <row r="263" spans="1:19" ht="12.75" customHeight="1" x14ac:dyDescent="0.1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</row>
    <row r="264" spans="1:19" ht="12.75" customHeight="1" x14ac:dyDescent="0.1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</row>
    <row r="265" spans="1:19" ht="12.75" customHeight="1" x14ac:dyDescent="0.1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</row>
    <row r="266" spans="1:19" ht="12.75" customHeight="1" x14ac:dyDescent="0.1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</row>
    <row r="267" spans="1:19" ht="12.75" customHeight="1" x14ac:dyDescent="0.1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</row>
    <row r="268" spans="1:19" ht="12.75" customHeight="1" x14ac:dyDescent="0.1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</row>
    <row r="269" spans="1:19" ht="12.75" customHeight="1" x14ac:dyDescent="0.1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</row>
    <row r="270" spans="1:19" ht="12.75" customHeight="1" x14ac:dyDescent="0.1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</row>
    <row r="271" spans="1:19" ht="12.75" customHeight="1" x14ac:dyDescent="0.1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</row>
    <row r="272" spans="1:19" ht="12.75" customHeight="1" x14ac:dyDescent="0.1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</row>
    <row r="273" spans="1:19" ht="12.75" customHeight="1" x14ac:dyDescent="0.1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</row>
    <row r="274" spans="1:19" ht="12.75" customHeight="1" x14ac:dyDescent="0.1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</row>
    <row r="275" spans="1:19" ht="12.75" customHeight="1" x14ac:dyDescent="0.1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</row>
    <row r="276" spans="1:19" ht="12.75" customHeight="1" x14ac:dyDescent="0.1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</row>
    <row r="277" spans="1:19" ht="12.75" customHeight="1" x14ac:dyDescent="0.1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</row>
    <row r="278" spans="1:19" ht="12.75" customHeight="1" x14ac:dyDescent="0.1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</row>
    <row r="279" spans="1:19" ht="12.75" customHeight="1" x14ac:dyDescent="0.1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</row>
    <row r="280" spans="1:19" ht="12.75" customHeight="1" x14ac:dyDescent="0.1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</row>
    <row r="281" spans="1:19" ht="12.75" customHeight="1" x14ac:dyDescent="0.1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</row>
    <row r="282" spans="1:19" ht="12.75" customHeight="1" x14ac:dyDescent="0.1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</row>
    <row r="283" spans="1:19" ht="12.75" customHeight="1" x14ac:dyDescent="0.1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</row>
    <row r="284" spans="1:19" ht="12.75" customHeight="1" x14ac:dyDescent="0.1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</row>
    <row r="285" spans="1:19" ht="12.75" customHeight="1" x14ac:dyDescent="0.1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</row>
    <row r="286" spans="1:19" ht="12.75" customHeight="1" x14ac:dyDescent="0.1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</row>
    <row r="287" spans="1:19" ht="12.75" customHeight="1" x14ac:dyDescent="0.1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</row>
    <row r="288" spans="1:19" ht="12.75" customHeight="1" x14ac:dyDescent="0.1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</row>
    <row r="289" spans="1:19" ht="12.75" customHeight="1" x14ac:dyDescent="0.1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</row>
    <row r="290" spans="1:19" ht="12.75" customHeight="1" x14ac:dyDescent="0.1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</row>
    <row r="291" spans="1:19" ht="12.75" customHeight="1" x14ac:dyDescent="0.1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</row>
    <row r="292" spans="1:19" ht="12.75" customHeight="1" x14ac:dyDescent="0.1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</row>
    <row r="293" spans="1:19" ht="12.75" customHeight="1" x14ac:dyDescent="0.1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</row>
    <row r="294" spans="1:19" ht="12.75" customHeight="1" x14ac:dyDescent="0.1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</row>
    <row r="295" spans="1:19" ht="12.75" customHeight="1" x14ac:dyDescent="0.1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</row>
    <row r="296" spans="1:19" ht="12.75" customHeight="1" x14ac:dyDescent="0.1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</row>
    <row r="297" spans="1:19" ht="12.75" customHeight="1" x14ac:dyDescent="0.1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</row>
    <row r="298" spans="1:19" ht="12.75" customHeight="1" x14ac:dyDescent="0.1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</row>
    <row r="299" spans="1:19" ht="12.75" customHeight="1" x14ac:dyDescent="0.1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</row>
    <row r="300" spans="1:19" ht="12.75" customHeight="1" x14ac:dyDescent="0.1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</row>
    <row r="301" spans="1:19" ht="12.75" customHeight="1" x14ac:dyDescent="0.1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</row>
    <row r="302" spans="1:19" ht="12.75" customHeight="1" x14ac:dyDescent="0.1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</row>
    <row r="303" spans="1:19" ht="12.75" customHeight="1" x14ac:dyDescent="0.1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</row>
    <row r="304" spans="1:19" ht="12.75" customHeight="1" x14ac:dyDescent="0.1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</row>
    <row r="305" spans="1:19" ht="12.75" customHeight="1" x14ac:dyDescent="0.1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</row>
    <row r="306" spans="1:19" ht="12.75" customHeight="1" x14ac:dyDescent="0.1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</row>
    <row r="307" spans="1:19" ht="12.75" customHeight="1" x14ac:dyDescent="0.1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</row>
    <row r="308" spans="1:19" ht="12.75" customHeight="1" x14ac:dyDescent="0.1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</row>
    <row r="309" spans="1:19" ht="12.75" customHeight="1" x14ac:dyDescent="0.1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</row>
    <row r="310" spans="1:19" ht="12.75" customHeight="1" x14ac:dyDescent="0.1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</row>
    <row r="311" spans="1:19" ht="12.75" customHeight="1" x14ac:dyDescent="0.1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</row>
    <row r="312" spans="1:19" ht="12.75" customHeight="1" x14ac:dyDescent="0.1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</row>
    <row r="313" spans="1:19" ht="12.75" customHeight="1" x14ac:dyDescent="0.1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</row>
    <row r="314" spans="1:19" ht="12.75" customHeight="1" x14ac:dyDescent="0.1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</row>
    <row r="315" spans="1:19" ht="12.75" customHeight="1" x14ac:dyDescent="0.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</row>
    <row r="316" spans="1:19" ht="12.75" customHeight="1" x14ac:dyDescent="0.1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</row>
    <row r="317" spans="1:19" ht="12.75" customHeight="1" x14ac:dyDescent="0.1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</row>
    <row r="318" spans="1:19" ht="12.75" customHeight="1" x14ac:dyDescent="0.1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</row>
    <row r="319" spans="1:19" ht="12.75" customHeight="1" x14ac:dyDescent="0.1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</row>
    <row r="320" spans="1:19" ht="12.75" customHeight="1" x14ac:dyDescent="0.1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</row>
    <row r="321" spans="1:19" ht="12.75" customHeight="1" x14ac:dyDescent="0.1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</row>
    <row r="322" spans="1:19" ht="12.75" customHeight="1" x14ac:dyDescent="0.1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</row>
    <row r="323" spans="1:19" ht="12.75" customHeight="1" x14ac:dyDescent="0.1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</row>
    <row r="324" spans="1:19" ht="12.75" customHeight="1" x14ac:dyDescent="0.1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</row>
    <row r="325" spans="1:19" ht="12.75" customHeight="1" x14ac:dyDescent="0.1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</row>
    <row r="326" spans="1:19" ht="12.75" customHeight="1" x14ac:dyDescent="0.1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</row>
    <row r="327" spans="1:19" ht="12.75" customHeight="1" x14ac:dyDescent="0.1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</row>
    <row r="328" spans="1:19" ht="12.75" customHeight="1" x14ac:dyDescent="0.1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</row>
    <row r="329" spans="1:19" ht="12.75" customHeight="1" x14ac:dyDescent="0.1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</row>
    <row r="330" spans="1:19" ht="12.75" customHeight="1" x14ac:dyDescent="0.1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</row>
    <row r="331" spans="1:19" ht="12.75" customHeight="1" x14ac:dyDescent="0.1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</row>
    <row r="332" spans="1:19" ht="12.75" customHeight="1" x14ac:dyDescent="0.1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</row>
    <row r="333" spans="1:19" ht="12.75" customHeight="1" x14ac:dyDescent="0.1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</row>
    <row r="334" spans="1:19" ht="12.75" customHeight="1" x14ac:dyDescent="0.1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</row>
    <row r="335" spans="1:19" ht="12.75" customHeight="1" x14ac:dyDescent="0.1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</row>
    <row r="336" spans="1:19" ht="12.75" customHeight="1" x14ac:dyDescent="0.1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</row>
    <row r="337" spans="1:19" ht="12.75" customHeight="1" x14ac:dyDescent="0.1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</row>
    <row r="338" spans="1:19" ht="12.75" customHeight="1" x14ac:dyDescent="0.1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</row>
    <row r="339" spans="1:19" ht="12.75" customHeight="1" x14ac:dyDescent="0.1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</row>
    <row r="340" spans="1:19" ht="12.75" customHeight="1" x14ac:dyDescent="0.1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</row>
    <row r="341" spans="1:19" ht="12.75" customHeight="1" x14ac:dyDescent="0.1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</row>
    <row r="342" spans="1:19" ht="12.75" customHeight="1" x14ac:dyDescent="0.1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</row>
    <row r="343" spans="1:19" ht="12.75" customHeight="1" x14ac:dyDescent="0.1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</row>
    <row r="344" spans="1:19" ht="12.75" customHeight="1" x14ac:dyDescent="0.1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</row>
    <row r="345" spans="1:19" ht="12.75" customHeight="1" x14ac:dyDescent="0.1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</row>
    <row r="346" spans="1:19" ht="12.75" customHeight="1" x14ac:dyDescent="0.1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</row>
    <row r="347" spans="1:19" ht="12.75" customHeight="1" x14ac:dyDescent="0.1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</row>
    <row r="348" spans="1:19" ht="12.75" customHeight="1" x14ac:dyDescent="0.1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</row>
    <row r="349" spans="1:19" ht="12.75" customHeight="1" x14ac:dyDescent="0.1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</row>
    <row r="350" spans="1:19" ht="12.75" customHeight="1" x14ac:dyDescent="0.1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</row>
    <row r="351" spans="1:19" ht="12.75" customHeight="1" x14ac:dyDescent="0.1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</row>
    <row r="352" spans="1:19" ht="12.75" customHeight="1" x14ac:dyDescent="0.1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</row>
    <row r="353" spans="1:19" ht="12.75" customHeight="1" x14ac:dyDescent="0.1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</row>
    <row r="354" spans="1:19" ht="12.75" customHeight="1" x14ac:dyDescent="0.1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</row>
    <row r="355" spans="1:19" ht="12.75" customHeight="1" x14ac:dyDescent="0.1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</row>
    <row r="356" spans="1:19" ht="12.75" customHeight="1" x14ac:dyDescent="0.1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</row>
    <row r="357" spans="1:19" ht="12.75" customHeight="1" x14ac:dyDescent="0.1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</row>
    <row r="358" spans="1:19" ht="12.75" customHeight="1" x14ac:dyDescent="0.1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</row>
    <row r="359" spans="1:19" ht="12.75" customHeight="1" x14ac:dyDescent="0.1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</row>
    <row r="360" spans="1:19" ht="12.75" customHeight="1" x14ac:dyDescent="0.1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</row>
    <row r="361" spans="1:19" ht="12.75" customHeight="1" x14ac:dyDescent="0.1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</row>
    <row r="362" spans="1:19" ht="12.75" customHeight="1" x14ac:dyDescent="0.1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</row>
    <row r="363" spans="1:19" ht="12.75" customHeight="1" x14ac:dyDescent="0.1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</row>
    <row r="364" spans="1:19" ht="12.75" customHeight="1" x14ac:dyDescent="0.1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</row>
    <row r="365" spans="1:19" ht="12.75" customHeight="1" x14ac:dyDescent="0.1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</row>
    <row r="366" spans="1:19" ht="12.75" customHeight="1" x14ac:dyDescent="0.1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</row>
    <row r="367" spans="1:19" ht="12.75" customHeight="1" x14ac:dyDescent="0.1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</row>
    <row r="368" spans="1:19" ht="12.75" customHeight="1" x14ac:dyDescent="0.1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</row>
    <row r="369" spans="1:19" ht="12.75" customHeight="1" x14ac:dyDescent="0.1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</row>
    <row r="370" spans="1:19" ht="12.75" customHeight="1" x14ac:dyDescent="0.1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</row>
    <row r="371" spans="1:19" ht="12.75" customHeight="1" x14ac:dyDescent="0.1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</row>
    <row r="372" spans="1:19" ht="12.75" customHeight="1" x14ac:dyDescent="0.1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</row>
    <row r="373" spans="1:19" ht="12.75" customHeight="1" x14ac:dyDescent="0.1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</row>
    <row r="374" spans="1:19" ht="12.75" customHeight="1" x14ac:dyDescent="0.1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</row>
    <row r="375" spans="1:19" ht="12.75" customHeight="1" x14ac:dyDescent="0.1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</row>
    <row r="376" spans="1:19" ht="12.75" customHeight="1" x14ac:dyDescent="0.1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</row>
    <row r="377" spans="1:19" ht="12.75" customHeight="1" x14ac:dyDescent="0.1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</row>
    <row r="378" spans="1:19" ht="12.75" customHeight="1" x14ac:dyDescent="0.1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</row>
    <row r="379" spans="1:19" ht="12.75" customHeight="1" x14ac:dyDescent="0.1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</row>
    <row r="380" spans="1:19" ht="12.75" customHeight="1" x14ac:dyDescent="0.1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</row>
    <row r="381" spans="1:19" ht="12.75" customHeight="1" x14ac:dyDescent="0.1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</row>
    <row r="382" spans="1:19" ht="12.75" customHeight="1" x14ac:dyDescent="0.1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</row>
    <row r="383" spans="1:19" ht="12.75" customHeight="1" x14ac:dyDescent="0.1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</row>
    <row r="384" spans="1:19" ht="12.75" customHeight="1" x14ac:dyDescent="0.1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</row>
    <row r="385" spans="1:19" ht="12.75" customHeight="1" x14ac:dyDescent="0.1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</row>
    <row r="386" spans="1:19" ht="12.75" customHeight="1" x14ac:dyDescent="0.1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</row>
    <row r="387" spans="1:19" ht="12.75" customHeight="1" x14ac:dyDescent="0.1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</row>
    <row r="388" spans="1:19" ht="12.75" customHeight="1" x14ac:dyDescent="0.1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</row>
    <row r="389" spans="1:19" ht="12.75" customHeight="1" x14ac:dyDescent="0.1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</row>
    <row r="390" spans="1:19" ht="12.75" customHeight="1" x14ac:dyDescent="0.1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</row>
    <row r="391" spans="1:19" ht="12.75" customHeight="1" x14ac:dyDescent="0.1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</row>
    <row r="392" spans="1:19" ht="12.75" customHeight="1" x14ac:dyDescent="0.1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</row>
    <row r="393" spans="1:19" ht="12.75" customHeight="1" x14ac:dyDescent="0.1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</row>
    <row r="394" spans="1:19" ht="12.75" customHeight="1" x14ac:dyDescent="0.1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</row>
    <row r="395" spans="1:19" ht="12.75" customHeight="1" x14ac:dyDescent="0.1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</row>
    <row r="396" spans="1:19" ht="12.75" customHeight="1" x14ac:dyDescent="0.1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</row>
    <row r="397" spans="1:19" ht="12.75" customHeight="1" x14ac:dyDescent="0.1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</row>
    <row r="398" spans="1:19" ht="12.75" customHeight="1" x14ac:dyDescent="0.1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</row>
    <row r="399" spans="1:19" ht="12.75" customHeight="1" x14ac:dyDescent="0.1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</row>
    <row r="400" spans="1:19" ht="12.75" customHeight="1" x14ac:dyDescent="0.1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</row>
    <row r="401" spans="1:19" ht="12.75" customHeight="1" x14ac:dyDescent="0.1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</row>
    <row r="402" spans="1:19" ht="12.75" customHeight="1" x14ac:dyDescent="0.1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</row>
    <row r="403" spans="1:19" ht="12.75" customHeight="1" x14ac:dyDescent="0.1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</row>
    <row r="404" spans="1:19" ht="12.75" customHeight="1" x14ac:dyDescent="0.1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</row>
    <row r="405" spans="1:19" ht="12.75" customHeight="1" x14ac:dyDescent="0.1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</row>
    <row r="406" spans="1:19" ht="12.75" customHeight="1" x14ac:dyDescent="0.1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</row>
    <row r="407" spans="1:19" ht="12.75" customHeight="1" x14ac:dyDescent="0.1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</row>
    <row r="408" spans="1:19" ht="12.75" customHeight="1" x14ac:dyDescent="0.1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</row>
    <row r="409" spans="1:19" ht="12.75" customHeight="1" x14ac:dyDescent="0.1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</row>
    <row r="410" spans="1:19" ht="12.75" customHeight="1" x14ac:dyDescent="0.1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</row>
    <row r="411" spans="1:19" ht="12.75" customHeight="1" x14ac:dyDescent="0.1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</row>
    <row r="412" spans="1:19" ht="12.75" customHeight="1" x14ac:dyDescent="0.1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</row>
    <row r="413" spans="1:19" ht="12.75" customHeight="1" x14ac:dyDescent="0.1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</row>
    <row r="414" spans="1:19" ht="12.75" customHeight="1" x14ac:dyDescent="0.1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</row>
    <row r="415" spans="1:19" ht="12.75" customHeight="1" x14ac:dyDescent="0.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</row>
    <row r="416" spans="1:19" ht="12.75" customHeight="1" x14ac:dyDescent="0.1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</row>
    <row r="417" spans="1:19" ht="12.75" customHeight="1" x14ac:dyDescent="0.1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</row>
    <row r="418" spans="1:19" ht="12.75" customHeight="1" x14ac:dyDescent="0.1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</row>
    <row r="419" spans="1:19" ht="12.75" customHeight="1" x14ac:dyDescent="0.1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</row>
    <row r="420" spans="1:19" ht="12.75" customHeight="1" x14ac:dyDescent="0.1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</row>
    <row r="421" spans="1:19" ht="12.75" customHeight="1" x14ac:dyDescent="0.1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</row>
    <row r="422" spans="1:19" ht="12.75" customHeight="1" x14ac:dyDescent="0.1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</row>
    <row r="423" spans="1:19" ht="12.75" customHeight="1" x14ac:dyDescent="0.1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</row>
    <row r="424" spans="1:19" ht="12.75" customHeight="1" x14ac:dyDescent="0.1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</row>
    <row r="425" spans="1:19" ht="12.75" customHeight="1" x14ac:dyDescent="0.1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</row>
    <row r="426" spans="1:19" ht="12.75" customHeight="1" x14ac:dyDescent="0.1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</row>
    <row r="427" spans="1:19" ht="12.75" customHeight="1" x14ac:dyDescent="0.1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</row>
    <row r="428" spans="1:19" ht="12.75" customHeight="1" x14ac:dyDescent="0.1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</row>
    <row r="429" spans="1:19" ht="12.75" customHeight="1" x14ac:dyDescent="0.1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</row>
    <row r="430" spans="1:19" ht="12.75" customHeight="1" x14ac:dyDescent="0.1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</row>
    <row r="431" spans="1:19" ht="12.75" customHeight="1" x14ac:dyDescent="0.1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</row>
    <row r="432" spans="1:19" ht="12.75" customHeight="1" x14ac:dyDescent="0.1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</row>
    <row r="433" spans="1:19" ht="12.75" customHeight="1" x14ac:dyDescent="0.1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</row>
    <row r="434" spans="1:19" ht="12.75" customHeight="1" x14ac:dyDescent="0.1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</row>
    <row r="435" spans="1:19" ht="12.75" customHeight="1" x14ac:dyDescent="0.1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</row>
    <row r="436" spans="1:19" ht="12.75" customHeight="1" x14ac:dyDescent="0.1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</row>
    <row r="437" spans="1:19" ht="12.75" customHeight="1" x14ac:dyDescent="0.1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</row>
    <row r="438" spans="1:19" ht="12.75" customHeight="1" x14ac:dyDescent="0.1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</row>
    <row r="439" spans="1:19" ht="12.75" customHeight="1" x14ac:dyDescent="0.1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</row>
    <row r="440" spans="1:19" ht="12.75" customHeight="1" x14ac:dyDescent="0.1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</row>
    <row r="441" spans="1:19" ht="12.75" customHeight="1" x14ac:dyDescent="0.1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</row>
    <row r="442" spans="1:19" ht="12.75" customHeight="1" x14ac:dyDescent="0.1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</row>
    <row r="443" spans="1:19" ht="12.75" customHeight="1" x14ac:dyDescent="0.1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</row>
    <row r="444" spans="1:19" ht="12.75" customHeight="1" x14ac:dyDescent="0.1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</row>
    <row r="445" spans="1:19" ht="12.75" customHeight="1" x14ac:dyDescent="0.1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</row>
    <row r="446" spans="1:19" ht="12.75" customHeight="1" x14ac:dyDescent="0.1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</row>
    <row r="447" spans="1:19" ht="12.75" customHeight="1" x14ac:dyDescent="0.1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</row>
    <row r="448" spans="1:19" ht="12.75" customHeight="1" x14ac:dyDescent="0.1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</row>
    <row r="449" spans="1:19" ht="12.75" customHeight="1" x14ac:dyDescent="0.1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</row>
    <row r="450" spans="1:19" ht="12.75" customHeight="1" x14ac:dyDescent="0.1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</row>
    <row r="451" spans="1:19" ht="12.75" customHeight="1" x14ac:dyDescent="0.1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</row>
    <row r="452" spans="1:19" ht="12.75" customHeight="1" x14ac:dyDescent="0.1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</row>
    <row r="453" spans="1:19" ht="12.75" customHeight="1" x14ac:dyDescent="0.1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</row>
    <row r="454" spans="1:19" ht="12.75" customHeight="1" x14ac:dyDescent="0.1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</row>
    <row r="455" spans="1:19" ht="12.75" customHeight="1" x14ac:dyDescent="0.1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</row>
    <row r="456" spans="1:19" ht="12.75" customHeight="1" x14ac:dyDescent="0.1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</row>
    <row r="457" spans="1:19" ht="12.75" customHeight="1" x14ac:dyDescent="0.1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</row>
    <row r="458" spans="1:19" ht="12.75" customHeight="1" x14ac:dyDescent="0.1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</row>
    <row r="459" spans="1:19" ht="12.75" customHeight="1" x14ac:dyDescent="0.1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</row>
    <row r="460" spans="1:19" ht="12.75" customHeight="1" x14ac:dyDescent="0.1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</row>
    <row r="461" spans="1:19" ht="12.75" customHeight="1" x14ac:dyDescent="0.1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</row>
    <row r="462" spans="1:19" ht="12.75" customHeight="1" x14ac:dyDescent="0.1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</row>
    <row r="463" spans="1:19" ht="12.75" customHeight="1" x14ac:dyDescent="0.1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</row>
    <row r="464" spans="1:19" ht="12.75" customHeight="1" x14ac:dyDescent="0.1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</row>
    <row r="465" spans="1:19" ht="12.75" customHeight="1" x14ac:dyDescent="0.1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</row>
    <row r="466" spans="1:19" ht="12.75" customHeight="1" x14ac:dyDescent="0.1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</row>
    <row r="467" spans="1:19" ht="12.75" customHeight="1" x14ac:dyDescent="0.1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</row>
    <row r="468" spans="1:19" ht="12.75" customHeight="1" x14ac:dyDescent="0.1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</row>
    <row r="469" spans="1:19" ht="12.75" customHeight="1" x14ac:dyDescent="0.1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</row>
    <row r="470" spans="1:19" ht="12.75" customHeight="1" x14ac:dyDescent="0.1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</row>
    <row r="471" spans="1:19" ht="12.75" customHeight="1" x14ac:dyDescent="0.1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</row>
    <row r="472" spans="1:19" ht="12.75" customHeight="1" x14ac:dyDescent="0.1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</row>
    <row r="473" spans="1:19" ht="12.75" customHeight="1" x14ac:dyDescent="0.1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</row>
    <row r="474" spans="1:19" ht="12.75" customHeight="1" x14ac:dyDescent="0.1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</row>
    <row r="475" spans="1:19" ht="12.75" customHeight="1" x14ac:dyDescent="0.1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</row>
    <row r="476" spans="1:19" ht="12.75" customHeight="1" x14ac:dyDescent="0.1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</row>
    <row r="477" spans="1:19" ht="12.75" customHeight="1" x14ac:dyDescent="0.1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</row>
    <row r="478" spans="1:19" ht="12.75" customHeight="1" x14ac:dyDescent="0.1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</row>
    <row r="479" spans="1:19" ht="12.75" customHeight="1" x14ac:dyDescent="0.1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</row>
    <row r="480" spans="1:19" ht="12.75" customHeight="1" x14ac:dyDescent="0.1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</row>
    <row r="481" spans="1:19" ht="12.75" customHeight="1" x14ac:dyDescent="0.1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</row>
    <row r="482" spans="1:19" ht="12.75" customHeight="1" x14ac:dyDescent="0.1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</row>
    <row r="483" spans="1:19" ht="12.75" customHeight="1" x14ac:dyDescent="0.1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</row>
    <row r="484" spans="1:19" ht="12.75" customHeight="1" x14ac:dyDescent="0.1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</row>
    <row r="485" spans="1:19" ht="12.75" customHeight="1" x14ac:dyDescent="0.1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</row>
    <row r="486" spans="1:19" ht="12.75" customHeight="1" x14ac:dyDescent="0.1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</row>
    <row r="487" spans="1:19" ht="12.75" customHeight="1" x14ac:dyDescent="0.1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</row>
    <row r="488" spans="1:19" ht="12.75" customHeight="1" x14ac:dyDescent="0.1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</row>
    <row r="489" spans="1:19" ht="12.75" customHeight="1" x14ac:dyDescent="0.1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</row>
    <row r="490" spans="1:19" ht="12.75" customHeight="1" x14ac:dyDescent="0.1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</row>
    <row r="491" spans="1:19" ht="12.75" customHeight="1" x14ac:dyDescent="0.1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</row>
    <row r="492" spans="1:19" ht="12.75" customHeight="1" x14ac:dyDescent="0.1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</row>
    <row r="493" spans="1:19" ht="12.75" customHeight="1" x14ac:dyDescent="0.1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</row>
    <row r="494" spans="1:19" ht="12.75" customHeight="1" x14ac:dyDescent="0.1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</row>
    <row r="495" spans="1:19" ht="12.75" customHeight="1" x14ac:dyDescent="0.1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</row>
    <row r="496" spans="1:19" ht="12.75" customHeight="1" x14ac:dyDescent="0.1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</row>
    <row r="497" spans="1:19" ht="12.75" customHeight="1" x14ac:dyDescent="0.1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</row>
    <row r="498" spans="1:19" ht="12.75" customHeight="1" x14ac:dyDescent="0.1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</row>
    <row r="499" spans="1:19" ht="12.75" customHeight="1" x14ac:dyDescent="0.1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</row>
    <row r="500" spans="1:19" ht="12.75" customHeight="1" x14ac:dyDescent="0.1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</row>
    <row r="501" spans="1:19" ht="12.75" customHeight="1" x14ac:dyDescent="0.1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</row>
    <row r="502" spans="1:19" ht="12.75" customHeight="1" x14ac:dyDescent="0.1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</row>
    <row r="503" spans="1:19" ht="12.75" customHeight="1" x14ac:dyDescent="0.1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</row>
    <row r="504" spans="1:19" ht="12.75" customHeight="1" x14ac:dyDescent="0.1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</row>
    <row r="505" spans="1:19" ht="12.75" customHeight="1" x14ac:dyDescent="0.1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</row>
    <row r="506" spans="1:19" ht="12.75" customHeight="1" x14ac:dyDescent="0.1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</row>
    <row r="507" spans="1:19" ht="12.75" customHeight="1" x14ac:dyDescent="0.1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</row>
    <row r="508" spans="1:19" ht="12.75" customHeight="1" x14ac:dyDescent="0.1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</row>
    <row r="509" spans="1:19" ht="12.75" customHeight="1" x14ac:dyDescent="0.1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</row>
    <row r="510" spans="1:19" ht="12.75" customHeight="1" x14ac:dyDescent="0.1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</row>
    <row r="511" spans="1:19" ht="12.75" customHeight="1" x14ac:dyDescent="0.1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</row>
    <row r="512" spans="1:19" ht="12.75" customHeight="1" x14ac:dyDescent="0.1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</row>
    <row r="513" spans="1:19" ht="12.75" customHeight="1" x14ac:dyDescent="0.1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</row>
    <row r="514" spans="1:19" ht="12.75" customHeight="1" x14ac:dyDescent="0.1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</row>
    <row r="515" spans="1:19" ht="12.75" customHeight="1" x14ac:dyDescent="0.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</row>
    <row r="516" spans="1:19" ht="12.75" customHeight="1" x14ac:dyDescent="0.1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</row>
    <row r="517" spans="1:19" ht="12.75" customHeight="1" x14ac:dyDescent="0.1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</row>
    <row r="518" spans="1:19" ht="12.75" customHeight="1" x14ac:dyDescent="0.1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</row>
    <row r="519" spans="1:19" ht="12.75" customHeight="1" x14ac:dyDescent="0.1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</row>
    <row r="520" spans="1:19" ht="12.75" customHeight="1" x14ac:dyDescent="0.1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</row>
    <row r="521" spans="1:19" ht="12.75" customHeight="1" x14ac:dyDescent="0.1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</row>
    <row r="522" spans="1:19" ht="12.75" customHeight="1" x14ac:dyDescent="0.1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</row>
    <row r="523" spans="1:19" ht="12.75" customHeight="1" x14ac:dyDescent="0.1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</row>
    <row r="524" spans="1:19" ht="12.75" customHeight="1" x14ac:dyDescent="0.1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</row>
    <row r="525" spans="1:19" ht="12.75" customHeight="1" x14ac:dyDescent="0.1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</row>
    <row r="526" spans="1:19" ht="12.75" customHeight="1" x14ac:dyDescent="0.1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</row>
    <row r="527" spans="1:19" ht="12.75" customHeight="1" x14ac:dyDescent="0.1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</row>
    <row r="528" spans="1:19" ht="12.75" customHeight="1" x14ac:dyDescent="0.1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</row>
    <row r="529" spans="1:19" ht="12.75" customHeight="1" x14ac:dyDescent="0.1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</row>
    <row r="530" spans="1:19" ht="12.75" customHeight="1" x14ac:dyDescent="0.1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</row>
    <row r="531" spans="1:19" ht="12.75" customHeight="1" x14ac:dyDescent="0.1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</row>
    <row r="532" spans="1:19" ht="12.75" customHeight="1" x14ac:dyDescent="0.1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</row>
    <row r="533" spans="1:19" ht="12.75" customHeight="1" x14ac:dyDescent="0.1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</row>
    <row r="534" spans="1:19" ht="12.75" customHeight="1" x14ac:dyDescent="0.1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</row>
    <row r="535" spans="1:19" ht="12.75" customHeight="1" x14ac:dyDescent="0.1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</row>
    <row r="536" spans="1:19" ht="12.75" customHeight="1" x14ac:dyDescent="0.1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</row>
    <row r="537" spans="1:19" ht="12.75" customHeight="1" x14ac:dyDescent="0.1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</row>
    <row r="538" spans="1:19" ht="12.75" customHeight="1" x14ac:dyDescent="0.1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</row>
    <row r="539" spans="1:19" ht="12.75" customHeight="1" x14ac:dyDescent="0.1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</row>
    <row r="540" spans="1:19" ht="12.75" customHeight="1" x14ac:dyDescent="0.1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</row>
    <row r="541" spans="1:19" ht="12.75" customHeight="1" x14ac:dyDescent="0.1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</row>
    <row r="542" spans="1:19" ht="12.75" customHeight="1" x14ac:dyDescent="0.1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</row>
    <row r="543" spans="1:19" ht="12.75" customHeight="1" x14ac:dyDescent="0.1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</row>
    <row r="544" spans="1:19" ht="12.75" customHeight="1" x14ac:dyDescent="0.1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</row>
    <row r="545" spans="1:19" ht="12.75" customHeight="1" x14ac:dyDescent="0.1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</row>
    <row r="546" spans="1:19" ht="12.75" customHeight="1" x14ac:dyDescent="0.1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</row>
    <row r="547" spans="1:19" ht="12.75" customHeight="1" x14ac:dyDescent="0.1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</row>
    <row r="548" spans="1:19" ht="12.75" customHeight="1" x14ac:dyDescent="0.1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</row>
    <row r="549" spans="1:19" ht="12.75" customHeight="1" x14ac:dyDescent="0.1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</row>
    <row r="550" spans="1:19" ht="12.75" customHeight="1" x14ac:dyDescent="0.1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</row>
    <row r="551" spans="1:19" ht="12.75" customHeight="1" x14ac:dyDescent="0.1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</row>
    <row r="552" spans="1:19" ht="12.75" customHeight="1" x14ac:dyDescent="0.1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</row>
    <row r="553" spans="1:19" ht="12.75" customHeight="1" x14ac:dyDescent="0.1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</row>
    <row r="554" spans="1:19" ht="12.75" customHeight="1" x14ac:dyDescent="0.1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</row>
    <row r="555" spans="1:19" ht="12.75" customHeight="1" x14ac:dyDescent="0.1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</row>
    <row r="556" spans="1:19" ht="12.75" customHeight="1" x14ac:dyDescent="0.1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</row>
    <row r="557" spans="1:19" ht="12.75" customHeight="1" x14ac:dyDescent="0.1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</row>
    <row r="558" spans="1:19" ht="12.75" customHeight="1" x14ac:dyDescent="0.1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</row>
    <row r="559" spans="1:19" ht="12.75" customHeight="1" x14ac:dyDescent="0.1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</row>
    <row r="560" spans="1:19" ht="12.75" customHeight="1" x14ac:dyDescent="0.1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</row>
    <row r="561" spans="1:19" ht="12.75" customHeight="1" x14ac:dyDescent="0.1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</row>
    <row r="562" spans="1:19" ht="12.75" customHeight="1" x14ac:dyDescent="0.1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</row>
    <row r="563" spans="1:19" ht="12.75" customHeight="1" x14ac:dyDescent="0.1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</row>
    <row r="564" spans="1:19" ht="12.75" customHeight="1" x14ac:dyDescent="0.1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</row>
    <row r="565" spans="1:19" ht="12.75" customHeight="1" x14ac:dyDescent="0.1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</row>
    <row r="566" spans="1:19" ht="12.75" customHeight="1" x14ac:dyDescent="0.1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</row>
    <row r="567" spans="1:19" ht="12.75" customHeight="1" x14ac:dyDescent="0.1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</row>
    <row r="568" spans="1:19" ht="12.75" customHeight="1" x14ac:dyDescent="0.1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</row>
    <row r="569" spans="1:19" ht="12.75" customHeight="1" x14ac:dyDescent="0.1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</row>
    <row r="570" spans="1:19" ht="12.75" customHeight="1" x14ac:dyDescent="0.1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</row>
    <row r="571" spans="1:19" ht="12.75" customHeight="1" x14ac:dyDescent="0.1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</row>
    <row r="572" spans="1:19" ht="12.75" customHeight="1" x14ac:dyDescent="0.1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</row>
    <row r="573" spans="1:19" ht="12.75" customHeight="1" x14ac:dyDescent="0.1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</row>
    <row r="574" spans="1:19" ht="12.75" customHeight="1" x14ac:dyDescent="0.1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</row>
    <row r="575" spans="1:19" ht="12.75" customHeight="1" x14ac:dyDescent="0.1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</row>
    <row r="576" spans="1:19" ht="12.75" customHeight="1" x14ac:dyDescent="0.1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</row>
    <row r="577" spans="1:19" ht="12.75" customHeight="1" x14ac:dyDescent="0.1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</row>
    <row r="578" spans="1:19" ht="12.75" customHeight="1" x14ac:dyDescent="0.1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</row>
    <row r="579" spans="1:19" ht="12.75" customHeight="1" x14ac:dyDescent="0.1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</row>
    <row r="580" spans="1:19" ht="12.75" customHeight="1" x14ac:dyDescent="0.1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</row>
    <row r="581" spans="1:19" ht="12.75" customHeight="1" x14ac:dyDescent="0.1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</row>
    <row r="582" spans="1:19" ht="12.75" customHeight="1" x14ac:dyDescent="0.1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</row>
    <row r="583" spans="1:19" ht="12.75" customHeight="1" x14ac:dyDescent="0.1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</row>
    <row r="584" spans="1:19" ht="12.75" customHeight="1" x14ac:dyDescent="0.1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</row>
    <row r="585" spans="1:19" ht="12.75" customHeight="1" x14ac:dyDescent="0.1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</row>
    <row r="586" spans="1:19" ht="12.75" customHeight="1" x14ac:dyDescent="0.1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</row>
    <row r="587" spans="1:19" ht="12.75" customHeight="1" x14ac:dyDescent="0.1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</row>
    <row r="588" spans="1:19" ht="12.75" customHeight="1" x14ac:dyDescent="0.1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</row>
    <row r="589" spans="1:19" ht="12.75" customHeight="1" x14ac:dyDescent="0.1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</row>
    <row r="590" spans="1:19" ht="12.75" customHeight="1" x14ac:dyDescent="0.1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</row>
    <row r="591" spans="1:19" ht="12.75" customHeight="1" x14ac:dyDescent="0.1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</row>
    <row r="592" spans="1:19" ht="12.75" customHeight="1" x14ac:dyDescent="0.1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</row>
    <row r="593" spans="1:19" ht="12.75" customHeight="1" x14ac:dyDescent="0.1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</row>
    <row r="594" spans="1:19" ht="12.75" customHeight="1" x14ac:dyDescent="0.1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</row>
    <row r="595" spans="1:19" ht="12.75" customHeight="1" x14ac:dyDescent="0.1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</row>
    <row r="596" spans="1:19" ht="12.75" customHeight="1" x14ac:dyDescent="0.1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</row>
    <row r="597" spans="1:19" ht="12.75" customHeight="1" x14ac:dyDescent="0.1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</row>
    <row r="598" spans="1:19" ht="12.75" customHeight="1" x14ac:dyDescent="0.1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</row>
    <row r="599" spans="1:19" ht="12.75" customHeight="1" x14ac:dyDescent="0.1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</row>
    <row r="600" spans="1:19" ht="12.75" customHeight="1" x14ac:dyDescent="0.1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</row>
    <row r="601" spans="1:19" ht="12.75" customHeight="1" x14ac:dyDescent="0.1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</row>
    <row r="602" spans="1:19" ht="12.75" customHeight="1" x14ac:dyDescent="0.1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</row>
    <row r="603" spans="1:19" ht="12.75" customHeight="1" x14ac:dyDescent="0.1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</row>
    <row r="604" spans="1:19" ht="12.75" customHeight="1" x14ac:dyDescent="0.1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</row>
    <row r="605" spans="1:19" ht="12.75" customHeight="1" x14ac:dyDescent="0.1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</row>
    <row r="606" spans="1:19" ht="12.75" customHeight="1" x14ac:dyDescent="0.1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</row>
    <row r="607" spans="1:19" ht="12.75" customHeight="1" x14ac:dyDescent="0.1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</row>
    <row r="608" spans="1:19" ht="12.75" customHeight="1" x14ac:dyDescent="0.1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</row>
    <row r="609" spans="1:19" ht="12.75" customHeight="1" x14ac:dyDescent="0.1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</row>
    <row r="610" spans="1:19" ht="12.75" customHeight="1" x14ac:dyDescent="0.1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</row>
    <row r="611" spans="1:19" ht="12.75" customHeight="1" x14ac:dyDescent="0.1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</row>
    <row r="612" spans="1:19" ht="12.75" customHeight="1" x14ac:dyDescent="0.1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</row>
    <row r="613" spans="1:19" ht="12.75" customHeight="1" x14ac:dyDescent="0.1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</row>
    <row r="614" spans="1:19" ht="12.75" customHeight="1" x14ac:dyDescent="0.1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</row>
    <row r="615" spans="1:19" ht="12.75" customHeight="1" x14ac:dyDescent="0.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</row>
    <row r="616" spans="1:19" ht="12.75" customHeight="1" x14ac:dyDescent="0.1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</row>
    <row r="617" spans="1:19" ht="12.75" customHeight="1" x14ac:dyDescent="0.1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</row>
    <row r="618" spans="1:19" ht="12.75" customHeight="1" x14ac:dyDescent="0.1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</row>
    <row r="619" spans="1:19" ht="12.75" customHeight="1" x14ac:dyDescent="0.1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</row>
    <row r="620" spans="1:19" ht="12.75" customHeight="1" x14ac:dyDescent="0.1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</row>
    <row r="621" spans="1:19" ht="12.75" customHeight="1" x14ac:dyDescent="0.1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</row>
    <row r="622" spans="1:19" ht="12.75" customHeight="1" x14ac:dyDescent="0.1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</row>
    <row r="623" spans="1:19" ht="12.75" customHeight="1" x14ac:dyDescent="0.1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</row>
    <row r="624" spans="1:19" ht="12.75" customHeight="1" x14ac:dyDescent="0.1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</row>
    <row r="625" spans="1:19" ht="12.75" customHeight="1" x14ac:dyDescent="0.1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</row>
    <row r="626" spans="1:19" ht="12.75" customHeight="1" x14ac:dyDescent="0.1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</row>
    <row r="627" spans="1:19" ht="12.75" customHeight="1" x14ac:dyDescent="0.1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</row>
    <row r="628" spans="1:19" ht="12.75" customHeight="1" x14ac:dyDescent="0.1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</row>
    <row r="629" spans="1:19" ht="12.75" customHeight="1" x14ac:dyDescent="0.1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</row>
    <row r="630" spans="1:19" ht="12.75" customHeight="1" x14ac:dyDescent="0.1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</row>
    <row r="631" spans="1:19" ht="12.75" customHeight="1" x14ac:dyDescent="0.1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</row>
    <row r="632" spans="1:19" ht="12.75" customHeight="1" x14ac:dyDescent="0.1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</row>
    <row r="633" spans="1:19" ht="12.75" customHeight="1" x14ac:dyDescent="0.1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</row>
    <row r="634" spans="1:19" ht="12.75" customHeight="1" x14ac:dyDescent="0.1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</row>
    <row r="635" spans="1:19" ht="12.75" customHeight="1" x14ac:dyDescent="0.1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</row>
    <row r="636" spans="1:19" ht="12.75" customHeight="1" x14ac:dyDescent="0.1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</row>
    <row r="637" spans="1:19" ht="12.75" customHeight="1" x14ac:dyDescent="0.1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</row>
    <row r="638" spans="1:19" ht="12.75" customHeight="1" x14ac:dyDescent="0.1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</row>
    <row r="639" spans="1:19" ht="12.75" customHeight="1" x14ac:dyDescent="0.1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</row>
    <row r="640" spans="1:19" ht="12.75" customHeight="1" x14ac:dyDescent="0.1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</row>
    <row r="641" spans="1:19" ht="12.75" customHeight="1" x14ac:dyDescent="0.1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</row>
    <row r="642" spans="1:19" ht="12.75" customHeight="1" x14ac:dyDescent="0.1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</row>
    <row r="643" spans="1:19" ht="12.75" customHeight="1" x14ac:dyDescent="0.1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</row>
    <row r="644" spans="1:19" ht="12.75" customHeight="1" x14ac:dyDescent="0.1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</row>
    <row r="645" spans="1:19" ht="12.75" customHeight="1" x14ac:dyDescent="0.1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</row>
    <row r="646" spans="1:19" ht="12.75" customHeight="1" x14ac:dyDescent="0.1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</row>
    <row r="647" spans="1:19" ht="12.75" customHeight="1" x14ac:dyDescent="0.1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</row>
    <row r="648" spans="1:19" ht="12.75" customHeight="1" x14ac:dyDescent="0.1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</row>
    <row r="649" spans="1:19" ht="12.75" customHeight="1" x14ac:dyDescent="0.1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</row>
    <row r="650" spans="1:19" ht="12.75" customHeight="1" x14ac:dyDescent="0.1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</row>
    <row r="651" spans="1:19" ht="12.75" customHeight="1" x14ac:dyDescent="0.1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</row>
    <row r="652" spans="1:19" ht="12.75" customHeight="1" x14ac:dyDescent="0.1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</row>
    <row r="653" spans="1:19" ht="12.75" customHeight="1" x14ac:dyDescent="0.1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</row>
    <row r="654" spans="1:19" ht="12.75" customHeight="1" x14ac:dyDescent="0.1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</row>
    <row r="655" spans="1:19" ht="12.75" customHeight="1" x14ac:dyDescent="0.1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</row>
    <row r="656" spans="1:19" ht="12.75" customHeight="1" x14ac:dyDescent="0.1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</row>
    <row r="657" spans="1:19" ht="12.75" customHeight="1" x14ac:dyDescent="0.1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</row>
    <row r="658" spans="1:19" ht="12.75" customHeight="1" x14ac:dyDescent="0.1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</row>
    <row r="659" spans="1:19" ht="12.75" customHeight="1" x14ac:dyDescent="0.1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</row>
    <row r="660" spans="1:19" ht="12.75" customHeight="1" x14ac:dyDescent="0.1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</row>
    <row r="661" spans="1:19" ht="12.75" customHeight="1" x14ac:dyDescent="0.1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</row>
    <row r="662" spans="1:19" ht="12.75" customHeight="1" x14ac:dyDescent="0.1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</row>
    <row r="663" spans="1:19" ht="12.75" customHeight="1" x14ac:dyDescent="0.1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</row>
    <row r="664" spans="1:19" ht="12.75" customHeight="1" x14ac:dyDescent="0.1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</row>
    <row r="665" spans="1:19" ht="12.75" customHeight="1" x14ac:dyDescent="0.1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</row>
    <row r="666" spans="1:19" ht="12.75" customHeight="1" x14ac:dyDescent="0.1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</row>
    <row r="667" spans="1:19" ht="12.75" customHeight="1" x14ac:dyDescent="0.1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</row>
    <row r="668" spans="1:19" ht="12.75" customHeight="1" x14ac:dyDescent="0.1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</row>
    <row r="669" spans="1:19" ht="12.75" customHeight="1" x14ac:dyDescent="0.1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</row>
    <row r="670" spans="1:19" ht="12.75" customHeight="1" x14ac:dyDescent="0.1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</row>
    <row r="671" spans="1:19" ht="12.75" customHeight="1" x14ac:dyDescent="0.1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</row>
    <row r="672" spans="1:19" ht="12.75" customHeight="1" x14ac:dyDescent="0.1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</row>
    <row r="673" spans="1:19" ht="12.75" customHeight="1" x14ac:dyDescent="0.1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</row>
    <row r="674" spans="1:19" ht="12.75" customHeight="1" x14ac:dyDescent="0.1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</row>
    <row r="675" spans="1:19" ht="12.75" customHeight="1" x14ac:dyDescent="0.1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</row>
    <row r="676" spans="1:19" ht="12.75" customHeight="1" x14ac:dyDescent="0.1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</row>
    <row r="677" spans="1:19" ht="12.75" customHeight="1" x14ac:dyDescent="0.1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</row>
    <row r="678" spans="1:19" ht="12.75" customHeight="1" x14ac:dyDescent="0.1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</row>
    <row r="679" spans="1:19" ht="12.75" customHeight="1" x14ac:dyDescent="0.1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</row>
    <row r="680" spans="1:19" ht="12.75" customHeight="1" x14ac:dyDescent="0.1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</row>
    <row r="681" spans="1:19" ht="12.75" customHeight="1" x14ac:dyDescent="0.1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</row>
    <row r="682" spans="1:19" ht="12.75" customHeight="1" x14ac:dyDescent="0.1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</row>
    <row r="683" spans="1:19" ht="12.75" customHeight="1" x14ac:dyDescent="0.1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</row>
    <row r="684" spans="1:19" ht="12.75" customHeight="1" x14ac:dyDescent="0.1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</row>
    <row r="685" spans="1:19" ht="12.75" customHeight="1" x14ac:dyDescent="0.1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</row>
    <row r="686" spans="1:19" ht="12.75" customHeight="1" x14ac:dyDescent="0.1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</row>
    <row r="687" spans="1:19" ht="12.75" customHeight="1" x14ac:dyDescent="0.1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</row>
    <row r="688" spans="1:19" ht="12.75" customHeight="1" x14ac:dyDescent="0.1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</row>
    <row r="689" spans="1:19" ht="12.75" customHeight="1" x14ac:dyDescent="0.1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</row>
    <row r="690" spans="1:19" ht="12.75" customHeight="1" x14ac:dyDescent="0.1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</row>
    <row r="691" spans="1:19" ht="12.75" customHeight="1" x14ac:dyDescent="0.1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</row>
    <row r="692" spans="1:19" ht="12.75" customHeight="1" x14ac:dyDescent="0.1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</row>
    <row r="693" spans="1:19" ht="12.75" customHeight="1" x14ac:dyDescent="0.1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</row>
    <row r="694" spans="1:19" ht="12.75" customHeight="1" x14ac:dyDescent="0.1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</row>
    <row r="695" spans="1:19" ht="12.75" customHeight="1" x14ac:dyDescent="0.1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</row>
    <row r="696" spans="1:19" ht="12.75" customHeight="1" x14ac:dyDescent="0.1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</row>
    <row r="697" spans="1:19" ht="12.75" customHeight="1" x14ac:dyDescent="0.1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</row>
    <row r="698" spans="1:19" ht="12.75" customHeight="1" x14ac:dyDescent="0.1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</row>
    <row r="699" spans="1:19" ht="12.75" customHeight="1" x14ac:dyDescent="0.1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</row>
    <row r="700" spans="1:19" ht="12.75" customHeight="1" x14ac:dyDescent="0.1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</row>
    <row r="701" spans="1:19" ht="12.75" customHeight="1" x14ac:dyDescent="0.1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</row>
    <row r="702" spans="1:19" ht="12.75" customHeight="1" x14ac:dyDescent="0.1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</row>
    <row r="703" spans="1:19" ht="12.75" customHeight="1" x14ac:dyDescent="0.1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</row>
    <row r="704" spans="1:19" ht="12.75" customHeight="1" x14ac:dyDescent="0.1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</row>
    <row r="705" spans="1:19" ht="12.75" customHeight="1" x14ac:dyDescent="0.1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</row>
    <row r="706" spans="1:19" ht="12.75" customHeight="1" x14ac:dyDescent="0.1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</row>
    <row r="707" spans="1:19" ht="12.75" customHeight="1" x14ac:dyDescent="0.1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</row>
    <row r="708" spans="1:19" ht="12.75" customHeight="1" x14ac:dyDescent="0.1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</row>
    <row r="709" spans="1:19" ht="12.75" customHeight="1" x14ac:dyDescent="0.1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</row>
    <row r="710" spans="1:19" ht="12.75" customHeight="1" x14ac:dyDescent="0.1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</row>
    <row r="711" spans="1:19" ht="12.75" customHeight="1" x14ac:dyDescent="0.1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</row>
    <row r="712" spans="1:19" ht="12.75" customHeight="1" x14ac:dyDescent="0.1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</row>
    <row r="713" spans="1:19" ht="12.75" customHeight="1" x14ac:dyDescent="0.1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</row>
    <row r="714" spans="1:19" ht="12.75" customHeight="1" x14ac:dyDescent="0.1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</row>
    <row r="715" spans="1:19" ht="12.75" customHeight="1" x14ac:dyDescent="0.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</row>
    <row r="716" spans="1:19" ht="12.75" customHeight="1" x14ac:dyDescent="0.1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</row>
    <row r="717" spans="1:19" ht="12.75" customHeight="1" x14ac:dyDescent="0.1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</row>
    <row r="718" spans="1:19" ht="12.75" customHeight="1" x14ac:dyDescent="0.1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</row>
    <row r="719" spans="1:19" ht="12.75" customHeight="1" x14ac:dyDescent="0.1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</row>
    <row r="720" spans="1:19" ht="12.75" customHeight="1" x14ac:dyDescent="0.1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</row>
    <row r="721" spans="1:19" ht="12.75" customHeight="1" x14ac:dyDescent="0.1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</row>
    <row r="722" spans="1:19" ht="12.75" customHeight="1" x14ac:dyDescent="0.1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</row>
    <row r="723" spans="1:19" ht="12.75" customHeight="1" x14ac:dyDescent="0.1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</row>
    <row r="724" spans="1:19" ht="12.75" customHeight="1" x14ac:dyDescent="0.1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</row>
    <row r="725" spans="1:19" ht="12.75" customHeight="1" x14ac:dyDescent="0.1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</row>
    <row r="726" spans="1:19" ht="12.75" customHeight="1" x14ac:dyDescent="0.1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</row>
    <row r="727" spans="1:19" ht="12.75" customHeight="1" x14ac:dyDescent="0.1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</row>
    <row r="728" spans="1:19" ht="12.75" customHeight="1" x14ac:dyDescent="0.1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</row>
    <row r="729" spans="1:19" ht="12.75" customHeight="1" x14ac:dyDescent="0.1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</row>
    <row r="730" spans="1:19" ht="12.75" customHeight="1" x14ac:dyDescent="0.1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</row>
    <row r="731" spans="1:19" ht="12.75" customHeight="1" x14ac:dyDescent="0.1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</row>
    <row r="732" spans="1:19" ht="12.75" customHeight="1" x14ac:dyDescent="0.1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</row>
    <row r="733" spans="1:19" ht="12.75" customHeight="1" x14ac:dyDescent="0.1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</row>
    <row r="734" spans="1:19" ht="12.75" customHeight="1" x14ac:dyDescent="0.1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</row>
    <row r="735" spans="1:19" ht="12.75" customHeight="1" x14ac:dyDescent="0.1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</row>
    <row r="736" spans="1:19" ht="12.75" customHeight="1" x14ac:dyDescent="0.1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</row>
    <row r="737" spans="1:19" ht="12.75" customHeight="1" x14ac:dyDescent="0.1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</row>
    <row r="738" spans="1:19" ht="12.75" customHeight="1" x14ac:dyDescent="0.1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</row>
    <row r="739" spans="1:19" ht="12.75" customHeight="1" x14ac:dyDescent="0.1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</row>
    <row r="740" spans="1:19" ht="12.75" customHeight="1" x14ac:dyDescent="0.1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</row>
    <row r="741" spans="1:19" ht="12.75" customHeight="1" x14ac:dyDescent="0.1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</row>
    <row r="742" spans="1:19" ht="12.75" customHeight="1" x14ac:dyDescent="0.1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</row>
    <row r="743" spans="1:19" ht="12.75" customHeight="1" x14ac:dyDescent="0.1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</row>
    <row r="744" spans="1:19" ht="12.75" customHeight="1" x14ac:dyDescent="0.1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</row>
    <row r="745" spans="1:19" ht="12.75" customHeight="1" x14ac:dyDescent="0.1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</row>
    <row r="746" spans="1:19" ht="12.75" customHeight="1" x14ac:dyDescent="0.1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</row>
    <row r="747" spans="1:19" ht="12.75" customHeight="1" x14ac:dyDescent="0.1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</row>
    <row r="748" spans="1:19" ht="12.75" customHeight="1" x14ac:dyDescent="0.1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</row>
    <row r="749" spans="1:19" ht="12.75" customHeight="1" x14ac:dyDescent="0.1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</row>
    <row r="750" spans="1:19" ht="12.75" customHeight="1" x14ac:dyDescent="0.1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</row>
    <row r="751" spans="1:19" ht="12.75" customHeight="1" x14ac:dyDescent="0.1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</row>
    <row r="752" spans="1:19" ht="12.75" customHeight="1" x14ac:dyDescent="0.1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</row>
    <row r="753" spans="1:19" ht="12.75" customHeight="1" x14ac:dyDescent="0.1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</row>
    <row r="754" spans="1:19" ht="12.75" customHeight="1" x14ac:dyDescent="0.1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</row>
    <row r="755" spans="1:19" ht="12.75" customHeight="1" x14ac:dyDescent="0.1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</row>
    <row r="756" spans="1:19" ht="12.75" customHeight="1" x14ac:dyDescent="0.1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</row>
    <row r="757" spans="1:19" ht="12.75" customHeight="1" x14ac:dyDescent="0.1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</row>
    <row r="758" spans="1:19" ht="12.75" customHeight="1" x14ac:dyDescent="0.1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</row>
    <row r="759" spans="1:19" ht="12.75" customHeight="1" x14ac:dyDescent="0.1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</row>
    <row r="760" spans="1:19" ht="12.75" customHeight="1" x14ac:dyDescent="0.1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</row>
    <row r="761" spans="1:19" ht="12.75" customHeight="1" x14ac:dyDescent="0.1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</row>
    <row r="762" spans="1:19" ht="12.75" customHeight="1" x14ac:dyDescent="0.1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</row>
    <row r="763" spans="1:19" ht="12.75" customHeight="1" x14ac:dyDescent="0.1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</row>
    <row r="764" spans="1:19" ht="12.75" customHeight="1" x14ac:dyDescent="0.1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</row>
    <row r="765" spans="1:19" ht="12.75" customHeight="1" x14ac:dyDescent="0.1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</row>
    <row r="766" spans="1:19" ht="12.75" customHeight="1" x14ac:dyDescent="0.1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</row>
    <row r="767" spans="1:19" ht="12.75" customHeight="1" x14ac:dyDescent="0.1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</row>
    <row r="768" spans="1:19" ht="12.75" customHeight="1" x14ac:dyDescent="0.1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</row>
    <row r="769" spans="1:19" ht="12.75" customHeight="1" x14ac:dyDescent="0.1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</row>
    <row r="770" spans="1:19" ht="12.75" customHeight="1" x14ac:dyDescent="0.1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</row>
    <row r="771" spans="1:19" ht="12.75" customHeight="1" x14ac:dyDescent="0.1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</row>
    <row r="772" spans="1:19" ht="12.75" customHeight="1" x14ac:dyDescent="0.1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</row>
    <row r="773" spans="1:19" ht="12.75" customHeight="1" x14ac:dyDescent="0.1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</row>
    <row r="774" spans="1:19" ht="12.75" customHeight="1" x14ac:dyDescent="0.1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</row>
    <row r="775" spans="1:19" ht="12.75" customHeight="1" x14ac:dyDescent="0.1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</row>
    <row r="776" spans="1:19" ht="12.75" customHeight="1" x14ac:dyDescent="0.1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</row>
    <row r="777" spans="1:19" ht="12.75" customHeight="1" x14ac:dyDescent="0.1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</row>
    <row r="778" spans="1:19" ht="12.75" customHeight="1" x14ac:dyDescent="0.1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</row>
    <row r="779" spans="1:19" ht="12.75" customHeight="1" x14ac:dyDescent="0.1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</row>
    <row r="780" spans="1:19" ht="12.75" customHeight="1" x14ac:dyDescent="0.1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</row>
    <row r="781" spans="1:19" ht="12.75" customHeight="1" x14ac:dyDescent="0.1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</row>
    <row r="782" spans="1:19" ht="12.75" customHeight="1" x14ac:dyDescent="0.1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</row>
    <row r="783" spans="1:19" ht="12.75" customHeight="1" x14ac:dyDescent="0.1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</row>
    <row r="784" spans="1:19" ht="12.75" customHeight="1" x14ac:dyDescent="0.1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</row>
    <row r="785" spans="1:19" ht="12.75" customHeight="1" x14ac:dyDescent="0.1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</row>
    <row r="786" spans="1:19" ht="12.75" customHeight="1" x14ac:dyDescent="0.1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</row>
    <row r="787" spans="1:19" ht="12.75" customHeight="1" x14ac:dyDescent="0.1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</row>
    <row r="788" spans="1:19" ht="12.75" customHeight="1" x14ac:dyDescent="0.1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</row>
    <row r="789" spans="1:19" ht="12.75" customHeight="1" x14ac:dyDescent="0.1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</row>
    <row r="790" spans="1:19" ht="12.75" customHeight="1" x14ac:dyDescent="0.1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</row>
    <row r="791" spans="1:19" ht="12.75" customHeight="1" x14ac:dyDescent="0.1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</row>
    <row r="792" spans="1:19" ht="12.75" customHeight="1" x14ac:dyDescent="0.1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</row>
    <row r="793" spans="1:19" ht="12.75" customHeight="1" x14ac:dyDescent="0.1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</row>
    <row r="794" spans="1:19" ht="12.75" customHeight="1" x14ac:dyDescent="0.1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</row>
    <row r="795" spans="1:19" ht="12.75" customHeight="1" x14ac:dyDescent="0.1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</row>
    <row r="796" spans="1:19" ht="12.75" customHeight="1" x14ac:dyDescent="0.1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</row>
    <row r="797" spans="1:19" ht="12.75" customHeight="1" x14ac:dyDescent="0.1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</row>
    <row r="798" spans="1:19" ht="12.75" customHeight="1" x14ac:dyDescent="0.1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</row>
    <row r="799" spans="1:19" ht="12.75" customHeight="1" x14ac:dyDescent="0.1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</row>
    <row r="800" spans="1:19" ht="12.75" customHeight="1" x14ac:dyDescent="0.1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</row>
    <row r="801" spans="1:19" ht="12.75" customHeight="1" x14ac:dyDescent="0.1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</row>
    <row r="802" spans="1:19" ht="12.75" customHeight="1" x14ac:dyDescent="0.1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</row>
    <row r="803" spans="1:19" ht="12.75" customHeight="1" x14ac:dyDescent="0.1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</row>
    <row r="804" spans="1:19" ht="12.75" customHeight="1" x14ac:dyDescent="0.1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</row>
    <row r="805" spans="1:19" ht="12.75" customHeight="1" x14ac:dyDescent="0.1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</row>
    <row r="806" spans="1:19" ht="12.75" customHeight="1" x14ac:dyDescent="0.1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</row>
    <row r="807" spans="1:19" ht="12.75" customHeight="1" x14ac:dyDescent="0.1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</row>
    <row r="808" spans="1:19" ht="12.75" customHeight="1" x14ac:dyDescent="0.1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</row>
    <row r="809" spans="1:19" ht="12.75" customHeight="1" x14ac:dyDescent="0.1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</row>
    <row r="810" spans="1:19" ht="12.75" customHeight="1" x14ac:dyDescent="0.1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</row>
    <row r="811" spans="1:19" ht="12.75" customHeight="1" x14ac:dyDescent="0.1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</row>
    <row r="812" spans="1:19" ht="12.75" customHeight="1" x14ac:dyDescent="0.1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</row>
    <row r="813" spans="1:19" ht="12.75" customHeight="1" x14ac:dyDescent="0.1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</row>
    <row r="814" spans="1:19" ht="12.75" customHeight="1" x14ac:dyDescent="0.1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</row>
    <row r="815" spans="1:19" ht="12.75" customHeight="1" x14ac:dyDescent="0.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</row>
    <row r="816" spans="1:19" ht="12.75" customHeight="1" x14ac:dyDescent="0.1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</row>
    <row r="817" spans="1:19" ht="12.75" customHeight="1" x14ac:dyDescent="0.1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</row>
    <row r="818" spans="1:19" ht="12.75" customHeight="1" x14ac:dyDescent="0.1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</row>
    <row r="819" spans="1:19" ht="12.75" customHeight="1" x14ac:dyDescent="0.1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</row>
    <row r="820" spans="1:19" ht="12.75" customHeight="1" x14ac:dyDescent="0.1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</row>
    <row r="821" spans="1:19" ht="12.75" customHeight="1" x14ac:dyDescent="0.1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</row>
    <row r="822" spans="1:19" ht="12.75" customHeight="1" x14ac:dyDescent="0.1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</row>
    <row r="823" spans="1:19" ht="12.75" customHeight="1" x14ac:dyDescent="0.1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</row>
    <row r="824" spans="1:19" ht="12.75" customHeight="1" x14ac:dyDescent="0.1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</row>
    <row r="825" spans="1:19" ht="12.75" customHeight="1" x14ac:dyDescent="0.1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</row>
    <row r="826" spans="1:19" ht="12.75" customHeight="1" x14ac:dyDescent="0.1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</row>
    <row r="827" spans="1:19" ht="12.75" customHeight="1" x14ac:dyDescent="0.1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</row>
    <row r="828" spans="1:19" ht="12.75" customHeight="1" x14ac:dyDescent="0.1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</row>
    <row r="829" spans="1:19" ht="12.75" customHeight="1" x14ac:dyDescent="0.1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</row>
    <row r="830" spans="1:19" ht="12.75" customHeight="1" x14ac:dyDescent="0.1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</row>
    <row r="831" spans="1:19" ht="12.75" customHeight="1" x14ac:dyDescent="0.1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</row>
    <row r="832" spans="1:19" ht="12.75" customHeight="1" x14ac:dyDescent="0.1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</row>
    <row r="833" spans="1:19" ht="12.75" customHeight="1" x14ac:dyDescent="0.1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</row>
    <row r="834" spans="1:19" ht="12.75" customHeight="1" x14ac:dyDescent="0.1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</row>
    <row r="835" spans="1:19" ht="12.75" customHeight="1" x14ac:dyDescent="0.1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</row>
    <row r="836" spans="1:19" ht="12.75" customHeight="1" x14ac:dyDescent="0.1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</row>
    <row r="837" spans="1:19" ht="12.75" customHeight="1" x14ac:dyDescent="0.1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</row>
    <row r="838" spans="1:19" ht="12.75" customHeight="1" x14ac:dyDescent="0.1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</row>
    <row r="839" spans="1:19" ht="12.75" customHeight="1" x14ac:dyDescent="0.1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</row>
    <row r="840" spans="1:19" ht="12.75" customHeight="1" x14ac:dyDescent="0.1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</row>
    <row r="841" spans="1:19" ht="12.75" customHeight="1" x14ac:dyDescent="0.1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</row>
    <row r="842" spans="1:19" ht="12.75" customHeight="1" x14ac:dyDescent="0.1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</row>
    <row r="843" spans="1:19" ht="12.75" customHeight="1" x14ac:dyDescent="0.1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</row>
    <row r="844" spans="1:19" ht="12.75" customHeight="1" x14ac:dyDescent="0.1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</row>
    <row r="845" spans="1:19" ht="12.75" customHeight="1" x14ac:dyDescent="0.1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</row>
    <row r="846" spans="1:19" ht="12.75" customHeight="1" x14ac:dyDescent="0.1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</row>
    <row r="847" spans="1:19" ht="12.75" customHeight="1" x14ac:dyDescent="0.1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</row>
    <row r="848" spans="1:19" ht="12.75" customHeight="1" x14ac:dyDescent="0.1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</row>
    <row r="849" spans="1:19" ht="12.75" customHeight="1" x14ac:dyDescent="0.1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</row>
    <row r="850" spans="1:19" ht="12.75" customHeight="1" x14ac:dyDescent="0.1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</row>
    <row r="851" spans="1:19" ht="12.75" customHeight="1" x14ac:dyDescent="0.1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</row>
    <row r="852" spans="1:19" ht="12.75" customHeight="1" x14ac:dyDescent="0.1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</row>
    <row r="853" spans="1:19" ht="12.75" customHeight="1" x14ac:dyDescent="0.1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</row>
    <row r="854" spans="1:19" ht="12.75" customHeight="1" x14ac:dyDescent="0.1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</row>
    <row r="855" spans="1:19" ht="12.75" customHeight="1" x14ac:dyDescent="0.1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</row>
    <row r="856" spans="1:19" ht="12.75" customHeight="1" x14ac:dyDescent="0.1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</row>
    <row r="857" spans="1:19" ht="12.75" customHeight="1" x14ac:dyDescent="0.1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</row>
    <row r="858" spans="1:19" ht="12.75" customHeight="1" x14ac:dyDescent="0.1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</row>
    <row r="859" spans="1:19" ht="12.75" customHeight="1" x14ac:dyDescent="0.1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</row>
    <row r="860" spans="1:19" ht="12.75" customHeight="1" x14ac:dyDescent="0.1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</row>
    <row r="861" spans="1:19" ht="12.75" customHeight="1" x14ac:dyDescent="0.1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</row>
    <row r="862" spans="1:19" ht="12.75" customHeight="1" x14ac:dyDescent="0.1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</row>
    <row r="863" spans="1:19" ht="12.75" customHeight="1" x14ac:dyDescent="0.1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</row>
    <row r="864" spans="1:19" ht="12.75" customHeight="1" x14ac:dyDescent="0.1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</row>
    <row r="865" spans="1:19" ht="12.75" customHeight="1" x14ac:dyDescent="0.1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</row>
    <row r="866" spans="1:19" ht="12.75" customHeight="1" x14ac:dyDescent="0.1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</row>
    <row r="867" spans="1:19" ht="12.75" customHeight="1" x14ac:dyDescent="0.1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</row>
    <row r="868" spans="1:19" ht="12.75" customHeight="1" x14ac:dyDescent="0.1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</row>
    <row r="869" spans="1:19" ht="12.75" customHeight="1" x14ac:dyDescent="0.1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</row>
    <row r="870" spans="1:19" ht="12.75" customHeight="1" x14ac:dyDescent="0.1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</row>
    <row r="871" spans="1:19" ht="12.75" customHeight="1" x14ac:dyDescent="0.1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</row>
    <row r="872" spans="1:19" ht="12.75" customHeight="1" x14ac:dyDescent="0.1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</row>
    <row r="873" spans="1:19" ht="12.75" customHeight="1" x14ac:dyDescent="0.1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</row>
    <row r="874" spans="1:19" ht="12.75" customHeight="1" x14ac:dyDescent="0.1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</row>
    <row r="875" spans="1:19" ht="12.75" customHeight="1" x14ac:dyDescent="0.1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</row>
    <row r="876" spans="1:19" ht="12.75" customHeight="1" x14ac:dyDescent="0.1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</row>
    <row r="877" spans="1:19" ht="12.75" customHeight="1" x14ac:dyDescent="0.1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</row>
    <row r="878" spans="1:19" ht="12.75" customHeight="1" x14ac:dyDescent="0.1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</row>
    <row r="879" spans="1:19" ht="12.75" customHeight="1" x14ac:dyDescent="0.1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</row>
    <row r="880" spans="1:19" ht="12.75" customHeight="1" x14ac:dyDescent="0.1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</row>
    <row r="881" spans="1:19" ht="12.75" customHeight="1" x14ac:dyDescent="0.1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</row>
    <row r="882" spans="1:19" ht="12.75" customHeight="1" x14ac:dyDescent="0.1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</row>
    <row r="883" spans="1:19" ht="12.75" customHeight="1" x14ac:dyDescent="0.1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</row>
    <row r="884" spans="1:19" ht="12.75" customHeight="1" x14ac:dyDescent="0.1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</row>
    <row r="885" spans="1:19" ht="12.75" customHeight="1" x14ac:dyDescent="0.1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</row>
    <row r="886" spans="1:19" ht="12.75" customHeight="1" x14ac:dyDescent="0.1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</row>
    <row r="887" spans="1:19" ht="12.75" customHeight="1" x14ac:dyDescent="0.1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</row>
    <row r="888" spans="1:19" ht="12.75" customHeight="1" x14ac:dyDescent="0.1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</row>
    <row r="889" spans="1:19" ht="12.75" customHeight="1" x14ac:dyDescent="0.1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</row>
    <row r="890" spans="1:19" ht="12.75" customHeight="1" x14ac:dyDescent="0.1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</row>
    <row r="891" spans="1:19" ht="12.75" customHeight="1" x14ac:dyDescent="0.1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</row>
    <row r="892" spans="1:19" ht="12.75" customHeight="1" x14ac:dyDescent="0.1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</row>
    <row r="893" spans="1:19" ht="12.75" customHeight="1" x14ac:dyDescent="0.1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</row>
    <row r="894" spans="1:19" ht="12.75" customHeight="1" x14ac:dyDescent="0.1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</row>
    <row r="895" spans="1:19" ht="12.75" customHeight="1" x14ac:dyDescent="0.1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</row>
    <row r="896" spans="1:19" ht="12.75" customHeight="1" x14ac:dyDescent="0.1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</row>
    <row r="897" spans="1:19" ht="12.75" customHeight="1" x14ac:dyDescent="0.1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</row>
    <row r="898" spans="1:19" ht="12.75" customHeight="1" x14ac:dyDescent="0.1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</row>
    <row r="899" spans="1:19" ht="12.75" customHeight="1" x14ac:dyDescent="0.1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</row>
    <row r="900" spans="1:19" ht="12.75" customHeight="1" x14ac:dyDescent="0.1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</row>
    <row r="901" spans="1:19" ht="12.75" customHeight="1" x14ac:dyDescent="0.1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</row>
    <row r="902" spans="1:19" ht="12.75" customHeight="1" x14ac:dyDescent="0.1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</row>
    <row r="903" spans="1:19" ht="12.75" customHeight="1" x14ac:dyDescent="0.1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</row>
    <row r="904" spans="1:19" ht="12.75" customHeight="1" x14ac:dyDescent="0.1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</row>
    <row r="905" spans="1:19" ht="12.75" customHeight="1" x14ac:dyDescent="0.1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</row>
    <row r="906" spans="1:19" ht="12.75" customHeight="1" x14ac:dyDescent="0.1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</row>
    <row r="907" spans="1:19" ht="12.75" customHeight="1" x14ac:dyDescent="0.1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</row>
    <row r="908" spans="1:19" ht="12.75" customHeight="1" x14ac:dyDescent="0.1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</row>
    <row r="909" spans="1:19" ht="12.75" customHeight="1" x14ac:dyDescent="0.1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</row>
    <row r="910" spans="1:19" ht="12.75" customHeight="1" x14ac:dyDescent="0.1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</row>
    <row r="911" spans="1:19" ht="12.75" customHeight="1" x14ac:dyDescent="0.1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</row>
    <row r="912" spans="1:19" ht="12.75" customHeight="1" x14ac:dyDescent="0.1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</row>
    <row r="913" spans="1:19" ht="12.75" customHeight="1" x14ac:dyDescent="0.1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</row>
    <row r="914" spans="1:19" ht="12.75" customHeight="1" x14ac:dyDescent="0.1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</row>
    <row r="915" spans="1:19" ht="12.75" customHeight="1" x14ac:dyDescent="0.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</row>
    <row r="916" spans="1:19" ht="12.75" customHeight="1" x14ac:dyDescent="0.1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</row>
    <row r="917" spans="1:19" ht="12.75" customHeight="1" x14ac:dyDescent="0.1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</row>
    <row r="918" spans="1:19" ht="12.75" customHeight="1" x14ac:dyDescent="0.1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</row>
    <row r="919" spans="1:19" ht="12.75" customHeight="1" x14ac:dyDescent="0.1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</row>
    <row r="920" spans="1:19" ht="12.75" customHeight="1" x14ac:dyDescent="0.1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</row>
    <row r="921" spans="1:19" ht="12.75" customHeight="1" x14ac:dyDescent="0.1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</row>
    <row r="922" spans="1:19" ht="12.75" customHeight="1" x14ac:dyDescent="0.1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</row>
    <row r="923" spans="1:19" ht="12.75" customHeight="1" x14ac:dyDescent="0.1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</row>
    <row r="924" spans="1:19" ht="12.75" customHeight="1" x14ac:dyDescent="0.1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</row>
    <row r="925" spans="1:19" ht="12.75" customHeight="1" x14ac:dyDescent="0.1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</row>
    <row r="926" spans="1:19" ht="12.75" customHeight="1" x14ac:dyDescent="0.1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</row>
    <row r="927" spans="1:19" ht="12.75" customHeight="1" x14ac:dyDescent="0.1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</row>
    <row r="928" spans="1:19" ht="12.75" customHeight="1" x14ac:dyDescent="0.1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</row>
    <row r="929" spans="1:19" ht="12.75" customHeight="1" x14ac:dyDescent="0.1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</row>
    <row r="930" spans="1:19" ht="12.75" customHeight="1" x14ac:dyDescent="0.1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</row>
    <row r="931" spans="1:19" ht="12.75" customHeight="1" x14ac:dyDescent="0.1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</row>
    <row r="932" spans="1:19" ht="12.75" customHeight="1" x14ac:dyDescent="0.1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</row>
    <row r="933" spans="1:19" ht="12.75" customHeight="1" x14ac:dyDescent="0.1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</row>
    <row r="934" spans="1:19" ht="12.75" customHeight="1" x14ac:dyDescent="0.1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</row>
    <row r="935" spans="1:19" ht="12.75" customHeight="1" x14ac:dyDescent="0.1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</row>
    <row r="936" spans="1:19" ht="12.75" customHeight="1" x14ac:dyDescent="0.1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</row>
    <row r="937" spans="1:19" ht="12.75" customHeight="1" x14ac:dyDescent="0.1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</row>
    <row r="938" spans="1:19" ht="12.75" customHeight="1" x14ac:dyDescent="0.1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</row>
    <row r="939" spans="1:19" ht="12.75" customHeight="1" x14ac:dyDescent="0.1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</row>
    <row r="940" spans="1:19" ht="12.75" customHeight="1" x14ac:dyDescent="0.1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</row>
    <row r="941" spans="1:19" ht="12.75" customHeight="1" x14ac:dyDescent="0.1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</row>
    <row r="942" spans="1:19" ht="12.75" customHeight="1" x14ac:dyDescent="0.1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</row>
    <row r="943" spans="1:19" ht="12.75" customHeight="1" x14ac:dyDescent="0.1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</row>
    <row r="944" spans="1:19" ht="12.75" customHeight="1" x14ac:dyDescent="0.1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</row>
    <row r="945" spans="1:19" ht="12.75" customHeight="1" x14ac:dyDescent="0.1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</row>
    <row r="946" spans="1:19" ht="12.75" customHeight="1" x14ac:dyDescent="0.1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</row>
    <row r="947" spans="1:19" ht="12.75" customHeight="1" x14ac:dyDescent="0.1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</row>
    <row r="948" spans="1:19" ht="12.75" customHeight="1" x14ac:dyDescent="0.1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</row>
    <row r="949" spans="1:19" ht="12.75" customHeight="1" x14ac:dyDescent="0.1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</row>
    <row r="950" spans="1:19" ht="12.75" customHeight="1" x14ac:dyDescent="0.1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</row>
    <row r="951" spans="1:19" ht="12.75" customHeight="1" x14ac:dyDescent="0.1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</row>
    <row r="952" spans="1:19" ht="12.75" customHeight="1" x14ac:dyDescent="0.1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</row>
    <row r="953" spans="1:19" ht="12.75" customHeight="1" x14ac:dyDescent="0.1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</row>
    <row r="954" spans="1:19" ht="12.75" customHeight="1" x14ac:dyDescent="0.1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</row>
    <row r="955" spans="1:19" ht="12.75" customHeight="1" x14ac:dyDescent="0.1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</row>
    <row r="956" spans="1:19" ht="12.75" customHeight="1" x14ac:dyDescent="0.1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</row>
    <row r="957" spans="1:19" ht="12.75" customHeight="1" x14ac:dyDescent="0.1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</row>
    <row r="958" spans="1:19" ht="12.75" customHeight="1" x14ac:dyDescent="0.1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</row>
    <row r="959" spans="1:19" ht="12.75" customHeight="1" x14ac:dyDescent="0.1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</row>
    <row r="960" spans="1:19" ht="12.75" customHeight="1" x14ac:dyDescent="0.1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</row>
    <row r="961" spans="1:19" ht="12.75" customHeight="1" x14ac:dyDescent="0.1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</row>
    <row r="962" spans="1:19" ht="12.75" customHeight="1" x14ac:dyDescent="0.1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</row>
    <row r="963" spans="1:19" ht="12.75" customHeight="1" x14ac:dyDescent="0.1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</row>
    <row r="964" spans="1:19" ht="12.75" customHeight="1" x14ac:dyDescent="0.1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</row>
    <row r="965" spans="1:19" ht="12.75" customHeight="1" x14ac:dyDescent="0.1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</row>
    <row r="966" spans="1:19" ht="12.75" customHeight="1" x14ac:dyDescent="0.1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</row>
    <row r="967" spans="1:19" ht="12.75" customHeight="1" x14ac:dyDescent="0.1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</row>
    <row r="968" spans="1:19" ht="12.75" customHeight="1" x14ac:dyDescent="0.1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</row>
    <row r="969" spans="1:19" ht="12.75" customHeight="1" x14ac:dyDescent="0.1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</row>
    <row r="970" spans="1:19" ht="12.75" customHeight="1" x14ac:dyDescent="0.1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</row>
    <row r="971" spans="1:19" ht="12.75" customHeight="1" x14ac:dyDescent="0.1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</row>
    <row r="972" spans="1:19" ht="12.75" customHeight="1" x14ac:dyDescent="0.1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</row>
    <row r="973" spans="1:19" ht="12.75" customHeight="1" x14ac:dyDescent="0.1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</row>
    <row r="974" spans="1:19" ht="12.75" customHeight="1" x14ac:dyDescent="0.1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</row>
    <row r="975" spans="1:19" ht="12.75" customHeight="1" x14ac:dyDescent="0.1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</row>
    <row r="976" spans="1:19" ht="12.75" customHeight="1" x14ac:dyDescent="0.1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</row>
    <row r="977" spans="1:19" ht="12.75" customHeight="1" x14ac:dyDescent="0.1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</row>
    <row r="978" spans="1:19" ht="12.75" customHeight="1" x14ac:dyDescent="0.1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</row>
    <row r="979" spans="1:19" ht="12.75" customHeight="1" x14ac:dyDescent="0.1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</row>
    <row r="980" spans="1:19" ht="12.75" customHeight="1" x14ac:dyDescent="0.1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</row>
    <row r="981" spans="1:19" ht="12.75" customHeight="1" x14ac:dyDescent="0.1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</row>
    <row r="982" spans="1:19" ht="12.75" customHeight="1" x14ac:dyDescent="0.1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</row>
    <row r="983" spans="1:19" ht="12.75" customHeight="1" x14ac:dyDescent="0.1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</row>
    <row r="984" spans="1:19" ht="12.75" customHeight="1" x14ac:dyDescent="0.1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</row>
    <row r="985" spans="1:19" ht="12.75" customHeight="1" x14ac:dyDescent="0.1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</row>
    <row r="986" spans="1:19" ht="12.75" customHeight="1" x14ac:dyDescent="0.1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</row>
    <row r="987" spans="1:19" ht="12.75" customHeight="1" x14ac:dyDescent="0.1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</row>
    <row r="988" spans="1:19" ht="12.75" customHeight="1" x14ac:dyDescent="0.1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</row>
    <row r="989" spans="1:19" ht="12.75" customHeight="1" x14ac:dyDescent="0.1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</row>
    <row r="990" spans="1:19" ht="12.75" customHeight="1" x14ac:dyDescent="0.1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</row>
    <row r="991" spans="1:19" ht="12.75" customHeight="1" x14ac:dyDescent="0.1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</row>
    <row r="992" spans="1:19" ht="12.75" customHeight="1" x14ac:dyDescent="0.1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</row>
    <row r="993" spans="1:19" ht="12.75" customHeight="1" x14ac:dyDescent="0.1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</row>
    <row r="994" spans="1:19" ht="12.75" customHeight="1" x14ac:dyDescent="0.1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</row>
    <row r="995" spans="1:19" ht="12.75" customHeight="1" x14ac:dyDescent="0.1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</row>
    <row r="996" spans="1:19" ht="12.75" customHeight="1" x14ac:dyDescent="0.1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</row>
    <row r="997" spans="1:19" ht="12.75" customHeight="1" x14ac:dyDescent="0.1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</row>
    <row r="998" spans="1:19" ht="12.75" customHeight="1" x14ac:dyDescent="0.1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</row>
  </sheetData>
  <mergeCells count="2">
    <mergeCell ref="D2:E2"/>
    <mergeCell ref="D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VPLData</vt:lpstr>
      <vt:lpstr>legend-VPL</vt:lpstr>
      <vt:lpstr>VPLData(raw)</vt:lpstr>
      <vt:lpstr>provinha1a-cond-part1</vt:lpstr>
      <vt:lpstr>provinha1b-cond-part1</vt:lpstr>
      <vt:lpstr>provinha1a-cond-part2</vt:lpstr>
      <vt:lpstr>provinha1b-cond-part2</vt:lpstr>
      <vt:lpstr>provinha2a-loops</vt:lpstr>
      <vt:lpstr>provinha2b-loops</vt:lpstr>
      <vt:lpstr>provinha3a-recurs</vt:lpstr>
      <vt:lpstr>provinha3c-recurs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2017-10-15T20:19:56Z</dcterms:modified>
</cp:coreProperties>
</file>