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Resumo" sheetId="1" state="visible" r:id="rId2"/>
    <sheet name="Provinha3c" sheetId="2" state="visible" r:id="rId3"/>
    <sheet name="Provinha3a" sheetId="3" state="visible" r:id="rId4"/>
    <sheet name="Provinha2b" sheetId="4" state="visible" r:id="rId5"/>
    <sheet name="Provinha2a" sheetId="5" state="visible" r:id="rId6"/>
    <sheet name="Provinha1b-Parte1" sheetId="6" state="visible" r:id="rId7"/>
    <sheet name="Provinha1b-Parte2" sheetId="7" state="visible" r:id="rId8"/>
    <sheet name="Provinha1a-Parte1" sheetId="8" state="visible" r:id="rId9"/>
    <sheet name="Provinha1a-Parte2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<sst xmlns="http://schemas.openxmlformats.org/spreadsheetml/2006/main" count="180" uniqueCount="34">
  <si>
    <t xml:space="preserve">Número USP</t>
  </si>
  <si>
    <t xml:space="preserve">Média (pv)</t>
  </si>
  <si>
    <t xml:space="preserve">Nota 3</t>
  </si>
  <si>
    <t xml:space="preserve">Provinha 3c</t>
  </si>
  <si>
    <t xml:space="preserve">Provinha 3a</t>
  </si>
  <si>
    <t xml:space="preserve">Nota 2</t>
  </si>
  <si>
    <t xml:space="preserve">Provinha 2b</t>
  </si>
  <si>
    <t xml:space="preserve">Provinha 2a</t>
  </si>
  <si>
    <t xml:space="preserve">Nota 1</t>
  </si>
  <si>
    <t xml:space="preserve">Provinha 1b</t>
  </si>
  <si>
    <t xml:space="preserve">Provinha 1a</t>
  </si>
  <si>
    <t xml:space="preserve">NUSP</t>
  </si>
  <si>
    <t xml:space="preserve">mark</t>
  </si>
  <si>
    <t xml:space="preserve">score</t>
  </si>
  <si>
    <t xml:space="preserve">max</t>
  </si>
  <si>
    <t xml:space="preserve">analyse-relational-1</t>
  </si>
  <si>
    <t xml:space="preserve">analyse-relational-2</t>
  </si>
  <si>
    <t xml:space="preserve">apply-relational</t>
  </si>
  <si>
    <t xml:space="preserve">apply-unistructural</t>
  </si>
  <si>
    <t xml:space="preserve">evaluate-multistructural</t>
  </si>
  <si>
    <t xml:space="preserve">remember-multistructural</t>
  </si>
  <si>
    <t xml:space="preserve">understand-multistructural</t>
  </si>
  <si>
    <t xml:space="preserve">mean</t>
  </si>
  <si>
    <t xml:space="preserve">ABS</t>
  </si>
  <si>
    <t xml:space="preserve">erratum</t>
  </si>
  <si>
    <t xml:space="preserve">old score</t>
  </si>
  <si>
    <t xml:space="preserve">apply-multistructural-1</t>
  </si>
  <si>
    <t xml:space="preserve">apply-multistructural-2</t>
  </si>
  <si>
    <t xml:space="preserve">remember-unistructural</t>
  </si>
  <si>
    <t xml:space="preserve">understand-relational</t>
  </si>
  <si>
    <t xml:space="preserve">apply-multistructural</t>
  </si>
  <si>
    <t xml:space="preserve">evaluate-unistructural</t>
  </si>
  <si>
    <t xml:space="preserve">understand-unistructural</t>
  </si>
  <si>
    <t xml:space="preserve">analyse-relational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</si>
</sst>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0%"/>
    <numFmt numFmtId="167" formatCode="0"/>
    <numFmt numFmtId="168" formatCode="#,##0.0"/>
    <numFmt numFmtId="169" formatCode="#,##0.##"/>
    <numFmt numFmtId="170" formatCode="#,###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DDC4"/>
        <bgColor rgb="FFF4C7C3"/>
      </patternFill>
    </fill>
    <fill>
      <patternFill patternType="solid">
        <fgColor rgb="FFB3B3B3"/>
        <bgColor rgb="FF969696"/>
      </patternFill>
    </fill>
    <fill>
      <patternFill patternType="solid">
        <fgColor rgb="FFFFFF99"/>
        <bgColor rgb="FFFFDDC4"/>
      </patternFill>
    </fill>
    <fill>
      <patternFill patternType="solid">
        <fgColor rgb="FFFFBABA"/>
        <bgColor rgb="FFF4C7C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4C7C3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DDC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BABA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AD998" headerRowCount="0" totalsRowCount="0" totalsRowShown="0">
  <tableColumns count="3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11.43"/>
    <col collapsed="false" customWidth="true" hidden="false" outlineLevel="0" max="11" min="6" style="0" width="12.29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5.75" hidden="false" customHeight="false" outlineLevel="0" collapsed="false">
      <c r="A2" s="6" t="n">
        <v>698531</v>
      </c>
      <c r="B2" s="7" t="n">
        <f aca="false">(C2+F2+I2)/3</f>
        <v>9.27666666666667</v>
      </c>
      <c r="C2" s="7" t="n">
        <f aca="false">MAX(D2,E2)</f>
        <v>8</v>
      </c>
      <c r="D2" s="7" t="str">
        <f aca="false">IFERROR(__xludf.dummyfunction("FILTER(Provinha3c!C:C,Provinha3c!A:A=A2)"),"")</f>
        <v/>
      </c>
      <c r="E2" s="7" t="n">
        <f aca="false">IFERROR(__xludf.dummyfunction("FILTER(Provinha3a!C:C,Provinha3a!A:A=A2)"),8)</f>
        <v>8</v>
      </c>
      <c r="F2" s="7" t="n">
        <f aca="false">MAX(G2,H2)</f>
        <v>9.83</v>
      </c>
      <c r="G2" s="7" t="str">
        <f aca="false">IFERROR(__xludf.dummyfunction("FILTER(Provinha2b!C:C,Provinha2b!A:A=A2)"),"")</f>
        <v/>
      </c>
      <c r="H2" s="7" t="n">
        <f aca="false">IFERROR(__xludf.dummyfunction("FILTER(Provinha2a!C:C,Provinha2a!A:A=A2)"),9.83)</f>
        <v>9.83</v>
      </c>
      <c r="I2" s="7" t="n">
        <f aca="false">MAX(J2,K2)</f>
        <v>10</v>
      </c>
      <c r="J2" s="7" t="n">
        <f aca="false">IFERROR(__xludf.dummyfunction("FILTER('Provinha1b-Parte1'!C:C,'Provinha1b-Parte1'!A:A=A2)+FILTER('Provinha1b-Parte2'!C:C,'Provinha1b-Parte2'!A:A=A2)"),10)</f>
        <v>10</v>
      </c>
      <c r="K2" s="7" t="n">
        <f aca="false">IFERROR(__xludf.dummyfunction("FILTER('Provinha1a-Parte1'!C:C,'Provinha1a-Parte1'!A:A=A2)+FILTER('Provinha1a-Parte2'!C:C,'Provinha1a-Parte2'!A:A=A2)"),5.86)</f>
        <v>5.86</v>
      </c>
    </row>
    <row r="3" customFormat="false" ht="15.75" hidden="false" customHeight="false" outlineLevel="0" collapsed="false">
      <c r="A3" s="6" t="n">
        <v>8656201</v>
      </c>
      <c r="B3" s="7" t="n">
        <f aca="false">(C3+F3+I3)/3</f>
        <v>5.74333333333333</v>
      </c>
      <c r="C3" s="7" t="n">
        <f aca="false">MAX(D3,E3)</f>
        <v>3.61</v>
      </c>
      <c r="D3" s="7" t="n">
        <f aca="false">IFERROR(__xludf.dummyfunction("FILTER(Provinha3c!C:C,Provinha3c!A:A=A3)"),3.61)</f>
        <v>3.61</v>
      </c>
      <c r="E3" s="7" t="n">
        <f aca="false">IFERROR(__xludf.dummyfunction("FILTER(Provinha3a!C:C,Provinha3a!A:A=A3)"),3.29)</f>
        <v>3.29</v>
      </c>
      <c r="F3" s="7" t="n">
        <f aca="false">MAX(G3,H3)</f>
        <v>6.12</v>
      </c>
      <c r="G3" s="7" t="n">
        <f aca="false">IFERROR(__xludf.dummyfunction("FILTER(Provinha2b!C:C,Provinha2b!A:A=A3)"),5.81)</f>
        <v>5.81</v>
      </c>
      <c r="H3" s="7" t="n">
        <f aca="false">IFERROR(__xludf.dummyfunction("FILTER(Provinha2a!C:C,Provinha2a!A:A=A3)"),6.12)</f>
        <v>6.12</v>
      </c>
      <c r="I3" s="7" t="n">
        <f aca="false">MAX(J3,K3)</f>
        <v>7.5</v>
      </c>
      <c r="J3" s="7" t="n">
        <f aca="false">IFERROR(__xludf.dummyfunction("FILTER('Provinha1b-Parte1'!C:C,'Provinha1b-Parte1'!A:A=A3)+FILTER('Provinha1b-Parte2'!C:C,'Provinha1b-Parte2'!A:A=A3)"),7.5)</f>
        <v>7.5</v>
      </c>
      <c r="K3" s="7" t="n">
        <f aca="false">IFERROR(__xludf.dummyfunction("FILTER('Provinha1a-Parte1'!C:C,'Provinha1a-Parte1'!A:A=A3)+FILTER('Provinha1a-Parte2'!C:C,'Provinha1a-Parte2'!A:A=A3)"),2.14)</f>
        <v>2.14</v>
      </c>
    </row>
    <row r="4" customFormat="false" ht="15.75" hidden="false" customHeight="false" outlineLevel="0" collapsed="false">
      <c r="A4" s="6" t="n">
        <v>9065750</v>
      </c>
      <c r="B4" s="7" t="n">
        <f aca="false">(C4+F4+I4)/3</f>
        <v>7.92</v>
      </c>
      <c r="C4" s="7" t="n">
        <f aca="false">MAX(D4,E4)</f>
        <v>7.15</v>
      </c>
      <c r="D4" s="7" t="str">
        <f aca="false">IFERROR(__xludf.dummyfunction("FILTER(Provinha3c!C:C,Provinha3c!A:A=A4)"),"")</f>
        <v/>
      </c>
      <c r="E4" s="7" t="n">
        <f aca="false">IFERROR(__xludf.dummyfunction("FILTER(Provinha3a!C:C,Provinha3a!A:A=A4)"),7.15)</f>
        <v>7.15</v>
      </c>
      <c r="F4" s="7" t="n">
        <f aca="false">MAX(G4,H4)</f>
        <v>7.42</v>
      </c>
      <c r="G4" s="7" t="n">
        <f aca="false">IFERROR(__xludf.dummyfunction("FILTER(Provinha2b!C:C,Provinha2b!A:A=A4)"),7.42)</f>
        <v>7.42</v>
      </c>
      <c r="H4" s="7" t="n">
        <f aca="false">IFERROR(__xludf.dummyfunction("FILTER(Provinha2a!C:C,Provinha2a!A:A=A4)"),6.68)</f>
        <v>6.68</v>
      </c>
      <c r="I4" s="7" t="n">
        <f aca="false">MAX(J4,K4)</f>
        <v>9.19</v>
      </c>
      <c r="J4" s="7" t="n">
        <f aca="false">IFERROR(__xludf.dummyfunction("FILTER('Provinha1b-Parte1'!C:C,'Provinha1b-Parte1'!A:A=A4)+FILTER('Provinha1b-Parte2'!C:C,'Provinha1b-Parte2'!A:A=A4)"),9.17)</f>
        <v>9.17</v>
      </c>
      <c r="K4" s="7" t="n">
        <f aca="false">IFERROR(__xludf.dummyfunction("FILTER('Provinha1a-Parte1'!C:C,'Provinha1a-Parte1'!A:A=A4)+FILTER('Provinha1a-Parte2'!C:C,'Provinha1a-Parte2'!A:A=A4)"),9.19)</f>
        <v>9.19</v>
      </c>
    </row>
    <row r="5" customFormat="false" ht="15.75" hidden="false" customHeight="false" outlineLevel="0" collapsed="false">
      <c r="A5" s="6" t="n">
        <v>9082496</v>
      </c>
      <c r="B5" s="7" t="n">
        <f aca="false">(C5+F5+I5)/3</f>
        <v>3.45333333333333</v>
      </c>
      <c r="C5" s="7" t="n">
        <f aca="false">MAX(D5,E5)</f>
        <v>2.31</v>
      </c>
      <c r="D5" s="7" t="n">
        <f aca="false">IFERROR(__xludf.dummyfunction("FILTER(Provinha3c!C:C,Provinha3c!A:A=A5)"),2.31)</f>
        <v>2.31</v>
      </c>
      <c r="E5" s="7" t="n">
        <f aca="false">IFERROR(__xludf.dummyfunction("FILTER(Provinha3a!C:C,Provinha3a!A:A=A5)"),1.99)</f>
        <v>1.99</v>
      </c>
      <c r="F5" s="7" t="n">
        <f aca="false">MAX(G5,H5)</f>
        <v>2.85</v>
      </c>
      <c r="G5" s="7" t="n">
        <f aca="false">IFERROR(__xludf.dummyfunction("FILTER(Provinha2b!C:C,Provinha2b!A:A=A5)"),2.85)</f>
        <v>2.85</v>
      </c>
      <c r="H5" s="7" t="n">
        <f aca="false">IFERROR(__xludf.dummyfunction("FILTER(Provinha2a!C:C,Provinha2a!A:A=A5)"),2.47)</f>
        <v>2.47</v>
      </c>
      <c r="I5" s="7" t="n">
        <f aca="false">MAX(J5,K5)</f>
        <v>5.2</v>
      </c>
      <c r="J5" s="7" t="n">
        <f aca="false">IFERROR(__xludf.dummyfunction("FILTER('Provinha1b-Parte1'!C:C,'Provinha1b-Parte1'!A:A=A5)+FILTER('Provinha1b-Parte2'!C:C,'Provinha1b-Parte2'!A:A=A5)"),5.2)</f>
        <v>5.2</v>
      </c>
      <c r="K5" s="7" t="n">
        <f aca="false">IFERROR(__xludf.dummyfunction("FILTER('Provinha1a-Parte1'!C:C,'Provinha1a-Parte1'!A:A=A5)+FILTER('Provinha1a-Parte2'!C:C,'Provinha1a-Parte2'!A:A=A5)"),4.72)</f>
        <v>4.72</v>
      </c>
    </row>
    <row r="6" customFormat="false" ht="15.75" hidden="false" customHeight="false" outlineLevel="0" collapsed="false">
      <c r="A6" s="6" t="n">
        <v>9274382</v>
      </c>
      <c r="B6" s="7" t="n">
        <f aca="false">(C6+F6+I6)/3</f>
        <v>7.17666666666667</v>
      </c>
      <c r="C6" s="7" t="n">
        <f aca="false">MAX(D6,E6)</f>
        <v>6.6</v>
      </c>
      <c r="D6" s="7" t="n">
        <f aca="false">IFERROR(__xludf.dummyfunction("FILTER(Provinha3c!C:C,Provinha3c!A:A=A6)"),2.5)</f>
        <v>2.5</v>
      </c>
      <c r="E6" s="7" t="n">
        <f aca="false">IFERROR(__xludf.dummyfunction("FILTER(Provinha3a!C:C,Provinha3a!A:A=A6)"),6.6)</f>
        <v>6.6</v>
      </c>
      <c r="F6" s="7" t="n">
        <f aca="false">MAX(G6,H6)</f>
        <v>7.1</v>
      </c>
      <c r="G6" s="7" t="n">
        <f aca="false">IFERROR(__xludf.dummyfunction("FILTER(Provinha2b!C:C,Provinha2b!A:A=A6)"),7.1)</f>
        <v>7.1</v>
      </c>
      <c r="H6" s="7" t="n">
        <f aca="false">IFERROR(__xludf.dummyfunction("FILTER(Provinha2a!C:C,Provinha2a!A:A=A6)"),1.89)</f>
        <v>1.89</v>
      </c>
      <c r="I6" s="7" t="n">
        <f aca="false">MAX(J6,K6)</f>
        <v>7.83</v>
      </c>
      <c r="J6" s="7" t="n">
        <f aca="false">IFERROR(__xludf.dummyfunction("FILTER('Provinha1b-Parte1'!C:C,'Provinha1b-Parte1'!A:A=A6)+FILTER('Provinha1b-Parte2'!C:C,'Provinha1b-Parte2'!A:A=A6)"),7.83)</f>
        <v>7.83</v>
      </c>
      <c r="K6" s="7" t="n">
        <f aca="false">IFERROR(__xludf.dummyfunction("FILTER('Provinha1a-Parte1'!C:C,'Provinha1a-Parte1'!A:A=A6)+FILTER('Provinha1a-Parte2'!C:C,'Provinha1a-Parte2'!A:A=A6)"),5.25)</f>
        <v>5.25</v>
      </c>
    </row>
    <row r="7" customFormat="false" ht="15.75" hidden="false" customHeight="false" outlineLevel="0" collapsed="false">
      <c r="A7" s="6" t="n">
        <v>9285227</v>
      </c>
      <c r="B7" s="7" t="n">
        <f aca="false">(C7+F7+I7)/3</f>
        <v>8.68666666666667</v>
      </c>
      <c r="C7" s="7" t="n">
        <f aca="false">MAX(D7,E7)</f>
        <v>7.11</v>
      </c>
      <c r="D7" s="7" t="n">
        <f aca="false">IFERROR(__xludf.dummyfunction("FILTER(Provinha3c!C:C,Provinha3c!A:A=A7)"),5.5)</f>
        <v>5.5</v>
      </c>
      <c r="E7" s="7" t="n">
        <f aca="false">IFERROR(__xludf.dummyfunction("FILTER(Provinha3a!C:C,Provinha3a!A:A=A7)"),7.11)</f>
        <v>7.11</v>
      </c>
      <c r="F7" s="7" t="n">
        <f aca="false">MAX(G7,H7)</f>
        <v>9.42</v>
      </c>
      <c r="G7" s="7" t="n">
        <f aca="false">IFERROR(__xludf.dummyfunction("FILTER(Provinha2b!C:C,Provinha2b!A:A=A7)"),9.42)</f>
        <v>9.42</v>
      </c>
      <c r="H7" s="7" t="n">
        <f aca="false">IFERROR(__xludf.dummyfunction("FILTER(Provinha2a!C:C,Provinha2a!A:A=A7)"),4.65)</f>
        <v>4.65</v>
      </c>
      <c r="I7" s="7" t="n">
        <f aca="false">MAX(J7,K7)</f>
        <v>9.53</v>
      </c>
      <c r="J7" s="7" t="n">
        <f aca="false">IFERROR(__xludf.dummyfunction("FILTER('Provinha1b-Parte1'!C:C,'Provinha1b-Parte1'!A:A=A7)+FILTER('Provinha1b-Parte2'!C:C,'Provinha1b-Parte2'!A:A=A7)"),9.53)</f>
        <v>9.53</v>
      </c>
      <c r="K7" s="7" t="n">
        <f aca="false">IFERROR(__xludf.dummyfunction("FILTER('Provinha1a-Parte1'!C:C,'Provinha1a-Parte1'!A:A=A7)+FILTER('Provinha1a-Parte2'!C:C,'Provinha1a-Parte2'!A:A=A7)"),7.58)</f>
        <v>7.58</v>
      </c>
    </row>
    <row r="8" customFormat="false" ht="15.75" hidden="false" customHeight="false" outlineLevel="0" collapsed="false">
      <c r="A8" s="6" t="n">
        <v>9292462</v>
      </c>
      <c r="B8" s="7" t="n">
        <f aca="false">(C8+F8+I8)/3</f>
        <v>1.34666666666667</v>
      </c>
      <c r="C8" s="7" t="n">
        <f aca="false">MAX(D8,E8)</f>
        <v>0</v>
      </c>
      <c r="D8" s="7" t="str">
        <f aca="false">IFERROR(__xludf.dummyfunction("FILTER(Provinha3c!C:C,Provinha3c!A:A=A8)"),"")</f>
        <v/>
      </c>
      <c r="E8" s="7" t="str">
        <f aca="false">IFERROR(__xludf.dummyfunction("FILTER(Provinha3a!C:C,Provinha3a!A:A=A8)"),"")</f>
        <v/>
      </c>
      <c r="F8" s="7" t="n">
        <f aca="false">MAX(G8,H8)</f>
        <v>0</v>
      </c>
      <c r="G8" s="7" t="str">
        <f aca="false">IFERROR(__xludf.dummyfunction("FILTER(Provinha2b!C:C,Provinha2b!A:A=A8)"),"")</f>
        <v/>
      </c>
      <c r="H8" s="7" t="str">
        <f aca="false">IFERROR(__xludf.dummyfunction("FILTER(Provinha2a!C:C,Provinha2a!A:A=A8)"),"")</f>
        <v/>
      </c>
      <c r="I8" s="7" t="n">
        <f aca="false">MAX(J8,K8)</f>
        <v>4.04</v>
      </c>
      <c r="J8" s="7" t="n">
        <f aca="false">IFERROR(__xludf.dummyfunction("FILTER('Provinha1b-Parte1'!C:C,'Provinha1b-Parte1'!A:A=A8)+FILTER('Provinha1b-Parte2'!C:C,'Provinha1b-Parte2'!A:A=A8)"),0)</f>
        <v>0</v>
      </c>
      <c r="K8" s="7" t="n">
        <f aca="false">IFERROR(__xludf.dummyfunction("FILTER('Provinha1a-Parte1'!C:C,'Provinha1a-Parte1'!A:A=A8)+FILTER('Provinha1a-Parte2'!C:C,'Provinha1a-Parte2'!A:A=A8)"),4.04)</f>
        <v>4.04</v>
      </c>
    </row>
    <row r="9" customFormat="false" ht="15.75" hidden="false" customHeight="false" outlineLevel="0" collapsed="false">
      <c r="A9" s="6" t="n">
        <v>9311643</v>
      </c>
      <c r="B9" s="7" t="n">
        <f aca="false">(C9+F9+I9)/3</f>
        <v>8.27666666666667</v>
      </c>
      <c r="C9" s="7" t="n">
        <f aca="false">MAX(D9,E9)</f>
        <v>6.48</v>
      </c>
      <c r="D9" s="7" t="str">
        <f aca="false">IFERROR(__xludf.dummyfunction("FILTER(Provinha3c!C:C,Provinha3c!A:A=A9)"),"")</f>
        <v/>
      </c>
      <c r="E9" s="7" t="n">
        <f aca="false">IFERROR(__xludf.dummyfunction("FILTER(Provinha3a!C:C,Provinha3a!A:A=A9)"),6.48)</f>
        <v>6.48</v>
      </c>
      <c r="F9" s="7" t="n">
        <f aca="false">MAX(G9,H9)</f>
        <v>8.5</v>
      </c>
      <c r="G9" s="7" t="str">
        <f aca="false">IFERROR(__xludf.dummyfunction("FILTER(Provinha2b!C:C,Provinha2b!A:A=A9)"),"")</f>
        <v/>
      </c>
      <c r="H9" s="7" t="n">
        <f aca="false">IFERROR(__xludf.dummyfunction("FILTER(Provinha2a!C:C,Provinha2a!A:A=A9)"),8.5)</f>
        <v>8.5</v>
      </c>
      <c r="I9" s="7" t="n">
        <f aca="false">MAX(J9,K9)</f>
        <v>9.85</v>
      </c>
      <c r="J9" s="7" t="n">
        <f aca="false">IFERROR(__xludf.dummyfunction("FILTER('Provinha1b-Parte1'!C:C,'Provinha1b-Parte1'!A:A=A9)+FILTER('Provinha1b-Parte2'!C:C,'Provinha1b-Parte2'!A:A=A9)"),0)</f>
        <v>0</v>
      </c>
      <c r="K9" s="7" t="n">
        <f aca="false">IFERROR(__xludf.dummyfunction("FILTER('Provinha1a-Parte1'!C:C,'Provinha1a-Parte1'!A:A=A9)+FILTER('Provinha1a-Parte2'!C:C,'Provinha1a-Parte2'!A:A=A9)"),9.85)</f>
        <v>9.85</v>
      </c>
    </row>
    <row r="10" customFormat="false" ht="15.75" hidden="false" customHeight="false" outlineLevel="0" collapsed="false">
      <c r="A10" s="6" t="n">
        <v>9363926</v>
      </c>
      <c r="B10" s="7" t="n">
        <f aca="false">(C10+F10+I10)/3</f>
        <v>6.11</v>
      </c>
      <c r="C10" s="7" t="n">
        <f aca="false">MAX(D10,E10)</f>
        <v>3.75</v>
      </c>
      <c r="D10" s="7" t="n">
        <f aca="false">IFERROR(__xludf.dummyfunction("FILTER(Provinha3c!C:C,Provinha3c!A:A=A10)"),3.75)</f>
        <v>3.75</v>
      </c>
      <c r="E10" s="7" t="n">
        <f aca="false">IFERROR(__xludf.dummyfunction("FILTER(Provinha3a!C:C,Provinha3a!A:A=A10)"),1.05)</f>
        <v>1.05</v>
      </c>
      <c r="F10" s="7" t="n">
        <f aca="false">MAX(G10,H10)</f>
        <v>5.93</v>
      </c>
      <c r="G10" s="7" t="n">
        <f aca="false">IFERROR(__xludf.dummyfunction("FILTER(Provinha2b!C:C,Provinha2b!A:A=A10)"),5.93)</f>
        <v>5.93</v>
      </c>
      <c r="H10" s="7" t="n">
        <f aca="false">IFERROR(__xludf.dummyfunction("FILTER(Provinha2a!C:C,Provinha2a!A:A=A10)"),2.34)</f>
        <v>2.34</v>
      </c>
      <c r="I10" s="7" t="n">
        <f aca="false">MAX(J10,K10)</f>
        <v>8.65</v>
      </c>
      <c r="J10" s="7" t="n">
        <f aca="false">IFERROR(__xludf.dummyfunction("FILTER('Provinha1b-Parte1'!C:C,'Provinha1b-Parte1'!A:A=A10)+FILTER('Provinha1b-Parte2'!C:C,'Provinha1b-Parte2'!A:A=A10)"),7.28)</f>
        <v>7.28</v>
      </c>
      <c r="K10" s="7" t="n">
        <f aca="false">IFERROR(__xludf.dummyfunction("FILTER('Provinha1a-Parte1'!C:C,'Provinha1a-Parte1'!A:A=A10)+FILTER('Provinha1a-Parte2'!C:C,'Provinha1a-Parte2'!A:A=A10)"),8.65)</f>
        <v>8.65</v>
      </c>
    </row>
    <row r="11" customFormat="false" ht="15.75" hidden="false" customHeight="false" outlineLevel="0" collapsed="false">
      <c r="A11" s="6" t="n">
        <v>9368772</v>
      </c>
      <c r="B11" s="7" t="n">
        <f aca="false">(C11+F11+I11)/3</f>
        <v>6.85</v>
      </c>
      <c r="C11" s="7" t="n">
        <f aca="false">MAX(D11,E11)</f>
        <v>4.36</v>
      </c>
      <c r="D11" s="7" t="str">
        <f aca="false">IFERROR(__xludf.dummyfunction("FILTER(Provinha3c!C:C,Provinha3c!A:A=A11)"),"")</f>
        <v/>
      </c>
      <c r="E11" s="7" t="n">
        <f aca="false">IFERROR(__xludf.dummyfunction("FILTER(Provinha3a!C:C,Provinha3a!A:A=A11)"),4.36)</f>
        <v>4.36</v>
      </c>
      <c r="F11" s="7" t="n">
        <f aca="false">MAX(G11,H11)</f>
        <v>7.25</v>
      </c>
      <c r="G11" s="7" t="n">
        <f aca="false">IFERROR(__xludf.dummyfunction("FILTER(Provinha2b!C:C,Provinha2b!A:A=A11)"),7.25)</f>
        <v>7.25</v>
      </c>
      <c r="H11" s="7" t="n">
        <f aca="false">IFERROR(__xludf.dummyfunction("FILTER(Provinha2a!C:C,Provinha2a!A:A=A11)"),5.6)</f>
        <v>5.6</v>
      </c>
      <c r="I11" s="7" t="n">
        <f aca="false">MAX(J11,K11)</f>
        <v>8.94</v>
      </c>
      <c r="J11" s="7" t="n">
        <f aca="false">IFERROR(__xludf.dummyfunction("FILTER('Provinha1b-Parte1'!C:C,'Provinha1b-Parte1'!A:A=A11)+FILTER('Provinha1b-Parte2'!C:C,'Provinha1b-Parte2'!A:A=A11)"),8.94)</f>
        <v>8.94</v>
      </c>
      <c r="K11" s="7" t="n">
        <f aca="false">IFERROR(__xludf.dummyfunction("FILTER('Provinha1a-Parte1'!C:C,'Provinha1a-Parte1'!A:A=A11)+FILTER('Provinha1a-Parte2'!C:C,'Provinha1a-Parte2'!A:A=A11)"),4.25)</f>
        <v>4.25</v>
      </c>
    </row>
    <row r="12" customFormat="false" ht="15.75" hidden="false" customHeight="false" outlineLevel="0" collapsed="false">
      <c r="A12" s="6" t="n">
        <v>9424506</v>
      </c>
      <c r="B12" s="7" t="n">
        <f aca="false">(C12+F12+I12)/3</f>
        <v>4.34</v>
      </c>
      <c r="C12" s="7" t="n">
        <f aca="false">MAX(D12,E12)</f>
        <v>0</v>
      </c>
      <c r="D12" s="7" t="str">
        <f aca="false">IFERROR(__xludf.dummyfunction("FILTER(Provinha3c!C:C,Provinha3c!A:A=A12)"),"")</f>
        <v/>
      </c>
      <c r="E12" s="7" t="str">
        <f aca="false">IFERROR(__xludf.dummyfunction("FILTER(Provinha3a!C:C,Provinha3a!A:A=A12)"),"")</f>
        <v/>
      </c>
      <c r="F12" s="7" t="n">
        <f aca="false">MAX(G12,H12)</f>
        <v>5.83</v>
      </c>
      <c r="G12" s="7" t="str">
        <f aca="false">IFERROR(__xludf.dummyfunction("FILTER(Provinha2b!C:C,Provinha2b!A:A=A12)"),"")</f>
        <v/>
      </c>
      <c r="H12" s="7" t="n">
        <f aca="false">IFERROR(__xludf.dummyfunction("FILTER(Provinha2a!C:C,Provinha2a!A:A=A12)"),5.83)</f>
        <v>5.83</v>
      </c>
      <c r="I12" s="7" t="n">
        <f aca="false">MAX(J12,K12)</f>
        <v>7.19</v>
      </c>
      <c r="J12" s="7" t="n">
        <f aca="false">IFERROR(__xludf.dummyfunction("FILTER('Provinha1b-Parte1'!C:C,'Provinha1b-Parte1'!A:A=A12)+FILTER('Provinha1b-Parte2'!C:C,'Provinha1b-Parte2'!A:A=A12)"),0)</f>
        <v>0</v>
      </c>
      <c r="K12" s="7" t="n">
        <f aca="false">IFERROR(__xludf.dummyfunction("FILTER('Provinha1a-Parte1'!C:C,'Provinha1a-Parte1'!A:A=A12)+FILTER('Provinha1a-Parte2'!C:C,'Provinha1a-Parte2'!A:A=A12)"),7.19)</f>
        <v>7.19</v>
      </c>
    </row>
    <row r="13" customFormat="false" ht="15.75" hidden="false" customHeight="false" outlineLevel="0" collapsed="false">
      <c r="A13" s="6" t="n">
        <v>9436110</v>
      </c>
      <c r="B13" s="7" t="n">
        <f aca="false">(C13+F13+I13)/3</f>
        <v>5.14</v>
      </c>
      <c r="C13" s="7" t="n">
        <f aca="false">MAX(D13,E13)</f>
        <v>4.29</v>
      </c>
      <c r="D13" s="7" t="n">
        <f aca="false">IFERROR(__xludf.dummyfunction("FILTER(Provinha3c!C:C,Provinha3c!A:A=A13)"),4.29)</f>
        <v>4.29</v>
      </c>
      <c r="E13" s="7" t="str">
        <f aca="false">IFERROR(__xludf.dummyfunction("FILTER(Provinha3a!C:C,Provinha3a!A:A=A13)"),"")</f>
        <v/>
      </c>
      <c r="F13" s="7" t="n">
        <f aca="false">MAX(G13,H13)</f>
        <v>3.46</v>
      </c>
      <c r="G13" s="7" t="n">
        <f aca="false">IFERROR(__xludf.dummyfunction("FILTER(Provinha2b!C:C,Provinha2b!A:A=A13)"),3.46)</f>
        <v>3.46</v>
      </c>
      <c r="H13" s="7" t="str">
        <f aca="false">IFERROR(__xludf.dummyfunction("FILTER(Provinha2a!C:C,Provinha2a!A:A=A13)"),"")</f>
        <v/>
      </c>
      <c r="I13" s="7" t="n">
        <f aca="false">MAX(J13,K13)</f>
        <v>7.67</v>
      </c>
      <c r="J13" s="7" t="n">
        <f aca="false">IFERROR(__xludf.dummyfunction("FILTER('Provinha1b-Parte1'!C:C,'Provinha1b-Parte1'!A:A=A13)+FILTER('Provinha1b-Parte2'!C:C,'Provinha1b-Parte2'!A:A=A13)"),7.67)</f>
        <v>7.67</v>
      </c>
      <c r="K13" s="7" t="n">
        <f aca="false">IFERROR(__xludf.dummyfunction("FILTER('Provinha1a-Parte1'!C:C,'Provinha1a-Parte1'!A:A=A13)+FILTER('Provinha1a-Parte2'!C:C,'Provinha1a-Parte2'!A:A=A13)"),6.47)</f>
        <v>6.47</v>
      </c>
    </row>
    <row r="14" customFormat="false" ht="15.75" hidden="false" customHeight="false" outlineLevel="0" collapsed="false">
      <c r="A14" s="6" t="n">
        <v>9755822</v>
      </c>
      <c r="B14" s="7" t="n">
        <f aca="false">(C14+F14+I14)/3</f>
        <v>2.74</v>
      </c>
      <c r="C14" s="7" t="n">
        <f aca="false">MAX(D14,E14)</f>
        <v>1.36</v>
      </c>
      <c r="D14" s="7" t="str">
        <f aca="false">IFERROR(__xludf.dummyfunction("FILTER(Provinha3c!C:C,Provinha3c!A:A=A14)"),"")</f>
        <v/>
      </c>
      <c r="E14" s="7" t="n">
        <f aca="false">IFERROR(__xludf.dummyfunction("FILTER(Provinha3a!C:C,Provinha3a!A:A=A14)"),1.36)</f>
        <v>1.36</v>
      </c>
      <c r="F14" s="7" t="n">
        <f aca="false">MAX(G14,H14)</f>
        <v>4.49</v>
      </c>
      <c r="G14" s="7" t="n">
        <f aca="false">IFERROR(__xludf.dummyfunction("FILTER(Provinha2b!C:C,Provinha2b!A:A=A14)"),4.49)</f>
        <v>4.49</v>
      </c>
      <c r="H14" s="7" t="n">
        <f aca="false">IFERROR(__xludf.dummyfunction("FILTER(Provinha2a!C:C,Provinha2a!A:A=A14)"),1)</f>
        <v>1</v>
      </c>
      <c r="I14" s="7" t="n">
        <f aca="false">MAX(J14,K14)</f>
        <v>2.37</v>
      </c>
      <c r="J14" s="7" t="n">
        <f aca="false">IFERROR(__xludf.dummyfunction("FILTER('Provinha1b-Parte1'!C:C,'Provinha1b-Parte1'!A:A=A14)+FILTER('Provinha1b-Parte2'!C:C,'Provinha1b-Parte2'!A:A=A14)"),0)</f>
        <v>0</v>
      </c>
      <c r="K14" s="7" t="n">
        <f aca="false">IFERROR(__xludf.dummyfunction("FILTER('Provinha1a-Parte1'!C:C,'Provinha1a-Parte1'!A:A=A14)+FILTER('Provinha1a-Parte2'!C:C,'Provinha1a-Parte2'!A:A=A14)"),2.37)</f>
        <v>2.37</v>
      </c>
    </row>
    <row r="15" customFormat="false" ht="15.75" hidden="false" customHeight="false" outlineLevel="0" collapsed="false">
      <c r="A15" s="6" t="n">
        <v>9760151</v>
      </c>
      <c r="B15" s="7" t="n">
        <f aca="false">(C15+F15+I15)/3</f>
        <v>6.97666666666667</v>
      </c>
      <c r="C15" s="7" t="n">
        <f aca="false">MAX(D15,E15)</f>
        <v>4.18</v>
      </c>
      <c r="D15" s="7" t="n">
        <f aca="false">IFERROR(__xludf.dummyfunction("FILTER(Provinha3c!C:C,Provinha3c!A:A=A15)"),4.18)</f>
        <v>4.18</v>
      </c>
      <c r="E15" s="7" t="n">
        <f aca="false">IFERROR(__xludf.dummyfunction("FILTER(Provinha3a!C:C,Provinha3a!A:A=A15)"),2.99)</f>
        <v>2.99</v>
      </c>
      <c r="F15" s="7" t="n">
        <f aca="false">MAX(G15,H15)</f>
        <v>8.69</v>
      </c>
      <c r="G15" s="7" t="n">
        <f aca="false">IFERROR(__xludf.dummyfunction("FILTER(Provinha2b!C:C,Provinha2b!A:A=A15)"),8.69)</f>
        <v>8.69</v>
      </c>
      <c r="H15" s="7" t="n">
        <f aca="false">IFERROR(__xludf.dummyfunction("FILTER(Provinha2a!C:C,Provinha2a!A:A=A15)"),3.79)</f>
        <v>3.79</v>
      </c>
      <c r="I15" s="7" t="n">
        <f aca="false">MAX(J15,K15)</f>
        <v>8.06</v>
      </c>
      <c r="J15" s="7" t="n">
        <f aca="false">IFERROR(__xludf.dummyfunction("FILTER('Provinha1b-Parte1'!C:C,'Provinha1b-Parte1'!A:A=A15)+FILTER('Provinha1b-Parte2'!C:C,'Provinha1b-Parte2'!A:A=A15)"),8.06)</f>
        <v>8.06</v>
      </c>
      <c r="K15" s="7" t="n">
        <f aca="false">IFERROR(__xludf.dummyfunction("FILTER('Provinha1a-Parte1'!C:C,'Provinha1a-Parte1'!A:A=A15)+FILTER('Provinha1a-Parte2'!C:C,'Provinha1a-Parte2'!A:A=A15)"),6.93)</f>
        <v>6.93</v>
      </c>
    </row>
    <row r="16" customFormat="false" ht="15.75" hidden="false" customHeight="false" outlineLevel="0" collapsed="false">
      <c r="A16" s="6" t="n">
        <v>9790781</v>
      </c>
      <c r="B16" s="7" t="n">
        <f aca="false">(C16+F16+I16)/3</f>
        <v>5.89666666666667</v>
      </c>
      <c r="C16" s="7" t="n">
        <f aca="false">MAX(D16,E16)</f>
        <v>4.07</v>
      </c>
      <c r="D16" s="7" t="n">
        <f aca="false">IFERROR(__xludf.dummyfunction("FILTER(Provinha3c!C:C,Provinha3c!A:A=A16)"),2.17)</f>
        <v>2.17</v>
      </c>
      <c r="E16" s="7" t="n">
        <f aca="false">IFERROR(__xludf.dummyfunction("FILTER(Provinha3a!C:C,Provinha3a!A:A=A16)"),4.07)</f>
        <v>4.07</v>
      </c>
      <c r="F16" s="7" t="n">
        <f aca="false">MAX(G16,H16)</f>
        <v>6.12</v>
      </c>
      <c r="G16" s="7" t="n">
        <f aca="false">IFERROR(__xludf.dummyfunction("FILTER(Provinha2b!C:C,Provinha2b!A:A=A16)"),5.77)</f>
        <v>5.77</v>
      </c>
      <c r="H16" s="7" t="n">
        <f aca="false">IFERROR(__xludf.dummyfunction("FILTER(Provinha2a!C:C,Provinha2a!A:A=A16)"),6.12)</f>
        <v>6.12</v>
      </c>
      <c r="I16" s="7" t="n">
        <f aca="false">MAX(J16,K16)</f>
        <v>7.5</v>
      </c>
      <c r="J16" s="7" t="n">
        <f aca="false">IFERROR(__xludf.dummyfunction("FILTER('Provinha1b-Parte1'!C:C,'Provinha1b-Parte1'!A:A=A16)+FILTER('Provinha1b-Parte2'!C:C,'Provinha1b-Parte2'!A:A=A16)"),7.5)</f>
        <v>7.5</v>
      </c>
      <c r="K16" s="7" t="n">
        <f aca="false">IFERROR(__xludf.dummyfunction("FILTER('Provinha1a-Parte1'!C:C,'Provinha1a-Parte1'!A:A=A16)+FILTER('Provinha1a-Parte2'!C:C,'Provinha1a-Parte2'!A:A=A16)"),6.03)</f>
        <v>6.03</v>
      </c>
    </row>
    <row r="17" customFormat="false" ht="15.75" hidden="false" customHeight="false" outlineLevel="0" collapsed="false">
      <c r="A17" s="6" t="n">
        <v>9795185</v>
      </c>
      <c r="B17" s="7" t="n">
        <f aca="false">(C17+F17+I17)/3</f>
        <v>8.44333333333333</v>
      </c>
      <c r="C17" s="7" t="n">
        <f aca="false">MAX(D17,E17)</f>
        <v>6.21</v>
      </c>
      <c r="D17" s="7" t="n">
        <f aca="false">IFERROR(__xludf.dummyfunction("FILTER(Provinha3c!C:C,Provinha3c!A:A=A17)"),6.21)</f>
        <v>6.21</v>
      </c>
      <c r="E17" s="7" t="n">
        <f aca="false">IFERROR(__xludf.dummyfunction("FILTER(Provinha3a!C:C,Provinha3a!A:A=A17)"),5.14)</f>
        <v>5.14</v>
      </c>
      <c r="F17" s="7" t="n">
        <f aca="false">MAX(G17,H17)</f>
        <v>9.54</v>
      </c>
      <c r="G17" s="7" t="str">
        <f aca="false">IFERROR(__xludf.dummyfunction("FILTER(Provinha2b!C:C,Provinha2b!A:A=A17)"),"")</f>
        <v/>
      </c>
      <c r="H17" s="7" t="n">
        <f aca="false">IFERROR(__xludf.dummyfunction("FILTER(Provinha2a!C:C,Provinha2a!A:A=A17)"),9.54)</f>
        <v>9.54</v>
      </c>
      <c r="I17" s="7" t="n">
        <f aca="false">MAX(J17,K17)</f>
        <v>9.58</v>
      </c>
      <c r="J17" s="7" t="n">
        <f aca="false">IFERROR(__xludf.dummyfunction("FILTER('Provinha1b-Parte1'!C:C,'Provinha1b-Parte1'!A:A=A17)+FILTER('Provinha1b-Parte2'!C:C,'Provinha1b-Parte2'!A:A=A17)"),9.58)</f>
        <v>9.58</v>
      </c>
      <c r="K17" s="7" t="n">
        <f aca="false">IFERROR(__xludf.dummyfunction("FILTER('Provinha1a-Parte1'!C:C,'Provinha1a-Parte1'!A:A=A17)+FILTER('Provinha1a-Parte2'!C:C,'Provinha1a-Parte2'!A:A=A17)"),7.5)</f>
        <v>7.5</v>
      </c>
    </row>
    <row r="18" customFormat="false" ht="15.75" hidden="false" customHeight="false" outlineLevel="0" collapsed="false">
      <c r="A18" s="6" t="n">
        <v>9795272</v>
      </c>
      <c r="B18" s="7" t="n">
        <f aca="false">(C18+F18+I18)/3</f>
        <v>5.44333333333333</v>
      </c>
      <c r="C18" s="7" t="n">
        <f aca="false">MAX(D18,E18)</f>
        <v>5.13</v>
      </c>
      <c r="D18" s="7" t="n">
        <f aca="false">IFERROR(__xludf.dummyfunction("FILTER(Provinha3c!C:C,Provinha3c!A:A=A18)"),5.13)</f>
        <v>5.13</v>
      </c>
      <c r="E18" s="7" t="n">
        <f aca="false">IFERROR(__xludf.dummyfunction("FILTER(Provinha3a!C:C,Provinha3a!A:A=A18)"),2.68)</f>
        <v>2.68</v>
      </c>
      <c r="F18" s="7" t="n">
        <f aca="false">MAX(G18,H18)</f>
        <v>2.74</v>
      </c>
      <c r="G18" s="7" t="n">
        <f aca="false">IFERROR(__xludf.dummyfunction("FILTER(Provinha2b!C:C,Provinha2b!A:A=A18)"),2.72)</f>
        <v>2.72</v>
      </c>
      <c r="H18" s="7" t="n">
        <f aca="false">IFERROR(__xludf.dummyfunction("FILTER(Provinha2a!C:C,Provinha2a!A:A=A18)"),2.74)</f>
        <v>2.74</v>
      </c>
      <c r="I18" s="7" t="n">
        <f aca="false">MAX(J18,K18)</f>
        <v>8.46</v>
      </c>
      <c r="J18" s="7" t="n">
        <f aca="false">IFERROR(__xludf.dummyfunction("FILTER('Provinha1b-Parte1'!C:C,'Provinha1b-Parte1'!A:A=A18)+FILTER('Provinha1b-Parte2'!C:C,'Provinha1b-Parte2'!A:A=A18)"),8.46)</f>
        <v>8.46</v>
      </c>
      <c r="K18" s="7" t="n">
        <f aca="false">IFERROR(__xludf.dummyfunction("FILTER('Provinha1a-Parte1'!C:C,'Provinha1a-Parte1'!A:A=A18)+FILTER('Provinha1a-Parte2'!C:C,'Provinha1a-Parte2'!A:A=A18)"),7.4)</f>
        <v>7.4</v>
      </c>
    </row>
    <row r="19" customFormat="false" ht="15.75" hidden="false" customHeight="false" outlineLevel="0" collapsed="false">
      <c r="A19" s="6" t="n">
        <v>9805320</v>
      </c>
      <c r="B19" s="7" t="n">
        <f aca="false">(C19+F19+I19)/3</f>
        <v>7.1</v>
      </c>
      <c r="C19" s="7" t="n">
        <f aca="false">MAX(D19,E19)</f>
        <v>7.05</v>
      </c>
      <c r="D19" s="7" t="str">
        <f aca="false">IFERROR(__xludf.dummyfunction("FILTER(Provinha3c!C:C,Provinha3c!A:A=A19)"),"")</f>
        <v/>
      </c>
      <c r="E19" s="7" t="n">
        <f aca="false">IFERROR(__xludf.dummyfunction("FILTER(Provinha3a!C:C,Provinha3a!A:A=A19)"),7.05)</f>
        <v>7.05</v>
      </c>
      <c r="F19" s="7" t="n">
        <f aca="false">MAX(G19,H19)</f>
        <v>6.2</v>
      </c>
      <c r="G19" s="7" t="str">
        <f aca="false">IFERROR(__xludf.dummyfunction("FILTER(Provinha2b!C:C,Provinha2b!A:A=A19)"),"")</f>
        <v/>
      </c>
      <c r="H19" s="7" t="n">
        <f aca="false">IFERROR(__xludf.dummyfunction("FILTER(Provinha2a!C:C,Provinha2a!A:A=A19)"),6.2)</f>
        <v>6.2</v>
      </c>
      <c r="I19" s="7" t="n">
        <f aca="false">MAX(J19,K19)</f>
        <v>8.05</v>
      </c>
      <c r="J19" s="7" t="n">
        <f aca="false">IFERROR(__xludf.dummyfunction("FILTER('Provinha1b-Parte1'!C:C,'Provinha1b-Parte1'!A:A=A19)+FILTER('Provinha1b-Parte2'!C:C,'Provinha1b-Parte2'!A:A=A19)"),8.05)</f>
        <v>8.05</v>
      </c>
      <c r="K19" s="7" t="n">
        <f aca="false">IFERROR(__xludf.dummyfunction("FILTER('Provinha1a-Parte1'!C:C,'Provinha1a-Parte1'!A:A=A19)+FILTER('Provinha1a-Parte2'!C:C,'Provinha1a-Parte2'!A:A=A19)"),6.24)</f>
        <v>6.24</v>
      </c>
    </row>
    <row r="20" customFormat="false" ht="15.75" hidden="false" customHeight="false" outlineLevel="0" collapsed="false">
      <c r="A20" s="6" t="n">
        <v>9805341</v>
      </c>
      <c r="B20" s="7" t="n">
        <f aca="false">(C20+F20+I20)/3</f>
        <v>9.48666666666667</v>
      </c>
      <c r="C20" s="7" t="n">
        <f aca="false">MAX(D20,E20)</f>
        <v>8.54</v>
      </c>
      <c r="D20" s="7" t="n">
        <f aca="false">IFERROR(__xludf.dummyfunction("FILTER(Provinha3c!C:C,Provinha3c!A:A=A20)"),8.54)</f>
        <v>8.54</v>
      </c>
      <c r="E20" s="7" t="n">
        <f aca="false">IFERROR(__xludf.dummyfunction("FILTER(Provinha3a!C:C,Provinha3a!A:A=A20)"),5.5)</f>
        <v>5.5</v>
      </c>
      <c r="F20" s="7" t="n">
        <f aca="false">MAX(G20,H20)</f>
        <v>9.92</v>
      </c>
      <c r="G20" s="7" t="n">
        <f aca="false">IFERROR(__xludf.dummyfunction("FILTER(Provinha2b!C:C,Provinha2b!A:A=A20)"),8.67)</f>
        <v>8.67</v>
      </c>
      <c r="H20" s="7" t="n">
        <f aca="false">IFERROR(__xludf.dummyfunction("FILTER(Provinha2a!C:C,Provinha2a!A:A=A20)"),9.92)</f>
        <v>9.92</v>
      </c>
      <c r="I20" s="7" t="n">
        <f aca="false">MAX(J20,K20)</f>
        <v>10</v>
      </c>
      <c r="J20" s="7" t="n">
        <f aca="false">IFERROR(__xludf.dummyfunction("FILTER('Provinha1b-Parte1'!C:C,'Provinha1b-Parte1'!A:A=A20)+FILTER('Provinha1b-Parte2'!C:C,'Provinha1b-Parte2'!A:A=A20)"),10)</f>
        <v>10</v>
      </c>
      <c r="K20" s="7" t="n">
        <f aca="false">IFERROR(__xludf.dummyfunction("FILTER('Provinha1a-Parte1'!C:C,'Provinha1a-Parte1'!A:A=A20)+FILTER('Provinha1a-Parte2'!C:C,'Provinha1a-Parte2'!A:A=A20)"),7.46)</f>
        <v>7.46</v>
      </c>
    </row>
    <row r="21" customFormat="false" ht="15.75" hidden="false" customHeight="false" outlineLevel="0" collapsed="false">
      <c r="A21" s="6" t="n">
        <v>9842913</v>
      </c>
      <c r="B21" s="7" t="n">
        <f aca="false">(C21+F21+I21)/3</f>
        <v>7.02</v>
      </c>
      <c r="C21" s="7" t="n">
        <f aca="false">MAX(D21,E21)</f>
        <v>4.99</v>
      </c>
      <c r="D21" s="7" t="n">
        <f aca="false">IFERROR(__xludf.dummyfunction("FILTER(Provinha3c!C:C,Provinha3c!A:A=A21)"),4)</f>
        <v>4</v>
      </c>
      <c r="E21" s="7" t="n">
        <f aca="false">IFERROR(__xludf.dummyfunction("FILTER(Provinha3a!C:C,Provinha3a!A:A=A21)"),4.99)</f>
        <v>4.99</v>
      </c>
      <c r="F21" s="7" t="n">
        <f aca="false">MAX(G21,H21)</f>
        <v>6.46</v>
      </c>
      <c r="G21" s="7" t="n">
        <f aca="false">IFERROR(__xludf.dummyfunction("FILTER(Provinha2b!C:C,Provinha2b!A:A=A21)"),5.21)</f>
        <v>5.21</v>
      </c>
      <c r="H21" s="7" t="n">
        <f aca="false">IFERROR(__xludf.dummyfunction("FILTER(Provinha2a!C:C,Provinha2a!A:A=A21)"),6.46)</f>
        <v>6.46</v>
      </c>
      <c r="I21" s="7" t="n">
        <f aca="false">MAX(J21,K21)</f>
        <v>9.61</v>
      </c>
      <c r="J21" s="7" t="n">
        <f aca="false">IFERROR(__xludf.dummyfunction("FILTER('Provinha1b-Parte1'!C:C,'Provinha1b-Parte1'!A:A=A21)+FILTER('Provinha1b-Parte2'!C:C,'Provinha1b-Parte2'!A:A=A21)"),9.61)</f>
        <v>9.61</v>
      </c>
      <c r="K21" s="7" t="n">
        <f aca="false">IFERROR(__xludf.dummyfunction("FILTER('Provinha1a-Parte1'!C:C,'Provinha1a-Parte1'!A:A=A21)+FILTER('Provinha1a-Parte2'!C:C,'Provinha1a-Parte2'!A:A=A21)"),7.53)</f>
        <v>7.53</v>
      </c>
    </row>
    <row r="22" customFormat="false" ht="15.75" hidden="false" customHeight="false" outlineLevel="0" collapsed="false">
      <c r="A22" s="6" t="n">
        <v>9846222</v>
      </c>
      <c r="B22" s="7" t="n">
        <f aca="false">(C22+F22+I22)/3</f>
        <v>0</v>
      </c>
      <c r="C22" s="7" t="n">
        <f aca="false">MAX(D22,E22)</f>
        <v>0</v>
      </c>
      <c r="D22" s="7" t="str">
        <f aca="false">IFERROR(__xludf.dummyfunction("FILTER(Provinha3c!C:C,Provinha3c!A:A=A22)"),"")</f>
        <v/>
      </c>
      <c r="E22" s="7" t="str">
        <f aca="false">IFERROR(__xludf.dummyfunction("FILTER(Provinha3a!C:C,Provinha3a!A:A=A22)"),"")</f>
        <v/>
      </c>
      <c r="F22" s="7" t="n">
        <f aca="false">MAX(G22,H22)</f>
        <v>0</v>
      </c>
      <c r="G22" s="7" t="str">
        <f aca="false">IFERROR(__xludf.dummyfunction("FILTER(Provinha2b!C:C,Provinha2b!A:A=A22)"),"")</f>
        <v/>
      </c>
      <c r="H22" s="7" t="str">
        <f aca="false">IFERROR(__xludf.dummyfunction("FILTER(Provinha2a!C:C,Provinha2a!A:A=A22)"),"")</f>
        <v/>
      </c>
      <c r="I22" s="7" t="n">
        <f aca="false">MAX(J22,K22)</f>
        <v>0</v>
      </c>
      <c r="J22" s="7" t="n">
        <f aca="false">IFERROR(__xludf.dummyfunction("FILTER('Provinha1b-Parte1'!C:C,'Provinha1b-Parte1'!A:A=A22)+FILTER('Provinha1b-Parte2'!C:C,'Provinha1b-Parte2'!A:A=A22)"),0)</f>
        <v>0</v>
      </c>
      <c r="K22" s="7" t="n">
        <f aca="false">IFERROR(__xludf.dummyfunction("FILTER('Provinha1a-Parte1'!C:C,'Provinha1a-Parte1'!A:A=A22)+FILTER('Provinha1a-Parte2'!C:C,'Provinha1a-Parte2'!A:A=A22)"),0)</f>
        <v>0</v>
      </c>
    </row>
    <row r="23" customFormat="false" ht="15.75" hidden="false" customHeight="false" outlineLevel="0" collapsed="false">
      <c r="A23" s="6" t="n">
        <v>9921470</v>
      </c>
      <c r="B23" s="7" t="n">
        <f aca="false">(C23+F23+I23)/3</f>
        <v>4.03666666666667</v>
      </c>
      <c r="C23" s="7" t="n">
        <f aca="false">MAX(D23,E23)</f>
        <v>5.63</v>
      </c>
      <c r="D23" s="7" t="n">
        <f aca="false">IFERROR(__xludf.dummyfunction("FILTER(Provinha3c!C:C,Provinha3c!A:A=A23)"),2)</f>
        <v>2</v>
      </c>
      <c r="E23" s="7" t="n">
        <f aca="false">IFERROR(__xludf.dummyfunction("FILTER(Provinha3a!C:C,Provinha3a!A:A=A23)"),5.63)</f>
        <v>5.63</v>
      </c>
      <c r="F23" s="7" t="n">
        <f aca="false">MAX(G23,H23)</f>
        <v>1.4</v>
      </c>
      <c r="G23" s="7" t="n">
        <f aca="false">IFERROR(__xludf.dummyfunction("FILTER(Provinha2b!C:C,Provinha2b!A:A=A23)"),0.75)</f>
        <v>0.75</v>
      </c>
      <c r="H23" s="7" t="n">
        <f aca="false">IFERROR(__xludf.dummyfunction("FILTER(Provinha2a!C:C,Provinha2a!A:A=A23)"),1.4)</f>
        <v>1.4</v>
      </c>
      <c r="I23" s="7" t="n">
        <f aca="false">MAX(J23,K23)</f>
        <v>5.08</v>
      </c>
      <c r="J23" s="7" t="n">
        <f aca="false">IFERROR(__xludf.dummyfunction("FILTER('Provinha1b-Parte1'!C:C,'Provinha1b-Parte1'!A:A=A23)+FILTER('Provinha1b-Parte2'!C:C,'Provinha1b-Parte2'!A:A=A23)"),1.84)</f>
        <v>1.84</v>
      </c>
      <c r="K23" s="7" t="n">
        <f aca="false">IFERROR(__xludf.dummyfunction("FILTER('Provinha1a-Parte1'!C:C,'Provinha1a-Parte1'!A:A=A23)+FILTER('Provinha1a-Parte2'!C:C,'Provinha1a-Parte2'!A:A=A23)"),5.08)</f>
        <v>5.08</v>
      </c>
    </row>
    <row r="24" customFormat="false" ht="15.75" hidden="false" customHeight="false" outlineLevel="0" collapsed="false">
      <c r="A24" s="6" t="n">
        <v>10260351</v>
      </c>
      <c r="B24" s="7" t="n">
        <f aca="false">(C24+F24+I24)/3</f>
        <v>6.22666666666667</v>
      </c>
      <c r="C24" s="7" t="n">
        <f aca="false">MAX(D24,E24)</f>
        <v>5.37</v>
      </c>
      <c r="D24" s="7" t="n">
        <f aca="false">IFERROR(__xludf.dummyfunction("FILTER(Provinha3c!C:C,Provinha3c!A:A=A24)"),4.07)</f>
        <v>4.07</v>
      </c>
      <c r="E24" s="7" t="n">
        <f aca="false">IFERROR(__xludf.dummyfunction("FILTER(Provinha3a!C:C,Provinha3a!A:A=A24)"),5.37)</f>
        <v>5.37</v>
      </c>
      <c r="F24" s="7" t="n">
        <f aca="false">MAX(G24,H24)</f>
        <v>5.53</v>
      </c>
      <c r="G24" s="7" t="n">
        <f aca="false">IFERROR(__xludf.dummyfunction("FILTER(Provinha2b!C:C,Provinha2b!A:A=A24)"),5.53)</f>
        <v>5.53</v>
      </c>
      <c r="H24" s="7" t="n">
        <f aca="false">IFERROR(__xludf.dummyfunction("FILTER(Provinha2a!C:C,Provinha2a!A:A=A24)"),5.18)</f>
        <v>5.18</v>
      </c>
      <c r="I24" s="7" t="n">
        <f aca="false">MAX(J24,K24)</f>
        <v>7.78</v>
      </c>
      <c r="J24" s="7" t="n">
        <f aca="false">IFERROR(__xludf.dummyfunction("FILTER('Provinha1b-Parte1'!C:C,'Provinha1b-Parte1'!A:A=A24)+FILTER('Provinha1b-Parte2'!C:C,'Provinha1b-Parte2'!A:A=A24)"),7.78)</f>
        <v>7.78</v>
      </c>
      <c r="K24" s="7" t="n">
        <f aca="false">IFERROR(__xludf.dummyfunction("FILTER('Provinha1a-Parte1'!C:C,'Provinha1a-Parte1'!A:A=A24)+FILTER('Provinha1a-Parte2'!C:C,'Provinha1a-Parte2'!A:A=A24)"),6.09)</f>
        <v>6.09</v>
      </c>
    </row>
    <row r="25" customFormat="false" ht="15.75" hidden="false" customHeight="false" outlineLevel="0" collapsed="false">
      <c r="A25" s="6" t="n">
        <v>10262669</v>
      </c>
      <c r="B25" s="7" t="n">
        <f aca="false">(C25+F25+I25)/3</f>
        <v>9.85</v>
      </c>
      <c r="C25" s="7" t="n">
        <f aca="false">MAX(D25,E25)</f>
        <v>10.04</v>
      </c>
      <c r="D25" s="7" t="n">
        <f aca="false">IFERROR(__xludf.dummyfunction("FILTER(Provinha3c!C:C,Provinha3c!A:A=A25)"),10.04)</f>
        <v>10.04</v>
      </c>
      <c r="E25" s="7" t="n">
        <f aca="false">IFERROR(__xludf.dummyfunction("FILTER(Provinha3a!C:C,Provinha3a!A:A=A25)"),5.79)</f>
        <v>5.79</v>
      </c>
      <c r="F25" s="7" t="n">
        <f aca="false">MAX(G25,H25)</f>
        <v>9.83</v>
      </c>
      <c r="G25" s="7" t="str">
        <f aca="false">IFERROR(__xludf.dummyfunction("FILTER(Provinha2b!C:C,Provinha2b!A:A=A25)"),"")</f>
        <v/>
      </c>
      <c r="H25" s="7" t="n">
        <f aca="false">IFERROR(__xludf.dummyfunction("FILTER(Provinha2a!C:C,Provinha2a!A:A=A25)"),9.83)</f>
        <v>9.83</v>
      </c>
      <c r="I25" s="7" t="n">
        <f aca="false">MAX(J25,K25)</f>
        <v>9.68</v>
      </c>
      <c r="J25" s="7" t="n">
        <f aca="false">IFERROR(__xludf.dummyfunction("FILTER('Provinha1b-Parte1'!C:C,'Provinha1b-Parte1'!A:A=A25)+FILTER('Provinha1b-Parte2'!C:C,'Provinha1b-Parte2'!A:A=A25)"),9.68)</f>
        <v>9.68</v>
      </c>
      <c r="K25" s="7" t="n">
        <f aca="false">IFERROR(__xludf.dummyfunction("FILTER('Provinha1a-Parte1'!C:C,'Provinha1a-Parte1'!A:A=A25)+FILTER('Provinha1a-Parte2'!C:C,'Provinha1a-Parte2'!A:A=A25)"),6.6)</f>
        <v>6.6</v>
      </c>
    </row>
    <row r="26" customFormat="false" ht="15.75" hidden="false" customHeight="false" outlineLevel="0" collapsed="false">
      <c r="A26" s="6" t="n">
        <v>10273971</v>
      </c>
      <c r="B26" s="7" t="n">
        <f aca="false">(C26+F26+I26)/3</f>
        <v>8.19</v>
      </c>
      <c r="C26" s="7" t="n">
        <f aca="false">MAX(D26,E26)</f>
        <v>4.67</v>
      </c>
      <c r="D26" s="7" t="n">
        <f aca="false">IFERROR(__xludf.dummyfunction("FILTER(Provinha3c!C:C,Provinha3c!A:A=A26)"),4.67)</f>
        <v>4.67</v>
      </c>
      <c r="E26" s="7" t="n">
        <f aca="false">IFERROR(__xludf.dummyfunction("FILTER(Provinha3a!C:C,Provinha3a!A:A=A26)"),4)</f>
        <v>4</v>
      </c>
      <c r="F26" s="7" t="n">
        <f aca="false">MAX(G26,H26)</f>
        <v>10</v>
      </c>
      <c r="G26" s="7" t="n">
        <f aca="false">IFERROR(__xludf.dummyfunction("FILTER(Provinha2b!C:C,Provinha2b!A:A=A26)"),10)</f>
        <v>10</v>
      </c>
      <c r="H26" s="7" t="n">
        <f aca="false">IFERROR(__xludf.dummyfunction("FILTER(Provinha2a!C:C,Provinha2a!A:A=A26)"),7.67)</f>
        <v>7.67</v>
      </c>
      <c r="I26" s="7" t="n">
        <f aca="false">MAX(J26,K26)</f>
        <v>9.9</v>
      </c>
      <c r="J26" s="7" t="n">
        <f aca="false">IFERROR(__xludf.dummyfunction("FILTER('Provinha1b-Parte1'!C:C,'Provinha1b-Parte1'!A:A=A26)+FILTER('Provinha1b-Parte2'!C:C,'Provinha1b-Parte2'!A:A=A26)"),0)</f>
        <v>0</v>
      </c>
      <c r="K26" s="7" t="n">
        <f aca="false">IFERROR(__xludf.dummyfunction("FILTER('Provinha1a-Parte1'!C:C,'Provinha1a-Parte1'!A:A=A26)+FILTER('Provinha1a-Parte2'!C:C,'Provinha1a-Parte2'!A:A=A26)"),9.9)</f>
        <v>9.9</v>
      </c>
    </row>
    <row r="27" customFormat="false" ht="15.75" hidden="false" customHeight="false" outlineLevel="0" collapsed="false">
      <c r="A27" s="6" t="n">
        <v>10276654</v>
      </c>
      <c r="B27" s="7" t="n">
        <f aca="false">(C27+F27+I27)/3</f>
        <v>6.31</v>
      </c>
      <c r="C27" s="7" t="n">
        <f aca="false">MAX(D27,E27)</f>
        <v>4.6</v>
      </c>
      <c r="D27" s="7" t="n">
        <f aca="false">IFERROR(__xludf.dummyfunction("FILTER(Provinha3c!C:C,Provinha3c!A:A=A27)"),4.39)</f>
        <v>4.39</v>
      </c>
      <c r="E27" s="7" t="n">
        <f aca="false">IFERROR(__xludf.dummyfunction("FILTER(Provinha3a!C:C,Provinha3a!A:A=A27)"),4.6)</f>
        <v>4.6</v>
      </c>
      <c r="F27" s="7" t="n">
        <f aca="false">MAX(G27,H27)</f>
        <v>6.77</v>
      </c>
      <c r="G27" s="7" t="n">
        <f aca="false">IFERROR(__xludf.dummyfunction("FILTER(Provinha2b!C:C,Provinha2b!A:A=A27)"),6.77)</f>
        <v>6.77</v>
      </c>
      <c r="H27" s="7" t="n">
        <f aca="false">IFERROR(__xludf.dummyfunction("FILTER(Provinha2a!C:C,Provinha2a!A:A=A27)"),4.52)</f>
        <v>4.52</v>
      </c>
      <c r="I27" s="7" t="n">
        <f aca="false">MAX(J27,K27)</f>
        <v>7.56</v>
      </c>
      <c r="J27" s="7" t="n">
        <f aca="false">IFERROR(__xludf.dummyfunction("FILTER('Provinha1b-Parte1'!C:C,'Provinha1b-Parte1'!A:A=A27)+FILTER('Provinha1b-Parte2'!C:C,'Provinha1b-Parte2'!A:A=A27)"),7.56)</f>
        <v>7.56</v>
      </c>
      <c r="K27" s="7" t="n">
        <f aca="false">IFERROR(__xludf.dummyfunction("FILTER('Provinha1a-Parte1'!C:C,'Provinha1a-Parte1'!A:A=A27)+FILTER('Provinha1a-Parte2'!C:C,'Provinha1a-Parte2'!A:A=A27)"),3.13)</f>
        <v>3.13</v>
      </c>
    </row>
    <row r="28" customFormat="false" ht="15.75" hidden="false" customHeight="false" outlineLevel="0" collapsed="false">
      <c r="A28" s="6" t="n">
        <v>10276661</v>
      </c>
      <c r="B28" s="7" t="n">
        <f aca="false">(C28+F28+I28)/3</f>
        <v>7.79666666666667</v>
      </c>
      <c r="C28" s="7" t="n">
        <f aca="false">MAX(D28,E28)</f>
        <v>6.37</v>
      </c>
      <c r="D28" s="7" t="n">
        <f aca="false">IFERROR(__xludf.dummyfunction("FILTER(Provinha3c!C:C,Provinha3c!A:A=A28)"),5.38)</f>
        <v>5.38</v>
      </c>
      <c r="E28" s="7" t="n">
        <f aca="false">IFERROR(__xludf.dummyfunction("FILTER(Provinha3a!C:C,Provinha3a!A:A=A28)"),6.37)</f>
        <v>6.37</v>
      </c>
      <c r="F28" s="7" t="n">
        <f aca="false">MAX(G28,H28)</f>
        <v>8.04</v>
      </c>
      <c r="G28" s="7" t="n">
        <f aca="false">IFERROR(__xludf.dummyfunction("FILTER(Provinha2b!C:C,Provinha2b!A:A=A28)"),8.04)</f>
        <v>8.04</v>
      </c>
      <c r="H28" s="7" t="n">
        <f aca="false">IFERROR(__xludf.dummyfunction("FILTER(Provinha2a!C:C,Provinha2a!A:A=A28)"),6.15)</f>
        <v>6.15</v>
      </c>
      <c r="I28" s="7" t="n">
        <f aca="false">MAX(J28,K28)</f>
        <v>8.98</v>
      </c>
      <c r="J28" s="7" t="n">
        <f aca="false">IFERROR(__xludf.dummyfunction("FILTER('Provinha1b-Parte1'!C:C,'Provinha1b-Parte1'!A:A=A28)+FILTER('Provinha1b-Parte2'!C:C,'Provinha1b-Parte2'!A:A=A28)"),8.98)</f>
        <v>8.98</v>
      </c>
      <c r="K28" s="7" t="n">
        <f aca="false">IFERROR(__xludf.dummyfunction("FILTER('Provinha1a-Parte1'!C:C,'Provinha1a-Parte1'!A:A=A28)+FILTER('Provinha1a-Parte2'!C:C,'Provinha1a-Parte2'!A:A=A28)"),6.61)</f>
        <v>6.61</v>
      </c>
    </row>
    <row r="29" customFormat="false" ht="15.75" hidden="false" customHeight="false" outlineLevel="0" collapsed="false">
      <c r="A29" s="6" t="n">
        <v>10276675</v>
      </c>
      <c r="B29" s="7" t="n">
        <f aca="false">(C29+F29+I29)/3</f>
        <v>7.76666666666667</v>
      </c>
      <c r="C29" s="7" t="n">
        <f aca="false">MAX(D29,E29)</f>
        <v>5.93</v>
      </c>
      <c r="D29" s="7" t="n">
        <f aca="false">IFERROR(__xludf.dummyfunction("FILTER(Provinha3c!C:C,Provinha3c!A:A=A29)"),1)</f>
        <v>1</v>
      </c>
      <c r="E29" s="7" t="n">
        <f aca="false">IFERROR(__xludf.dummyfunction("FILTER(Provinha3a!C:C,Provinha3a!A:A=A29)"),5.93)</f>
        <v>5.93</v>
      </c>
      <c r="F29" s="7" t="n">
        <f aca="false">MAX(G29,H29)</f>
        <v>8.27</v>
      </c>
      <c r="G29" s="7" t="n">
        <f aca="false">IFERROR(__xludf.dummyfunction("FILTER(Provinha2b!C:C,Provinha2b!A:A=A29)"),8.27)</f>
        <v>8.27</v>
      </c>
      <c r="H29" s="7" t="n">
        <f aca="false">IFERROR(__xludf.dummyfunction("FILTER(Provinha2a!C:C,Provinha2a!A:A=A29)"),7.35)</f>
        <v>7.35</v>
      </c>
      <c r="I29" s="7" t="n">
        <f aca="false">MAX(J29,K29)</f>
        <v>9.1</v>
      </c>
      <c r="J29" s="7" t="n">
        <f aca="false">IFERROR(__xludf.dummyfunction("FILTER('Provinha1b-Parte1'!C:C,'Provinha1b-Parte1'!A:A=A29)+FILTER('Provinha1b-Parte2'!C:C,'Provinha1b-Parte2'!A:A=A29)"),9.1)</f>
        <v>9.1</v>
      </c>
      <c r="K29" s="7" t="n">
        <f aca="false">IFERROR(__xludf.dummyfunction("FILTER('Provinha1a-Parte1'!C:C,'Provinha1a-Parte1'!A:A=A29)+FILTER('Provinha1a-Parte2'!C:C,'Provinha1a-Parte2'!A:A=A29)"),8.22)</f>
        <v>8.22</v>
      </c>
    </row>
    <row r="30" customFormat="false" ht="15.75" hidden="false" customHeight="false" outlineLevel="0" collapsed="false">
      <c r="A30" s="6" t="n">
        <v>10276682</v>
      </c>
      <c r="B30" s="7" t="n">
        <f aca="false">(C30+F30+I30)/3</f>
        <v>8.39333333333333</v>
      </c>
      <c r="C30" s="7" t="n">
        <f aca="false">MAX(D30,E30)</f>
        <v>8.88</v>
      </c>
      <c r="D30" s="7" t="n">
        <f aca="false">IFERROR(__xludf.dummyfunction("FILTER(Provinha3c!C:C,Provinha3c!A:A=A30)"),8.88)</f>
        <v>8.88</v>
      </c>
      <c r="E30" s="7" t="n">
        <f aca="false">IFERROR(__xludf.dummyfunction("FILTER(Provinha3a!C:C,Provinha3a!A:A=A30)"),3.79)</f>
        <v>3.79</v>
      </c>
      <c r="F30" s="7" t="n">
        <f aca="false">MAX(G30,H30)</f>
        <v>6.85</v>
      </c>
      <c r="G30" s="7" t="n">
        <f aca="false">IFERROR(__xludf.dummyfunction("FILTER(Provinha2b!C:C,Provinha2b!A:A=A30)"),6.85)</f>
        <v>6.85</v>
      </c>
      <c r="H30" s="7" t="n">
        <f aca="false">IFERROR(__xludf.dummyfunction("FILTER(Provinha2a!C:C,Provinha2a!A:A=A30)"),4.86)</f>
        <v>4.86</v>
      </c>
      <c r="I30" s="7" t="n">
        <f aca="false">MAX(J30,K30)</f>
        <v>9.45</v>
      </c>
      <c r="J30" s="7" t="n">
        <f aca="false">IFERROR(__xludf.dummyfunction("FILTER('Provinha1b-Parte1'!C:C,'Provinha1b-Parte1'!A:A=A30)+FILTER('Provinha1b-Parte2'!C:C,'Provinha1b-Parte2'!A:A=A30)"),9.45)</f>
        <v>9.45</v>
      </c>
      <c r="K30" s="7" t="n">
        <f aca="false">IFERROR(__xludf.dummyfunction("FILTER('Provinha1a-Parte1'!C:C,'Provinha1a-Parte1'!A:A=A30)+FILTER('Provinha1a-Parte2'!C:C,'Provinha1a-Parte2'!A:A=A30)"),5.27)</f>
        <v>5.27</v>
      </c>
    </row>
    <row r="31" customFormat="false" ht="15.75" hidden="false" customHeight="false" outlineLevel="0" collapsed="false">
      <c r="A31" s="6" t="n">
        <v>10276720</v>
      </c>
      <c r="B31" s="7" t="n">
        <f aca="false">(C31+F31+I31)/3</f>
        <v>9.02333333333333</v>
      </c>
      <c r="C31" s="7" t="n">
        <f aca="false">MAX(D31,E31)</f>
        <v>8</v>
      </c>
      <c r="D31" s="7" t="n">
        <f aca="false">IFERROR(__xludf.dummyfunction("FILTER(Provinha3c!C:C,Provinha3c!A:A=A31)"),8)</f>
        <v>8</v>
      </c>
      <c r="E31" s="7" t="n">
        <f aca="false">IFERROR(__xludf.dummyfunction("FILTER(Provinha3a!C:C,Provinha3a!A:A=A31)"),6.94)</f>
        <v>6.94</v>
      </c>
      <c r="F31" s="7" t="n">
        <f aca="false">MAX(G31,H31)</f>
        <v>9.19</v>
      </c>
      <c r="G31" s="7" t="str">
        <f aca="false">IFERROR(__xludf.dummyfunction("FILTER(Provinha2b!C:C,Provinha2b!A:A=A31)"),"")</f>
        <v/>
      </c>
      <c r="H31" s="7" t="n">
        <f aca="false">IFERROR(__xludf.dummyfunction("FILTER(Provinha2a!C:C,Provinha2a!A:A=A31)"),9.19)</f>
        <v>9.19</v>
      </c>
      <c r="I31" s="7" t="n">
        <f aca="false">MAX(J31,K31)</f>
        <v>9.88</v>
      </c>
      <c r="J31" s="7" t="n">
        <f aca="false">IFERROR(__xludf.dummyfunction("FILTER('Provinha1b-Parte1'!C:C,'Provinha1b-Parte1'!A:A=A31)+FILTER('Provinha1b-Parte2'!C:C,'Provinha1b-Parte2'!A:A=A31)"),9.88)</f>
        <v>9.88</v>
      </c>
      <c r="K31" s="7" t="n">
        <f aca="false">IFERROR(__xludf.dummyfunction("FILTER('Provinha1a-Parte1'!C:C,'Provinha1a-Parte1'!A:A=A31)+FILTER('Provinha1a-Parte2'!C:C,'Provinha1a-Parte2'!A:A=A31)"),7.22)</f>
        <v>7.22</v>
      </c>
    </row>
    <row r="32" customFormat="false" ht="15.75" hidden="false" customHeight="false" outlineLevel="0" collapsed="false">
      <c r="A32" s="6" t="n">
        <v>10276737</v>
      </c>
      <c r="B32" s="7" t="n">
        <f aca="false">(C32+F32+I32)/3</f>
        <v>7.22</v>
      </c>
      <c r="C32" s="7" t="n">
        <f aca="false">MAX(D32,E32)</f>
        <v>4.83</v>
      </c>
      <c r="D32" s="7" t="n">
        <f aca="false">IFERROR(__xludf.dummyfunction("FILTER(Provinha3c!C:C,Provinha3c!A:A=A32)"),4.83)</f>
        <v>4.83</v>
      </c>
      <c r="E32" s="7" t="str">
        <f aca="false">IFERROR(__xludf.dummyfunction("FILTER(Provinha3a!C:C,Provinha3a!A:A=A32)"),"")</f>
        <v/>
      </c>
      <c r="F32" s="7" t="n">
        <f aca="false">MAX(G32,H32)</f>
        <v>9.35</v>
      </c>
      <c r="G32" s="7" t="n">
        <f aca="false">IFERROR(__xludf.dummyfunction("FILTER(Provinha2b!C:C,Provinha2b!A:A=A32)"),9.35)</f>
        <v>9.35</v>
      </c>
      <c r="H32" s="7" t="str">
        <f aca="false">IFERROR(__xludf.dummyfunction("FILTER(Provinha2a!C:C,Provinha2a!A:A=A32)"),"")</f>
        <v/>
      </c>
      <c r="I32" s="7" t="n">
        <f aca="false">MAX(J32,K32)</f>
        <v>7.48</v>
      </c>
      <c r="J32" s="7" t="n">
        <f aca="false">IFERROR(__xludf.dummyfunction("FILTER('Provinha1b-Parte1'!C:C,'Provinha1b-Parte1'!A:A=A32)+FILTER('Provinha1b-Parte2'!C:C,'Provinha1b-Parte2'!A:A=A32)"),7.11)</f>
        <v>7.11</v>
      </c>
      <c r="K32" s="7" t="n">
        <f aca="false">IFERROR(__xludf.dummyfunction("FILTER('Provinha1a-Parte1'!C:C,'Provinha1a-Parte1'!A:A=A32)+FILTER('Provinha1a-Parte2'!C:C,'Provinha1a-Parte2'!A:A=A32)"),7.48)</f>
        <v>7.48</v>
      </c>
    </row>
    <row r="33" customFormat="false" ht="15.75" hidden="false" customHeight="false" outlineLevel="0" collapsed="false">
      <c r="A33" s="6" t="n">
        <v>10276762</v>
      </c>
      <c r="B33" s="7" t="n">
        <f aca="false">(C33+F33+I33)/3</f>
        <v>8.15</v>
      </c>
      <c r="C33" s="7" t="n">
        <f aca="false">MAX(D33,E33)</f>
        <v>5.83</v>
      </c>
      <c r="D33" s="7" t="n">
        <f aca="false">IFERROR(__xludf.dummyfunction("FILTER(Provinha3c!C:C,Provinha3c!A:A=A33)"),5.83)</f>
        <v>5.83</v>
      </c>
      <c r="E33" s="7" t="n">
        <f aca="false">IFERROR(__xludf.dummyfunction("FILTER(Provinha3a!C:C,Provinha3a!A:A=A33)"),3.88)</f>
        <v>3.88</v>
      </c>
      <c r="F33" s="7" t="n">
        <f aca="false">MAX(G33,H33)</f>
        <v>9.83</v>
      </c>
      <c r="G33" s="7" t="str">
        <f aca="false">IFERROR(__xludf.dummyfunction("FILTER(Provinha2b!C:C,Provinha2b!A:A=A33)"),"")</f>
        <v/>
      </c>
      <c r="H33" s="7" t="n">
        <f aca="false">IFERROR(__xludf.dummyfunction("FILTER(Provinha2a!C:C,Provinha2a!A:A=A33)"),9.83)</f>
        <v>9.83</v>
      </c>
      <c r="I33" s="7" t="n">
        <f aca="false">MAX(J33,K33)</f>
        <v>8.79</v>
      </c>
      <c r="J33" s="7" t="n">
        <f aca="false">IFERROR(__xludf.dummyfunction("FILTER('Provinha1b-Parte1'!C:C,'Provinha1b-Parte1'!A:A=A33)+FILTER('Provinha1b-Parte2'!C:C,'Provinha1b-Parte2'!A:A=A33)"),8.79)</f>
        <v>8.79</v>
      </c>
      <c r="K33" s="7" t="n">
        <f aca="false">IFERROR(__xludf.dummyfunction("FILTER('Provinha1a-Parte1'!C:C,'Provinha1a-Parte1'!A:A=A33)+FILTER('Provinha1a-Parte2'!C:C,'Provinha1a-Parte2'!A:A=A33)"),7.74)</f>
        <v>7.74</v>
      </c>
    </row>
    <row r="34" customFormat="false" ht="15.75" hidden="false" customHeight="false" outlineLevel="0" collapsed="false">
      <c r="A34" s="6" t="n">
        <v>10276831</v>
      </c>
      <c r="B34" s="7" t="n">
        <f aca="false">(C34+F34+I34)/3</f>
        <v>7.52</v>
      </c>
      <c r="C34" s="7" t="n">
        <f aca="false">MAX(D34,E34)</f>
        <v>6.59</v>
      </c>
      <c r="D34" s="7" t="n">
        <f aca="false">IFERROR(__xludf.dummyfunction("FILTER(Provinha3c!C:C,Provinha3c!A:A=A34)"),4.32)</f>
        <v>4.32</v>
      </c>
      <c r="E34" s="7" t="n">
        <f aca="false">IFERROR(__xludf.dummyfunction("FILTER(Provinha3a!C:C,Provinha3a!A:A=A34)"),6.59)</f>
        <v>6.59</v>
      </c>
      <c r="F34" s="7" t="n">
        <f aca="false">MAX(G34,H34)</f>
        <v>7.5</v>
      </c>
      <c r="G34" s="7" t="n">
        <f aca="false">IFERROR(__xludf.dummyfunction("FILTER(Provinha2b!C:C,Provinha2b!A:A=A34)"),7.5)</f>
        <v>7.5</v>
      </c>
      <c r="H34" s="7" t="n">
        <f aca="false">IFERROR(__xludf.dummyfunction("FILTER(Provinha2a!C:C,Provinha2a!A:A=A34)"),4.3)</f>
        <v>4.3</v>
      </c>
      <c r="I34" s="7" t="n">
        <f aca="false">MAX(J34,K34)</f>
        <v>8.47</v>
      </c>
      <c r="J34" s="7" t="n">
        <f aca="false">IFERROR(__xludf.dummyfunction("FILTER('Provinha1b-Parte1'!C:C,'Provinha1b-Parte1'!A:A=A34)+FILTER('Provinha1b-Parte2'!C:C,'Provinha1b-Parte2'!A:A=A34)"),8.15)</f>
        <v>8.15</v>
      </c>
      <c r="K34" s="7" t="n">
        <f aca="false">IFERROR(__xludf.dummyfunction("FILTER('Provinha1a-Parte1'!C:C,'Provinha1a-Parte1'!A:A=A34)+FILTER('Provinha1a-Parte2'!C:C,'Provinha1a-Parte2'!A:A=A34)"),8.47)</f>
        <v>8.47</v>
      </c>
    </row>
    <row r="35" customFormat="false" ht="15.75" hidden="false" customHeight="false" outlineLevel="0" collapsed="false">
      <c r="A35" s="6" t="n">
        <v>10276852</v>
      </c>
      <c r="B35" s="7" t="n">
        <f aca="false">(C35+F35+I35)/3</f>
        <v>5.61333333333333</v>
      </c>
      <c r="C35" s="7" t="n">
        <f aca="false">MAX(D35,E35)</f>
        <v>6.96</v>
      </c>
      <c r="D35" s="7" t="n">
        <f aca="false">IFERROR(__xludf.dummyfunction("FILTER(Provinha3c!C:C,Provinha3c!A:A=A35)"),3.51)</f>
        <v>3.51</v>
      </c>
      <c r="E35" s="7" t="n">
        <f aca="false">IFERROR(__xludf.dummyfunction("FILTER(Provinha3a!C:C,Provinha3a!A:A=A35)"),6.96)</f>
        <v>6.96</v>
      </c>
      <c r="F35" s="7" t="n">
        <f aca="false">MAX(G35,H35)</f>
        <v>2.68</v>
      </c>
      <c r="G35" s="7" t="n">
        <f aca="false">IFERROR(__xludf.dummyfunction("FILTER(Provinha2b!C:C,Provinha2b!A:A=A35)"),2.68)</f>
        <v>2.68</v>
      </c>
      <c r="H35" s="7" t="n">
        <f aca="false">IFERROR(__xludf.dummyfunction("FILTER(Provinha2a!C:C,Provinha2a!A:A=A35)"),1.46)</f>
        <v>1.46</v>
      </c>
      <c r="I35" s="7" t="n">
        <f aca="false">MAX(J35,K35)</f>
        <v>7.2</v>
      </c>
      <c r="J35" s="7" t="n">
        <f aca="false">IFERROR(__xludf.dummyfunction("FILTER('Provinha1b-Parte1'!C:C,'Provinha1b-Parte1'!A:A=A35)+FILTER('Provinha1b-Parte2'!C:C,'Provinha1b-Parte2'!A:A=A35)"),5.99)</f>
        <v>5.99</v>
      </c>
      <c r="K35" s="7" t="n">
        <f aca="false">IFERROR(__xludf.dummyfunction("FILTER('Provinha1a-Parte1'!C:C,'Provinha1a-Parte1'!A:A=A35)+FILTER('Provinha1a-Parte2'!C:C,'Provinha1a-Parte2'!A:A=A35)"),7.2)</f>
        <v>7.2</v>
      </c>
    </row>
    <row r="36" customFormat="false" ht="15.75" hidden="false" customHeight="false" outlineLevel="0" collapsed="false">
      <c r="A36" s="6" t="n">
        <v>10276866</v>
      </c>
      <c r="B36" s="7" t="n">
        <f aca="false">(C36+F36+I36)/3</f>
        <v>7.09</v>
      </c>
      <c r="C36" s="7" t="n">
        <f aca="false">MAX(D36,E36)</f>
        <v>6</v>
      </c>
      <c r="D36" s="7" t="n">
        <f aca="false">IFERROR(__xludf.dummyfunction("FILTER(Provinha3c!C:C,Provinha3c!A:A=A36)"),6)</f>
        <v>6</v>
      </c>
      <c r="E36" s="7" t="n">
        <f aca="false">IFERROR(__xludf.dummyfunction("FILTER(Provinha3a!C:C,Provinha3a!A:A=A36)"),2)</f>
        <v>2</v>
      </c>
      <c r="F36" s="7" t="n">
        <f aca="false">MAX(G36,H36)</f>
        <v>7.48</v>
      </c>
      <c r="G36" s="7" t="n">
        <f aca="false">IFERROR(__xludf.dummyfunction("FILTER(Provinha2b!C:C,Provinha2b!A:A=A36)"),7.48)</f>
        <v>7.48</v>
      </c>
      <c r="H36" s="7" t="n">
        <f aca="false">IFERROR(__xludf.dummyfunction("FILTER(Provinha2a!C:C,Provinha2a!A:A=A36)"),5.01)</f>
        <v>5.01</v>
      </c>
      <c r="I36" s="7" t="n">
        <f aca="false">MAX(J36,K36)</f>
        <v>7.79</v>
      </c>
      <c r="J36" s="7" t="n">
        <f aca="false">IFERROR(__xludf.dummyfunction("FILTER('Provinha1b-Parte1'!C:C,'Provinha1b-Parte1'!A:A=A36)+FILTER('Provinha1b-Parte2'!C:C,'Provinha1b-Parte2'!A:A=A36)"),7.67)</f>
        <v>7.67</v>
      </c>
      <c r="K36" s="7" t="n">
        <f aca="false">IFERROR(__xludf.dummyfunction("FILTER('Provinha1a-Parte1'!C:C,'Provinha1a-Parte1'!A:A=A36)+FILTER('Provinha1a-Parte2'!C:C,'Provinha1a-Parte2'!A:A=A36)"),7.79)</f>
        <v>7.79</v>
      </c>
    </row>
    <row r="37" customFormat="false" ht="15.75" hidden="false" customHeight="false" outlineLevel="0" collapsed="false">
      <c r="A37" s="6" t="n">
        <v>10276907</v>
      </c>
      <c r="B37" s="7" t="n">
        <f aca="false">(C37+F37+I37)/3</f>
        <v>5.99666666666667</v>
      </c>
      <c r="C37" s="7" t="n">
        <f aca="false">MAX(D37,E37)</f>
        <v>3.5</v>
      </c>
      <c r="D37" s="7" t="n">
        <f aca="false">IFERROR(__xludf.dummyfunction("FILTER(Provinha3c!C:C,Provinha3c!A:A=A37)"),3.5)</f>
        <v>3.5</v>
      </c>
      <c r="E37" s="7" t="n">
        <f aca="false">IFERROR(__xludf.dummyfunction("FILTER(Provinha3a!C:C,Provinha3a!A:A=A37)"),2.77)</f>
        <v>2.77</v>
      </c>
      <c r="F37" s="7" t="n">
        <f aca="false">MAX(G37,H37)</f>
        <v>7.12</v>
      </c>
      <c r="G37" s="7" t="n">
        <f aca="false">IFERROR(__xludf.dummyfunction("FILTER(Provinha2b!C:C,Provinha2b!A:A=A37)"),7.12)</f>
        <v>7.12</v>
      </c>
      <c r="H37" s="7" t="n">
        <f aca="false">IFERROR(__xludf.dummyfunction("FILTER(Provinha2a!C:C,Provinha2a!A:A=A37)"),5.27)</f>
        <v>5.27</v>
      </c>
      <c r="I37" s="7" t="n">
        <f aca="false">MAX(J37,K37)</f>
        <v>7.37</v>
      </c>
      <c r="J37" s="7" t="n">
        <f aca="false">IFERROR(__xludf.dummyfunction("FILTER('Provinha1b-Parte1'!C:C,'Provinha1b-Parte1'!A:A=A37)+FILTER('Provinha1b-Parte2'!C:C,'Provinha1b-Parte2'!A:A=A37)"),7.37)</f>
        <v>7.37</v>
      </c>
      <c r="K37" s="7" t="n">
        <f aca="false">IFERROR(__xludf.dummyfunction("FILTER('Provinha1a-Parte1'!C:C,'Provinha1a-Parte1'!A:A=A37)+FILTER('Provinha1a-Parte2'!C:C,'Provinha1a-Parte2'!A:A=A37)"),5.41)</f>
        <v>5.41</v>
      </c>
    </row>
    <row r="38" customFormat="false" ht="15.75" hidden="false" customHeight="false" outlineLevel="0" collapsed="false">
      <c r="A38" s="6" t="n">
        <v>10276911</v>
      </c>
      <c r="B38" s="7" t="n">
        <f aca="false">(C38+F38+I38)/3</f>
        <v>9.28666666666667</v>
      </c>
      <c r="C38" s="7" t="n">
        <f aca="false">MAX(D38,E38)</f>
        <v>8.49</v>
      </c>
      <c r="D38" s="7" t="n">
        <f aca="false">IFERROR(__xludf.dummyfunction("FILTER(Provinha3c!C:C,Provinha3c!A:A=A38)"),7.93)</f>
        <v>7.93</v>
      </c>
      <c r="E38" s="7" t="n">
        <f aca="false">IFERROR(__xludf.dummyfunction("FILTER(Provinha3a!C:C,Provinha3a!A:A=A38)"),8.49)</f>
        <v>8.49</v>
      </c>
      <c r="F38" s="7" t="n">
        <f aca="false">MAX(G38,H38)</f>
        <v>9.92</v>
      </c>
      <c r="G38" s="7" t="n">
        <f aca="false">IFERROR(__xludf.dummyfunction("FILTER(Provinha2b!C:C,Provinha2b!A:A=A38)"),9.92)</f>
        <v>9.92</v>
      </c>
      <c r="H38" s="7" t="n">
        <f aca="false">IFERROR(__xludf.dummyfunction("FILTER(Provinha2a!C:C,Provinha2a!A:A=A38)"),9.46)</f>
        <v>9.46</v>
      </c>
      <c r="I38" s="7" t="n">
        <f aca="false">MAX(J38,K38)</f>
        <v>9.45</v>
      </c>
      <c r="J38" s="7" t="n">
        <f aca="false">IFERROR(__xludf.dummyfunction("FILTER('Provinha1b-Parte1'!C:C,'Provinha1b-Parte1'!A:A=A38)+FILTER('Provinha1b-Parte2'!C:C,'Provinha1b-Parte2'!A:A=A38)"),9.45)</f>
        <v>9.45</v>
      </c>
      <c r="K38" s="7" t="n">
        <f aca="false">IFERROR(__xludf.dummyfunction("FILTER('Provinha1a-Parte1'!C:C,'Provinha1a-Parte1'!A:A=A38)+FILTER('Provinha1a-Parte2'!C:C,'Provinha1a-Parte2'!A:A=A38)"),7.12)</f>
        <v>7.12</v>
      </c>
    </row>
    <row r="39" customFormat="false" ht="15.75" hidden="false" customHeight="false" outlineLevel="0" collapsed="false">
      <c r="A39" s="6" t="n">
        <v>10276928</v>
      </c>
      <c r="B39" s="7" t="n">
        <f aca="false">(C39+F39+I39)/3</f>
        <v>8.02</v>
      </c>
      <c r="C39" s="7" t="n">
        <f aca="false">MAX(D39,E39)</f>
        <v>6.21</v>
      </c>
      <c r="D39" s="7" t="n">
        <f aca="false">IFERROR(__xludf.dummyfunction("FILTER(Provinha3c!C:C,Provinha3c!A:A=A39)"),5.54)</f>
        <v>5.54</v>
      </c>
      <c r="E39" s="7" t="n">
        <f aca="false">IFERROR(__xludf.dummyfunction("FILTER(Provinha3a!C:C,Provinha3a!A:A=A39)"),6.21)</f>
        <v>6.21</v>
      </c>
      <c r="F39" s="7" t="n">
        <f aca="false">MAX(G39,H39)</f>
        <v>8.7</v>
      </c>
      <c r="G39" s="7" t="n">
        <f aca="false">IFERROR(__xludf.dummyfunction("FILTER(Provinha2b!C:C,Provinha2b!A:A=A39)"),8.7)</f>
        <v>8.7</v>
      </c>
      <c r="H39" s="7" t="n">
        <f aca="false">IFERROR(__xludf.dummyfunction("FILTER(Provinha2a!C:C,Provinha2a!A:A=A39)"),6.77)</f>
        <v>6.77</v>
      </c>
      <c r="I39" s="7" t="n">
        <f aca="false">MAX(J39,K39)</f>
        <v>9.15</v>
      </c>
      <c r="J39" s="7" t="n">
        <f aca="false">IFERROR(__xludf.dummyfunction("FILTER('Provinha1b-Parte1'!C:C,'Provinha1b-Parte1'!A:A=A39)+FILTER('Provinha1b-Parte2'!C:C,'Provinha1b-Parte2'!A:A=A39)"),9.15)</f>
        <v>9.15</v>
      </c>
      <c r="K39" s="7" t="n">
        <f aca="false">IFERROR(__xludf.dummyfunction("FILTER('Provinha1a-Parte1'!C:C,'Provinha1a-Parte1'!A:A=A39)+FILTER('Provinha1a-Parte2'!C:C,'Provinha1a-Parte2'!A:A=A39)"),8.28)</f>
        <v>8.28</v>
      </c>
    </row>
    <row r="40" customFormat="false" ht="15.75" hidden="false" customHeight="false" outlineLevel="0" collapsed="false">
      <c r="A40" s="6" t="n">
        <v>10276932</v>
      </c>
      <c r="B40" s="7" t="n">
        <f aca="false">(C40+F40+I40)/3</f>
        <v>9.47333333333333</v>
      </c>
      <c r="C40" s="7" t="n">
        <f aca="false">MAX(D40,E40)</f>
        <v>9.43</v>
      </c>
      <c r="D40" s="7" t="str">
        <f aca="false">IFERROR(__xludf.dummyfunction("FILTER(Provinha3c!C:C,Provinha3c!A:A=A40)"),"")</f>
        <v/>
      </c>
      <c r="E40" s="7" t="n">
        <f aca="false">IFERROR(__xludf.dummyfunction("FILTER(Provinha3a!C:C,Provinha3a!A:A=A40)"),9.43)</f>
        <v>9.43</v>
      </c>
      <c r="F40" s="7" t="n">
        <f aca="false">MAX(G40,H40)</f>
        <v>9.54</v>
      </c>
      <c r="G40" s="7" t="n">
        <f aca="false">IFERROR(__xludf.dummyfunction("FILTER(Provinha2b!C:C,Provinha2b!A:A=A40)"),9.33)</f>
        <v>9.33</v>
      </c>
      <c r="H40" s="7" t="n">
        <f aca="false">IFERROR(__xludf.dummyfunction("FILTER(Provinha2a!C:C,Provinha2a!A:A=A40)"),9.54)</f>
        <v>9.54</v>
      </c>
      <c r="I40" s="7" t="n">
        <f aca="false">MAX(J40,K40)</f>
        <v>9.45</v>
      </c>
      <c r="J40" s="7" t="n">
        <f aca="false">IFERROR(__xludf.dummyfunction("FILTER('Provinha1b-Parte1'!C:C,'Provinha1b-Parte1'!A:A=A40)+FILTER('Provinha1b-Parte2'!C:C,'Provinha1b-Parte2'!A:A=A40)"),9.45)</f>
        <v>9.45</v>
      </c>
      <c r="K40" s="7" t="n">
        <f aca="false">IFERROR(__xludf.dummyfunction("FILTER('Provinha1a-Parte1'!C:C,'Provinha1a-Parte1'!A:A=A40)+FILTER('Provinha1a-Parte2'!C:C,'Provinha1a-Parte2'!A:A=A40)"),5.95)</f>
        <v>5.95</v>
      </c>
    </row>
    <row r="41" customFormat="false" ht="15.75" hidden="false" customHeight="false" outlineLevel="0" collapsed="false">
      <c r="A41" s="6" t="n">
        <v>10276949</v>
      </c>
      <c r="B41" s="7" t="n">
        <f aca="false">(C41+F41+I41)/3</f>
        <v>7.30333333333333</v>
      </c>
      <c r="C41" s="7" t="n">
        <f aca="false">MAX(D41,E41)</f>
        <v>7.81</v>
      </c>
      <c r="D41" s="7" t="n">
        <f aca="false">IFERROR(__xludf.dummyfunction("FILTER(Provinha3c!C:C,Provinha3c!A:A=A41)"),5.25)</f>
        <v>5.25</v>
      </c>
      <c r="E41" s="7" t="n">
        <f aca="false">IFERROR(__xludf.dummyfunction("FILTER(Provinha3a!C:C,Provinha3a!A:A=A41)"),7.81)</f>
        <v>7.81</v>
      </c>
      <c r="F41" s="7" t="n">
        <f aca="false">MAX(G41,H41)</f>
        <v>7.08</v>
      </c>
      <c r="G41" s="7" t="n">
        <f aca="false">IFERROR(__xludf.dummyfunction("FILTER(Provinha2b!C:C,Provinha2b!A:A=A41)"),7.08)</f>
        <v>7.08</v>
      </c>
      <c r="H41" s="7" t="n">
        <f aca="false">IFERROR(__xludf.dummyfunction("FILTER(Provinha2a!C:C,Provinha2a!A:A=A41)"),5.6)</f>
        <v>5.6</v>
      </c>
      <c r="I41" s="7" t="n">
        <f aca="false">MAX(J41,K41)</f>
        <v>7.02</v>
      </c>
      <c r="J41" s="7" t="n">
        <f aca="false">IFERROR(__xludf.dummyfunction("FILTER('Provinha1b-Parte1'!C:C,'Provinha1b-Parte1'!A:A=A41)+FILTER('Provinha1b-Parte2'!C:C,'Provinha1b-Parte2'!A:A=A41)"),7.02)</f>
        <v>7.02</v>
      </c>
      <c r="K41" s="7" t="n">
        <f aca="false">IFERROR(__xludf.dummyfunction("FILTER('Provinha1a-Parte1'!C:C,'Provinha1a-Parte1'!A:A=A41)+FILTER('Provinha1a-Parte2'!C:C,'Provinha1a-Parte2'!A:A=A41)"),6.46)</f>
        <v>6.46</v>
      </c>
    </row>
    <row r="42" customFormat="false" ht="15.75" hidden="false" customHeight="false" outlineLevel="0" collapsed="false">
      <c r="A42" s="6" t="n">
        <v>10276953</v>
      </c>
      <c r="B42" s="7" t="n">
        <f aca="false">(C42+F42+I42)/3</f>
        <v>6.83333333333333</v>
      </c>
      <c r="C42" s="7" t="n">
        <f aca="false">MAX(D42,E42)</f>
        <v>5.56</v>
      </c>
      <c r="D42" s="7" t="n">
        <f aca="false">IFERROR(__xludf.dummyfunction("FILTER(Provinha3c!C:C,Provinha3c!A:A=A42)"),5.35)</f>
        <v>5.35</v>
      </c>
      <c r="E42" s="7" t="n">
        <f aca="false">IFERROR(__xludf.dummyfunction("FILTER(Provinha3a!C:C,Provinha3a!A:A=A42)"),5.56)</f>
        <v>5.56</v>
      </c>
      <c r="F42" s="7" t="n">
        <f aca="false">MAX(G42,H42)</f>
        <v>7.25</v>
      </c>
      <c r="G42" s="7" t="n">
        <f aca="false">IFERROR(__xludf.dummyfunction("FILTER(Provinha2b!C:C,Provinha2b!A:A=A42)"),7.25)</f>
        <v>7.25</v>
      </c>
      <c r="H42" s="7" t="n">
        <f aca="false">IFERROR(__xludf.dummyfunction("FILTER(Provinha2a!C:C,Provinha2a!A:A=A42)"),3.84)</f>
        <v>3.84</v>
      </c>
      <c r="I42" s="7" t="n">
        <f aca="false">MAX(J42,K42)</f>
        <v>7.69</v>
      </c>
      <c r="J42" s="7" t="n">
        <f aca="false">IFERROR(__xludf.dummyfunction("FILTER('Provinha1b-Parte1'!C:C,'Provinha1b-Parte1'!A:A=A42)+FILTER('Provinha1b-Parte2'!C:C,'Provinha1b-Parte2'!A:A=A42)"),7.69)</f>
        <v>7.69</v>
      </c>
      <c r="K42" s="7" t="n">
        <f aca="false">IFERROR(__xludf.dummyfunction("FILTER('Provinha1a-Parte1'!C:C,'Provinha1a-Parte1'!A:A=A42)+FILTER('Provinha1a-Parte2'!C:C,'Provinha1a-Parte2'!A:A=A42)"),7.19)</f>
        <v>7.19</v>
      </c>
    </row>
    <row r="43" customFormat="false" ht="15.75" hidden="false" customHeight="false" outlineLevel="0" collapsed="false">
      <c r="A43" s="6" t="n">
        <v>10276960</v>
      </c>
      <c r="B43" s="7" t="n">
        <f aca="false">(C43+F43+I43)/3</f>
        <v>8.6</v>
      </c>
      <c r="C43" s="7" t="n">
        <f aca="false">MAX(D43,E43)</f>
        <v>6.5</v>
      </c>
      <c r="D43" s="7" t="n">
        <f aca="false">IFERROR(__xludf.dummyfunction("FILTER(Provinha3c!C:C,Provinha3c!A:A=A43)"),1)</f>
        <v>1</v>
      </c>
      <c r="E43" s="7" t="n">
        <f aca="false">IFERROR(__xludf.dummyfunction("FILTER(Provinha3a!C:C,Provinha3a!A:A=A43)"),6.5)</f>
        <v>6.5</v>
      </c>
      <c r="F43" s="7" t="n">
        <f aca="false">MAX(G43,H43)</f>
        <v>9.65</v>
      </c>
      <c r="G43" s="7" t="n">
        <f aca="false">IFERROR(__xludf.dummyfunction("FILTER(Provinha2b!C:C,Provinha2b!A:A=A43)"),9.65)</f>
        <v>9.65</v>
      </c>
      <c r="H43" s="7" t="n">
        <f aca="false">IFERROR(__xludf.dummyfunction("FILTER(Provinha2a!C:C,Provinha2a!A:A=A43)"),7.95)</f>
        <v>7.95</v>
      </c>
      <c r="I43" s="7" t="n">
        <f aca="false">MAX(J43,K43)</f>
        <v>9.65</v>
      </c>
      <c r="J43" s="7" t="n">
        <f aca="false">IFERROR(__xludf.dummyfunction("FILTER('Provinha1b-Parte1'!C:C,'Provinha1b-Parte1'!A:A=A43)+FILTER('Provinha1b-Parte2'!C:C,'Provinha1b-Parte2'!A:A=A43)"),9.65)</f>
        <v>9.65</v>
      </c>
      <c r="K43" s="7" t="n">
        <f aca="false">IFERROR(__xludf.dummyfunction("FILTER('Provinha1a-Parte1'!C:C,'Provinha1a-Parte1'!A:A=A43)+FILTER('Provinha1a-Parte2'!C:C,'Provinha1a-Parte2'!A:A=A43)"),6.32)</f>
        <v>6.32</v>
      </c>
    </row>
    <row r="44" customFormat="false" ht="15.75" hidden="false" customHeight="false" outlineLevel="0" collapsed="false">
      <c r="A44" s="6" t="n">
        <v>10276974</v>
      </c>
      <c r="B44" s="7" t="n">
        <f aca="false">(C44+F44+I44)/3</f>
        <v>6.70666666666667</v>
      </c>
      <c r="C44" s="7" t="n">
        <f aca="false">MAX(D44,E44)</f>
        <v>5.26</v>
      </c>
      <c r="D44" s="7" t="n">
        <f aca="false">IFERROR(__xludf.dummyfunction("FILTER(Provinha3c!C:C,Provinha3c!A:A=A44)"),4.73)</f>
        <v>4.73</v>
      </c>
      <c r="E44" s="7" t="n">
        <f aca="false">IFERROR(__xludf.dummyfunction("FILTER(Provinha3a!C:C,Provinha3a!A:A=A44)"),5.26)</f>
        <v>5.26</v>
      </c>
      <c r="F44" s="7" t="n">
        <f aca="false">MAX(G44,H44)</f>
        <v>6.52</v>
      </c>
      <c r="G44" s="7" t="n">
        <f aca="false">IFERROR(__xludf.dummyfunction("FILTER(Provinha2b!C:C,Provinha2b!A:A=A44)"),6.52)</f>
        <v>6.52</v>
      </c>
      <c r="H44" s="7" t="n">
        <f aca="false">IFERROR(__xludf.dummyfunction("FILTER(Provinha2a!C:C,Provinha2a!A:A=A44)"),3.03)</f>
        <v>3.03</v>
      </c>
      <c r="I44" s="7" t="n">
        <f aca="false">MAX(J44,K44)</f>
        <v>8.34</v>
      </c>
      <c r="J44" s="7" t="n">
        <f aca="false">IFERROR(__xludf.dummyfunction("FILTER('Provinha1b-Parte1'!C:C,'Provinha1b-Parte1'!A:A=A44)+FILTER('Provinha1b-Parte2'!C:C,'Provinha1b-Parte2'!A:A=A44)"),7.97)</f>
        <v>7.97</v>
      </c>
      <c r="K44" s="7" t="n">
        <f aca="false">IFERROR(__xludf.dummyfunction("FILTER('Provinha1a-Parte1'!C:C,'Provinha1a-Parte1'!A:A=A44)+FILTER('Provinha1a-Parte2'!C:C,'Provinha1a-Parte2'!A:A=A44)"),8.34)</f>
        <v>8.34</v>
      </c>
    </row>
    <row r="45" customFormat="false" ht="15.75" hidden="false" customHeight="false" outlineLevel="0" collapsed="false">
      <c r="A45" s="6" t="n">
        <v>10276981</v>
      </c>
      <c r="B45" s="7" t="n">
        <f aca="false">(C45+F45+I45)/3</f>
        <v>8.81333333333333</v>
      </c>
      <c r="C45" s="7" t="n">
        <f aca="false">MAX(D45,E45)</f>
        <v>7.38</v>
      </c>
      <c r="D45" s="7" t="n">
        <f aca="false">IFERROR(__xludf.dummyfunction("FILTER(Provinha3c!C:C,Provinha3c!A:A=A45)"),4.22)</f>
        <v>4.22</v>
      </c>
      <c r="E45" s="7" t="n">
        <f aca="false">IFERROR(__xludf.dummyfunction("FILTER(Provinha3a!C:C,Provinha3a!A:A=A45)"),7.38)</f>
        <v>7.38</v>
      </c>
      <c r="F45" s="7" t="n">
        <f aca="false">MAX(G45,H45)</f>
        <v>9.33</v>
      </c>
      <c r="G45" s="7" t="n">
        <f aca="false">IFERROR(__xludf.dummyfunction("FILTER(Provinha2b!C:C,Provinha2b!A:A=A45)"),9.33)</f>
        <v>9.33</v>
      </c>
      <c r="H45" s="7" t="str">
        <f aca="false">IFERROR(__xludf.dummyfunction("FILTER(Provinha2a!C:C,Provinha2a!A:A=A45)"),"")</f>
        <v/>
      </c>
      <c r="I45" s="7" t="n">
        <f aca="false">MAX(J45,K45)</f>
        <v>9.73</v>
      </c>
      <c r="J45" s="7" t="n">
        <f aca="false">IFERROR(__xludf.dummyfunction("FILTER('Provinha1b-Parte1'!C:C,'Provinha1b-Parte1'!A:A=A45)+FILTER('Provinha1b-Parte2'!C:C,'Provinha1b-Parte2'!A:A=A45)"),9.73)</f>
        <v>9.73</v>
      </c>
      <c r="K45" s="7" t="n">
        <f aca="false">IFERROR(__xludf.dummyfunction("FILTER('Provinha1a-Parte1'!C:C,'Provinha1a-Parte1'!A:A=A45)+FILTER('Provinha1a-Parte2'!C:C,'Provinha1a-Parte2'!A:A=A45)"),9.15)</f>
        <v>9.15</v>
      </c>
    </row>
    <row r="46" customFormat="false" ht="15.75" hidden="false" customHeight="false" outlineLevel="0" collapsed="false">
      <c r="A46" s="6" t="n">
        <v>10276995</v>
      </c>
      <c r="B46" s="7" t="n">
        <f aca="false">(C46+F46+I46)/3</f>
        <v>9.53</v>
      </c>
      <c r="C46" s="7" t="n">
        <f aca="false">MAX(D46,E46)</f>
        <v>8.67</v>
      </c>
      <c r="D46" s="7" t="n">
        <f aca="false">IFERROR(__xludf.dummyfunction("FILTER(Provinha3c!C:C,Provinha3c!A:A=A46)"),8.67)</f>
        <v>8.67</v>
      </c>
      <c r="E46" s="7" t="n">
        <f aca="false">IFERROR(__xludf.dummyfunction("FILTER(Provinha3a!C:C,Provinha3a!A:A=A46)"),6.79)</f>
        <v>6.79</v>
      </c>
      <c r="F46" s="7" t="n">
        <f aca="false">MAX(G46,H46)</f>
        <v>9.92</v>
      </c>
      <c r="G46" s="7" t="n">
        <f aca="false">IFERROR(__xludf.dummyfunction("FILTER(Provinha2b!C:C,Provinha2b!A:A=A46)"),7.7)</f>
        <v>7.7</v>
      </c>
      <c r="H46" s="7" t="n">
        <f aca="false">IFERROR(__xludf.dummyfunction("FILTER(Provinha2a!C:C,Provinha2a!A:A=A46)"),9.92)</f>
        <v>9.92</v>
      </c>
      <c r="I46" s="7" t="n">
        <f aca="false">MAX(J46,K46)</f>
        <v>10</v>
      </c>
      <c r="J46" s="7" t="n">
        <f aca="false">IFERROR(__xludf.dummyfunction("FILTER('Provinha1b-Parte1'!C:C,'Provinha1b-Parte1'!A:A=A46)+FILTER('Provinha1b-Parte2'!C:C,'Provinha1b-Parte2'!A:A=A46)"),10)</f>
        <v>10</v>
      </c>
      <c r="K46" s="7" t="n">
        <f aca="false">IFERROR(__xludf.dummyfunction("FILTER('Provinha1a-Parte1'!C:C,'Provinha1a-Parte1'!A:A=A46)+FILTER('Provinha1a-Parte2'!C:C,'Provinha1a-Parte2'!A:A=A46)"),9.59)</f>
        <v>9.59</v>
      </c>
    </row>
    <row r="47" customFormat="false" ht="15.75" hidden="false" customHeight="false" outlineLevel="0" collapsed="false">
      <c r="A47" s="6" t="n">
        <v>10277001</v>
      </c>
      <c r="B47" s="7" t="n">
        <f aca="false">(C47+F47+I47)/3</f>
        <v>0</v>
      </c>
      <c r="C47" s="7" t="n">
        <f aca="false">MAX(D47,E47)</f>
        <v>0</v>
      </c>
      <c r="D47" s="7" t="str">
        <f aca="false">IFERROR(__xludf.dummyfunction("FILTER(Provinha3c!C:C,Provinha3c!A:A=A47)"),"")</f>
        <v/>
      </c>
      <c r="E47" s="7" t="str">
        <f aca="false">IFERROR(__xludf.dummyfunction("FILTER(Provinha3a!C:C,Provinha3a!A:A=A47)"),"")</f>
        <v/>
      </c>
      <c r="F47" s="7" t="n">
        <f aca="false">MAX(G47,H47)</f>
        <v>0</v>
      </c>
      <c r="G47" s="7" t="str">
        <f aca="false">IFERROR(__xludf.dummyfunction("FILTER(Provinha2b!C:C,Provinha2b!A:A=A47)"),"")</f>
        <v/>
      </c>
      <c r="H47" s="7" t="str">
        <f aca="false">IFERROR(__xludf.dummyfunction("FILTER(Provinha2a!C:C,Provinha2a!A:A=A47)"),"")</f>
        <v/>
      </c>
      <c r="I47" s="7" t="n">
        <f aca="false">MAX(J47,K47)</f>
        <v>0</v>
      </c>
      <c r="J47" s="7" t="n">
        <f aca="false">IFERROR(__xludf.dummyfunction("FILTER('Provinha1b-Parte1'!C:C,'Provinha1b-Parte1'!A:A=A47)+FILTER('Provinha1b-Parte2'!C:C,'Provinha1b-Parte2'!A:A=A47)"),0)</f>
        <v>0</v>
      </c>
      <c r="K47" s="7" t="n">
        <f aca="false">IFERROR(__xludf.dummyfunction("FILTER('Provinha1a-Parte1'!C:C,'Provinha1a-Parte1'!A:A=A47)+FILTER('Provinha1a-Parte2'!C:C,'Provinha1a-Parte2'!A:A=A47)"),0)</f>
        <v>0</v>
      </c>
    </row>
    <row r="48" customFormat="false" ht="15.75" hidden="false" customHeight="false" outlineLevel="0" collapsed="false">
      <c r="A48" s="6" t="n">
        <v>10277015</v>
      </c>
      <c r="B48" s="7" t="n">
        <f aca="false">(C48+F48+I48)/3</f>
        <v>7.19666666666667</v>
      </c>
      <c r="C48" s="7" t="n">
        <f aca="false">MAX(D48,E48)</f>
        <v>6.3</v>
      </c>
      <c r="D48" s="7" t="n">
        <f aca="false">IFERROR(__xludf.dummyfunction("FILTER(Provinha3c!C:C,Provinha3c!A:A=A48)"),6.3)</f>
        <v>6.3</v>
      </c>
      <c r="E48" s="7" t="n">
        <f aca="false">IFERROR(__xludf.dummyfunction("FILTER(Provinha3a!C:C,Provinha3a!A:A=A48)"),5.64)</f>
        <v>5.64</v>
      </c>
      <c r="F48" s="7" t="n">
        <f aca="false">MAX(G48,H48)</f>
        <v>7.52</v>
      </c>
      <c r="G48" s="7" t="n">
        <f aca="false">IFERROR(__xludf.dummyfunction("FILTER(Provinha2b!C:C,Provinha2b!A:A=A48)"),7.52)</f>
        <v>7.52</v>
      </c>
      <c r="H48" s="7" t="n">
        <f aca="false">IFERROR(__xludf.dummyfunction("FILTER(Provinha2a!C:C,Provinha2a!A:A=A48)"),3.28)</f>
        <v>3.28</v>
      </c>
      <c r="I48" s="7" t="n">
        <f aca="false">MAX(J48,K48)</f>
        <v>7.77</v>
      </c>
      <c r="J48" s="7" t="n">
        <f aca="false">IFERROR(__xludf.dummyfunction("FILTER('Provinha1b-Parte1'!C:C,'Provinha1b-Parte1'!A:A=A48)+FILTER('Provinha1b-Parte2'!C:C,'Provinha1b-Parte2'!A:A=A48)"),7.77)</f>
        <v>7.77</v>
      </c>
      <c r="K48" s="7" t="n">
        <f aca="false">IFERROR(__xludf.dummyfunction("FILTER('Provinha1a-Parte1'!C:C,'Provinha1a-Parte1'!A:A=A48)+FILTER('Provinha1a-Parte2'!C:C,'Provinha1a-Parte2'!A:A=A48)"),6.23)</f>
        <v>6.23</v>
      </c>
    </row>
    <row r="49" customFormat="false" ht="15.75" hidden="false" customHeight="false" outlineLevel="0" collapsed="false">
      <c r="A49" s="6" t="n">
        <v>10277022</v>
      </c>
      <c r="B49" s="7" t="n">
        <f aca="false">(C49+F49+I49)/3</f>
        <v>8.24666666666667</v>
      </c>
      <c r="C49" s="7" t="n">
        <f aca="false">MAX(D49,E49)</f>
        <v>7.58</v>
      </c>
      <c r="D49" s="7" t="n">
        <f aca="false">IFERROR(__xludf.dummyfunction("FILTER(Provinha3c!C:C,Provinha3c!A:A=A49)"),7.58)</f>
        <v>7.58</v>
      </c>
      <c r="E49" s="7" t="n">
        <f aca="false">IFERROR(__xludf.dummyfunction("FILTER(Provinha3a!C:C,Provinha3a!A:A=A49)"),1.47)</f>
        <v>1.47</v>
      </c>
      <c r="F49" s="7" t="n">
        <f aca="false">MAX(G49,H49)</f>
        <v>8</v>
      </c>
      <c r="G49" s="7" t="n">
        <f aca="false">IFERROR(__xludf.dummyfunction("FILTER(Provinha2b!C:C,Provinha2b!A:A=A49)"),8)</f>
        <v>8</v>
      </c>
      <c r="H49" s="7" t="n">
        <f aca="false">IFERROR(__xludf.dummyfunction("FILTER(Provinha2a!C:C,Provinha2a!A:A=A49)"),7.33)</f>
        <v>7.33</v>
      </c>
      <c r="I49" s="7" t="n">
        <f aca="false">MAX(J49,K49)</f>
        <v>9.16</v>
      </c>
      <c r="J49" s="7" t="n">
        <f aca="false">IFERROR(__xludf.dummyfunction("FILTER('Provinha1b-Parte1'!C:C,'Provinha1b-Parte1'!A:A=A49)+FILTER('Provinha1b-Parte2'!C:C,'Provinha1b-Parte2'!A:A=A49)"),8.52)</f>
        <v>8.52</v>
      </c>
      <c r="K49" s="7" t="n">
        <f aca="false">IFERROR(__xludf.dummyfunction("FILTER('Provinha1a-Parte1'!C:C,'Provinha1a-Parte1'!A:A=A49)+FILTER('Provinha1a-Parte2'!C:C,'Provinha1a-Parte2'!A:A=A49)"),9.16)</f>
        <v>9.16</v>
      </c>
    </row>
    <row r="50" customFormat="false" ht="15.75" hidden="false" customHeight="false" outlineLevel="0" collapsed="false">
      <c r="A50" s="6" t="n">
        <v>10277036</v>
      </c>
      <c r="B50" s="7" t="n">
        <f aca="false">(C50+F50+I50)/3</f>
        <v>6.67666666666667</v>
      </c>
      <c r="C50" s="7" t="n">
        <f aca="false">MAX(D50,E50)</f>
        <v>8.42</v>
      </c>
      <c r="D50" s="7" t="n">
        <f aca="false">IFERROR(__xludf.dummyfunction("FILTER(Provinha3c!C:C,Provinha3c!A:A=A50)"),8.42)</f>
        <v>8.42</v>
      </c>
      <c r="E50" s="7" t="n">
        <f aca="false">IFERROR(__xludf.dummyfunction("FILTER(Provinha3a!C:C,Provinha3a!A:A=A50)"),1)</f>
        <v>1</v>
      </c>
      <c r="F50" s="7" t="n">
        <f aca="false">MAX(G50,H50)</f>
        <v>4.53</v>
      </c>
      <c r="G50" s="7" t="n">
        <f aca="false">IFERROR(__xludf.dummyfunction("FILTER(Provinha2b!C:C,Provinha2b!A:A=A50)"),4.53)</f>
        <v>4.53</v>
      </c>
      <c r="H50" s="7" t="n">
        <f aca="false">IFERROR(__xludf.dummyfunction("FILTER(Provinha2a!C:C,Provinha2a!A:A=A50)"),1.76)</f>
        <v>1.76</v>
      </c>
      <c r="I50" s="7" t="n">
        <f aca="false">MAX(J50,K50)</f>
        <v>7.08</v>
      </c>
      <c r="J50" s="7" t="n">
        <f aca="false">IFERROR(__xludf.dummyfunction("FILTER('Provinha1b-Parte1'!C:C,'Provinha1b-Parte1'!A:A=A50)+FILTER('Provinha1b-Parte2'!C:C,'Provinha1b-Parte2'!A:A=A50)"),7.08)</f>
        <v>7.08</v>
      </c>
      <c r="K50" s="7" t="n">
        <f aca="false">IFERROR(__xludf.dummyfunction("FILTER('Provinha1a-Parte1'!C:C,'Provinha1a-Parte1'!A:A=A50)+FILTER('Provinha1a-Parte2'!C:C,'Provinha1a-Parte2'!A:A=A50)"),6.3)</f>
        <v>6.3</v>
      </c>
    </row>
    <row r="51" customFormat="false" ht="15.75" hidden="false" customHeight="false" outlineLevel="0" collapsed="false">
      <c r="A51" s="6" t="n">
        <v>10277040</v>
      </c>
      <c r="B51" s="7" t="n">
        <f aca="false">(C51+F51+I51)/3</f>
        <v>7.45333333333333</v>
      </c>
      <c r="C51" s="7" t="n">
        <f aca="false">MAX(D51,E51)</f>
        <v>4.71</v>
      </c>
      <c r="D51" s="7" t="n">
        <f aca="false">IFERROR(__xludf.dummyfunction("FILTER(Provinha3c!C:C,Provinha3c!A:A=A51)"),4.71)</f>
        <v>4.71</v>
      </c>
      <c r="E51" s="7" t="n">
        <f aca="false">IFERROR(__xludf.dummyfunction("FILTER(Provinha3a!C:C,Provinha3a!A:A=A51)"),4.57)</f>
        <v>4.57</v>
      </c>
      <c r="F51" s="7" t="n">
        <f aca="false">MAX(G51,H51)</f>
        <v>8.58</v>
      </c>
      <c r="G51" s="7" t="n">
        <f aca="false">IFERROR(__xludf.dummyfunction("FILTER(Provinha2b!C:C,Provinha2b!A:A=A51)"),8.58)</f>
        <v>8.58</v>
      </c>
      <c r="H51" s="7" t="n">
        <f aca="false">IFERROR(__xludf.dummyfunction("FILTER(Provinha2a!C:C,Provinha2a!A:A=A51)"),7.59)</f>
        <v>7.59</v>
      </c>
      <c r="I51" s="7" t="n">
        <f aca="false">MAX(J51,K51)</f>
        <v>9.07</v>
      </c>
      <c r="J51" s="7" t="n">
        <f aca="false">IFERROR(__xludf.dummyfunction("FILTER('Provinha1b-Parte1'!C:C,'Provinha1b-Parte1'!A:A=A51)+FILTER('Provinha1b-Parte2'!C:C,'Provinha1b-Parte2'!A:A=A51)"),9.07)</f>
        <v>9.07</v>
      </c>
      <c r="K51" s="7" t="n">
        <f aca="false">IFERROR(__xludf.dummyfunction("FILTER('Provinha1a-Parte1'!C:C,'Provinha1a-Parte1'!A:A=A51)+FILTER('Provinha1a-Parte2'!C:C,'Provinha1a-Parte2'!A:A=A51)"),8.15)</f>
        <v>8.15</v>
      </c>
    </row>
    <row r="52" customFormat="false" ht="15.75" hidden="false" customHeight="false" outlineLevel="0" collapsed="false">
      <c r="A52" s="6" t="n">
        <v>10310342</v>
      </c>
      <c r="B52" s="7" t="n">
        <f aca="false">(C52+F52+I52)/3</f>
        <v>7</v>
      </c>
      <c r="C52" s="7" t="n">
        <f aca="false">MAX(D52,E52)</f>
        <v>4.5</v>
      </c>
      <c r="D52" s="7" t="n">
        <f aca="false">IFERROR(__xludf.dummyfunction("FILTER(Provinha3c!C:C,Provinha3c!A:A=A52)"),4.5)</f>
        <v>4.5</v>
      </c>
      <c r="E52" s="7" t="n">
        <f aca="false">IFERROR(__xludf.dummyfunction("FILTER(Provinha3a!C:C,Provinha3a!A:A=A52)"),2.41)</f>
        <v>2.41</v>
      </c>
      <c r="F52" s="7" t="n">
        <f aca="false">MAX(G52,H52)</f>
        <v>7.25</v>
      </c>
      <c r="G52" s="7" t="n">
        <f aca="false">IFERROR(__xludf.dummyfunction("FILTER(Provinha2b!C:C,Provinha2b!A:A=A52)"),7.25)</f>
        <v>7.25</v>
      </c>
      <c r="H52" s="7" t="n">
        <f aca="false">IFERROR(__xludf.dummyfunction("FILTER(Provinha2a!C:C,Provinha2a!A:A=A52)"),4.69)</f>
        <v>4.69</v>
      </c>
      <c r="I52" s="7" t="n">
        <f aca="false">MAX(J52,K52)</f>
        <v>9.25</v>
      </c>
      <c r="J52" s="7" t="n">
        <f aca="false">IFERROR(__xludf.dummyfunction("FILTER('Provinha1b-Parte1'!C:C,'Provinha1b-Parte1'!A:A=A52)+FILTER('Provinha1b-Parte2'!C:C,'Provinha1b-Parte2'!A:A=A52)"),9.25)</f>
        <v>9.25</v>
      </c>
      <c r="K52" s="7" t="n">
        <f aca="false">IFERROR(__xludf.dummyfunction("FILTER('Provinha1a-Parte1'!C:C,'Provinha1a-Parte1'!A:A=A52)+FILTER('Provinha1a-Parte2'!C:C,'Provinha1a-Parte2'!A:A=A52)"),8.16)</f>
        <v>8.16</v>
      </c>
    </row>
    <row r="53" customFormat="false" ht="15.75" hidden="false" customHeight="false" outlineLevel="0" collapsed="false">
      <c r="A53" s="6" t="n">
        <v>10310471</v>
      </c>
      <c r="B53" s="7" t="n">
        <f aca="false">(C53+F53+I53)/3</f>
        <v>7.97666666666667</v>
      </c>
      <c r="C53" s="7" t="n">
        <f aca="false">MAX(D53,E53)</f>
        <v>5.75</v>
      </c>
      <c r="D53" s="7" t="n">
        <f aca="false">IFERROR(__xludf.dummyfunction("FILTER(Provinha3c!C:C,Provinha3c!A:A=A53)"),5.75)</f>
        <v>5.75</v>
      </c>
      <c r="E53" s="7" t="n">
        <f aca="false">IFERROR(__xludf.dummyfunction("FILTER(Provinha3a!C:C,Provinha3a!A:A=A53)"),3.9)</f>
        <v>3.9</v>
      </c>
      <c r="F53" s="7" t="n">
        <f aca="false">MAX(G53,H53)</f>
        <v>8.93</v>
      </c>
      <c r="G53" s="7" t="n">
        <f aca="false">IFERROR(__xludf.dummyfunction("FILTER(Provinha2b!C:C,Provinha2b!A:A=A53)"),8.93)</f>
        <v>8.93</v>
      </c>
      <c r="H53" s="7" t="n">
        <f aca="false">IFERROR(__xludf.dummyfunction("FILTER(Provinha2a!C:C,Provinha2a!A:A=A53)"),8.04)</f>
        <v>8.04</v>
      </c>
      <c r="I53" s="7" t="n">
        <f aca="false">MAX(J53,K53)</f>
        <v>9.25</v>
      </c>
      <c r="J53" s="7" t="n">
        <f aca="false">IFERROR(__xludf.dummyfunction("FILTER('Provinha1b-Parte1'!C:C,'Provinha1b-Parte1'!A:A=A53)+FILTER('Provinha1b-Parte2'!C:C,'Provinha1b-Parte2'!A:A=A53)"),9.25)</f>
        <v>9.25</v>
      </c>
      <c r="K53" s="7" t="n">
        <f aca="false">IFERROR(__xludf.dummyfunction("FILTER('Provinha1a-Parte1'!C:C,'Provinha1a-Parte1'!A:A=A53)+FILTER('Provinha1a-Parte2'!C:C,'Provinha1a-Parte2'!A:A=A53)"),9.23)</f>
        <v>9.23</v>
      </c>
    </row>
    <row r="54" customFormat="false" ht="15.75" hidden="false" customHeight="false" outlineLevel="0" collapsed="false">
      <c r="A54" s="6" t="n">
        <v>10310492</v>
      </c>
      <c r="B54" s="7" t="n">
        <f aca="false">(C54+F54+I54)/3</f>
        <v>5.42666666666667</v>
      </c>
      <c r="C54" s="7" t="n">
        <f aca="false">MAX(D54,E54)</f>
        <v>3</v>
      </c>
      <c r="D54" s="7" t="n">
        <f aca="false">IFERROR(__xludf.dummyfunction("FILTER(Provinha3c!C:C,Provinha3c!A:A=A54)"),3)</f>
        <v>3</v>
      </c>
      <c r="E54" s="7" t="n">
        <f aca="false">IFERROR(__xludf.dummyfunction("FILTER(Provinha3a!C:C,Provinha3a!A:A=A54)"),0.76)</f>
        <v>0.76</v>
      </c>
      <c r="F54" s="7" t="n">
        <f aca="false">MAX(G54,H54)</f>
        <v>6.35</v>
      </c>
      <c r="G54" s="7" t="n">
        <f aca="false">IFERROR(__xludf.dummyfunction("FILTER(Provinha2b!C:C,Provinha2b!A:A=A54)"),6.35)</f>
        <v>6.35</v>
      </c>
      <c r="H54" s="7" t="n">
        <f aca="false">IFERROR(__xludf.dummyfunction("FILTER(Provinha2a!C:C,Provinha2a!A:A=A54)"),4.4)</f>
        <v>4.4</v>
      </c>
      <c r="I54" s="7" t="n">
        <f aca="false">MAX(J54,K54)</f>
        <v>6.93</v>
      </c>
      <c r="J54" s="7" t="n">
        <f aca="false">IFERROR(__xludf.dummyfunction("FILTER('Provinha1b-Parte1'!C:C,'Provinha1b-Parte1'!A:A=A54)+FILTER('Provinha1b-Parte2'!C:C,'Provinha1b-Parte2'!A:A=A54)"),0)</f>
        <v>0</v>
      </c>
      <c r="K54" s="7" t="n">
        <f aca="false">IFERROR(__xludf.dummyfunction("FILTER('Provinha1a-Parte1'!C:C,'Provinha1a-Parte1'!A:A=A54)+FILTER('Provinha1a-Parte2'!C:C,'Provinha1a-Parte2'!A:A=A54)"),6.93)</f>
        <v>6.93</v>
      </c>
    </row>
    <row r="55" customFormat="false" ht="15.75" hidden="false" customHeight="false" outlineLevel="0" collapsed="false">
      <c r="A55" s="6" t="n">
        <v>10310551</v>
      </c>
      <c r="B55" s="7" t="n">
        <f aca="false">(C55+F55+I55)/3</f>
        <v>6.81</v>
      </c>
      <c r="C55" s="7" t="n">
        <f aca="false">MAX(D55,E55)</f>
        <v>4.72</v>
      </c>
      <c r="D55" s="7" t="n">
        <f aca="false">IFERROR(__xludf.dummyfunction("FILTER(Provinha3c!C:C,Provinha3c!A:A=A55)"),4.72)</f>
        <v>4.72</v>
      </c>
      <c r="E55" s="7" t="n">
        <f aca="false">IFERROR(__xludf.dummyfunction("FILTER(Provinha3a!C:C,Provinha3a!A:A=A55)"),0.4)</f>
        <v>0.4</v>
      </c>
      <c r="F55" s="7" t="n">
        <f aca="false">MAX(G55,H55)</f>
        <v>6.18</v>
      </c>
      <c r="G55" s="7" t="n">
        <f aca="false">IFERROR(__xludf.dummyfunction("FILTER(Provinha2b!C:C,Provinha2b!A:A=A55)"),6.18)</f>
        <v>6.18</v>
      </c>
      <c r="H55" s="7" t="n">
        <f aca="false">IFERROR(__xludf.dummyfunction("FILTER(Provinha2a!C:C,Provinha2a!A:A=A55)"),4.24)</f>
        <v>4.24</v>
      </c>
      <c r="I55" s="7" t="n">
        <f aca="false">MAX(J55,K55)</f>
        <v>9.53</v>
      </c>
      <c r="J55" s="7" t="n">
        <f aca="false">IFERROR(__xludf.dummyfunction("FILTER('Provinha1b-Parte1'!C:C,'Provinha1b-Parte1'!A:A=A55)+FILTER('Provinha1b-Parte2'!C:C,'Provinha1b-Parte2'!A:A=A55)"),9.53)</f>
        <v>9.53</v>
      </c>
      <c r="K55" s="7" t="n">
        <f aca="false">IFERROR(__xludf.dummyfunction("FILTER('Provinha1a-Parte1'!C:C,'Provinha1a-Parte1'!A:A=A55)+FILTER('Provinha1a-Parte2'!C:C,'Provinha1a-Parte2'!A:A=A55)"),6.43)</f>
        <v>6.43</v>
      </c>
    </row>
    <row r="56" customFormat="false" ht="15.75" hidden="false" customHeight="false" outlineLevel="0" collapsed="false">
      <c r="A56" s="6" t="n">
        <v>10310655</v>
      </c>
      <c r="B56" s="7" t="n">
        <f aca="false">(C56+F56+I56)/3</f>
        <v>8.78666666666667</v>
      </c>
      <c r="C56" s="7" t="n">
        <f aca="false">MAX(D56,E56)</f>
        <v>8.59</v>
      </c>
      <c r="D56" s="7" t="str">
        <f aca="false">IFERROR(__xludf.dummyfunction("FILTER(Provinha3c!C:C,Provinha3c!A:A=A56)"),"")</f>
        <v/>
      </c>
      <c r="E56" s="7" t="n">
        <f aca="false">IFERROR(__xludf.dummyfunction("FILTER(Provinha3a!C:C,Provinha3a!A:A=A56)"),8.59)</f>
        <v>8.59</v>
      </c>
      <c r="F56" s="7" t="n">
        <f aca="false">MAX(G56,H56)</f>
        <v>8.7</v>
      </c>
      <c r="G56" s="7" t="n">
        <f aca="false">IFERROR(__xludf.dummyfunction("FILTER(Provinha2b!C:C,Provinha2b!A:A=A56)"),8.7)</f>
        <v>8.7</v>
      </c>
      <c r="H56" s="7" t="n">
        <f aca="false">IFERROR(__xludf.dummyfunction("FILTER(Provinha2a!C:C,Provinha2a!A:A=A56)"),3.74)</f>
        <v>3.74</v>
      </c>
      <c r="I56" s="7" t="n">
        <f aca="false">MAX(J56,K56)</f>
        <v>9.07</v>
      </c>
      <c r="J56" s="7" t="n">
        <f aca="false">IFERROR(__xludf.dummyfunction("FILTER('Provinha1b-Parte1'!C:C,'Provinha1b-Parte1'!A:A=A56)+FILTER('Provinha1b-Parte2'!C:C,'Provinha1b-Parte2'!A:A=A56)"),9.07)</f>
        <v>9.07</v>
      </c>
      <c r="K56" s="7" t="n">
        <f aca="false">IFERROR(__xludf.dummyfunction("FILTER('Provinha1a-Parte1'!C:C,'Provinha1a-Parte1'!A:A=A56)+FILTER('Provinha1a-Parte2'!C:C,'Provinha1a-Parte2'!A:A=A56)"),6.03)</f>
        <v>6.03</v>
      </c>
    </row>
    <row r="57" customFormat="false" ht="15.75" hidden="false" customHeight="false" outlineLevel="0" collapsed="false">
      <c r="A57" s="6" t="n">
        <v>10310662</v>
      </c>
      <c r="B57" s="7" t="n">
        <f aca="false">(C57+F57+I57)/3</f>
        <v>0</v>
      </c>
      <c r="C57" s="7" t="n">
        <f aca="false">MAX(D57,E57)</f>
        <v>0</v>
      </c>
      <c r="D57" s="7" t="str">
        <f aca="false">IFERROR(__xludf.dummyfunction("FILTER(Provinha3c!C:C,Provinha3c!A:A=A57)"),"")</f>
        <v/>
      </c>
      <c r="E57" s="7" t="str">
        <f aca="false">IFERROR(__xludf.dummyfunction("FILTER(Provinha3a!C:C,Provinha3a!A:A=A57)"),"")</f>
        <v/>
      </c>
      <c r="F57" s="7" t="n">
        <f aca="false">MAX(G57,H57)</f>
        <v>0</v>
      </c>
      <c r="G57" s="7" t="str">
        <f aca="false">IFERROR(__xludf.dummyfunction("FILTER(Provinha2b!C:C,Provinha2b!A:A=A57)"),"")</f>
        <v/>
      </c>
      <c r="H57" s="7" t="str">
        <f aca="false">IFERROR(__xludf.dummyfunction("FILTER(Provinha2a!C:C,Provinha2a!A:A=A57)"),"")</f>
        <v/>
      </c>
      <c r="I57" s="7" t="n">
        <f aca="false">MAX(J57,K57)</f>
        <v>0</v>
      </c>
      <c r="J57" s="7" t="n">
        <f aca="false">IFERROR(__xludf.dummyfunction("FILTER('Provinha1b-Parte1'!C:C,'Provinha1b-Parte1'!A:A=A57)+FILTER('Provinha1b-Parte2'!C:C,'Provinha1b-Parte2'!A:A=A57)"),0)</f>
        <v>0</v>
      </c>
      <c r="K57" s="7" t="n">
        <f aca="false">IFERROR(__xludf.dummyfunction("FILTER('Provinha1a-Parte1'!C:C,'Provinha1a-Parte1'!A:A=A57)+FILTER('Provinha1a-Parte2'!C:C,'Provinha1a-Parte2'!A:A=A57)"),0)</f>
        <v>0</v>
      </c>
    </row>
    <row r="58" customFormat="false" ht="15.75" hidden="false" customHeight="false" outlineLevel="0" collapsed="false">
      <c r="A58" s="6" t="n">
        <v>10310676</v>
      </c>
      <c r="B58" s="7" t="n">
        <f aca="false">(C58+F58+I58)/3</f>
        <v>6.38</v>
      </c>
      <c r="C58" s="7" t="n">
        <f aca="false">MAX(D58,E58)</f>
        <v>6.6</v>
      </c>
      <c r="D58" s="7" t="str">
        <f aca="false">IFERROR(__xludf.dummyfunction("FILTER(Provinha3c!C:C,Provinha3c!A:A=A58)"),"")</f>
        <v/>
      </c>
      <c r="E58" s="7" t="n">
        <f aca="false">IFERROR(__xludf.dummyfunction("FILTER(Provinha3a!C:C,Provinha3a!A:A=A58)"),6.6)</f>
        <v>6.6</v>
      </c>
      <c r="F58" s="7" t="n">
        <f aca="false">MAX(G58,H58)</f>
        <v>4.02</v>
      </c>
      <c r="G58" s="7" t="str">
        <f aca="false">IFERROR(__xludf.dummyfunction("FILTER(Provinha2b!C:C,Provinha2b!A:A=A58)"),"")</f>
        <v/>
      </c>
      <c r="H58" s="7" t="n">
        <f aca="false">IFERROR(__xludf.dummyfunction("FILTER(Provinha2a!C:C,Provinha2a!A:A=A58)"),4.02)</f>
        <v>4.02</v>
      </c>
      <c r="I58" s="7" t="n">
        <f aca="false">MAX(J58,K58)</f>
        <v>8.52</v>
      </c>
      <c r="J58" s="7" t="n">
        <f aca="false">IFERROR(__xludf.dummyfunction("FILTER('Provinha1b-Parte1'!C:C,'Provinha1b-Parte1'!A:A=A58)+FILTER('Provinha1b-Parte2'!C:C,'Provinha1b-Parte2'!A:A=A58)"),5.64)</f>
        <v>5.64</v>
      </c>
      <c r="K58" s="7" t="n">
        <f aca="false">IFERROR(__xludf.dummyfunction("FILTER('Provinha1a-Parte1'!C:C,'Provinha1a-Parte1'!A:A=A58)+FILTER('Provinha1a-Parte2'!C:C,'Provinha1a-Parte2'!A:A=A58)"),8.52)</f>
        <v>8.52</v>
      </c>
    </row>
    <row r="59" customFormat="false" ht="15.75" hidden="false" customHeight="false" outlineLevel="0" collapsed="false">
      <c r="A59" s="6" t="n">
        <v>10310700</v>
      </c>
      <c r="B59" s="7" t="n">
        <f aca="false">(C59+F59+I59)/3</f>
        <v>9.79666666666667</v>
      </c>
      <c r="C59" s="7" t="n">
        <f aca="false">MAX(D59,E59)</f>
        <v>10.5</v>
      </c>
      <c r="D59" s="7" t="n">
        <f aca="false">IFERROR(__xludf.dummyfunction("FILTER(Provinha3c!C:C,Provinha3c!A:A=A59)"),10.5)</f>
        <v>10.5</v>
      </c>
      <c r="E59" s="7" t="n">
        <f aca="false">IFERROR(__xludf.dummyfunction("FILTER(Provinha3a!C:C,Provinha3a!A:A=A59)"),6.33)</f>
        <v>6.33</v>
      </c>
      <c r="F59" s="7" t="n">
        <f aca="false">MAX(G59,H59)</f>
        <v>9.44</v>
      </c>
      <c r="G59" s="7" t="n">
        <f aca="false">IFERROR(__xludf.dummyfunction("FILTER(Provinha2b!C:C,Provinha2b!A:A=A59)"),9.44)</f>
        <v>9.44</v>
      </c>
      <c r="H59" s="7" t="n">
        <f aca="false">IFERROR(__xludf.dummyfunction("FILTER(Provinha2a!C:C,Provinha2a!A:A=A59)"),7.95)</f>
        <v>7.95</v>
      </c>
      <c r="I59" s="7" t="n">
        <f aca="false">MAX(J59,K59)</f>
        <v>9.45</v>
      </c>
      <c r="J59" s="7" t="n">
        <f aca="false">IFERROR(__xludf.dummyfunction("FILTER('Provinha1b-Parte1'!C:C,'Provinha1b-Parte1'!A:A=A59)+FILTER('Provinha1b-Parte2'!C:C,'Provinha1b-Parte2'!A:A=A59)"),9.45)</f>
        <v>9.45</v>
      </c>
      <c r="K59" s="7" t="n">
        <f aca="false">IFERROR(__xludf.dummyfunction("FILTER('Provinha1a-Parte1'!C:C,'Provinha1a-Parte1'!A:A=A59)+FILTER('Provinha1a-Parte2'!C:C,'Provinha1a-Parte2'!A:A=A59)"),9.29)</f>
        <v>9.29</v>
      </c>
    </row>
    <row r="60" customFormat="false" ht="15.75" hidden="false" customHeight="false" outlineLevel="0" collapsed="false">
      <c r="A60" s="6" t="n">
        <v>10310721</v>
      </c>
      <c r="B60" s="7" t="n">
        <f aca="false">(C60+F60+I60)/3</f>
        <v>7.98333333333333</v>
      </c>
      <c r="C60" s="7" t="n">
        <f aca="false">MAX(D60,E60)</f>
        <v>6.85</v>
      </c>
      <c r="D60" s="7" t="n">
        <f aca="false">IFERROR(__xludf.dummyfunction("FILTER(Provinha3c!C:C,Provinha3c!A:A=A60)"),6.85)</f>
        <v>6.85</v>
      </c>
      <c r="E60" s="7" t="n">
        <f aca="false">IFERROR(__xludf.dummyfunction("FILTER(Provinha3a!C:C,Provinha3a!A:A=A60)"),5.61)</f>
        <v>5.61</v>
      </c>
      <c r="F60" s="7" t="n">
        <f aca="false">MAX(G60,H60)</f>
        <v>7.82</v>
      </c>
      <c r="G60" s="7" t="n">
        <f aca="false">IFERROR(__xludf.dummyfunction("FILTER(Provinha2b!C:C,Provinha2b!A:A=A60)"),6.87)</f>
        <v>6.87</v>
      </c>
      <c r="H60" s="7" t="n">
        <f aca="false">IFERROR(__xludf.dummyfunction("FILTER(Provinha2a!C:C,Provinha2a!A:A=A60)"),7.82)</f>
        <v>7.82</v>
      </c>
      <c r="I60" s="7" t="n">
        <f aca="false">MAX(J60,K60)</f>
        <v>9.28</v>
      </c>
      <c r="J60" s="7" t="n">
        <f aca="false">IFERROR(__xludf.dummyfunction("FILTER('Provinha1b-Parte1'!C:C,'Provinha1b-Parte1'!A:A=A60)+FILTER('Provinha1b-Parte2'!C:C,'Provinha1b-Parte2'!A:A=A60)"),8.28)</f>
        <v>8.28</v>
      </c>
      <c r="K60" s="7" t="n">
        <f aca="false">IFERROR(__xludf.dummyfunction("FILTER('Provinha1a-Parte1'!C:C,'Provinha1a-Parte1'!A:A=A60)+FILTER('Provinha1a-Parte2'!C:C,'Provinha1a-Parte2'!A:A=A60)"),9.28)</f>
        <v>9.28</v>
      </c>
    </row>
    <row r="61" customFormat="false" ht="15.75" hidden="false" customHeight="false" outlineLevel="0" collapsed="false">
      <c r="A61" s="6" t="n">
        <v>10310759</v>
      </c>
      <c r="B61" s="7" t="n">
        <f aca="false">(C61+F61+I61)/3</f>
        <v>8.68</v>
      </c>
      <c r="C61" s="7" t="n">
        <f aca="false">MAX(D61,E61)</f>
        <v>8.54</v>
      </c>
      <c r="D61" s="7" t="n">
        <f aca="false">IFERROR(__xludf.dummyfunction("FILTER(Provinha3c!C:C,Provinha3c!A:A=A61)"),4.02)</f>
        <v>4.02</v>
      </c>
      <c r="E61" s="7" t="n">
        <f aca="false">IFERROR(__xludf.dummyfunction("FILTER(Provinha3a!C:C,Provinha3a!A:A=A61)"),8.54)</f>
        <v>8.54</v>
      </c>
      <c r="F61" s="7" t="n">
        <f aca="false">MAX(G61,H61)</f>
        <v>8.43</v>
      </c>
      <c r="G61" s="7" t="n">
        <f aca="false">IFERROR(__xludf.dummyfunction("FILTER(Provinha2b!C:C,Provinha2b!A:A=A61)"),8.43)</f>
        <v>8.43</v>
      </c>
      <c r="H61" s="7" t="n">
        <f aca="false">IFERROR(__xludf.dummyfunction("FILTER(Provinha2a!C:C,Provinha2a!A:A=A61)"),5.58)</f>
        <v>5.58</v>
      </c>
      <c r="I61" s="7" t="n">
        <f aca="false">MAX(J61,K61)</f>
        <v>9.07</v>
      </c>
      <c r="J61" s="7" t="n">
        <f aca="false">IFERROR(__xludf.dummyfunction("FILTER('Provinha1b-Parte1'!C:C,'Provinha1b-Parte1'!A:A=A61)+FILTER('Provinha1b-Parte2'!C:C,'Provinha1b-Parte2'!A:A=A61)"),9.07)</f>
        <v>9.07</v>
      </c>
      <c r="K61" s="7" t="n">
        <f aca="false">IFERROR(__xludf.dummyfunction("FILTER('Provinha1a-Parte1'!C:C,'Provinha1a-Parte1'!A:A=A61)+FILTER('Provinha1a-Parte2'!C:C,'Provinha1a-Parte2'!A:A=A61)"),7.99)</f>
        <v>7.99</v>
      </c>
    </row>
    <row r="62" customFormat="false" ht="15.75" hidden="false" customHeight="false" outlineLevel="0" collapsed="false">
      <c r="A62" s="6" t="n">
        <v>10310888</v>
      </c>
      <c r="B62" s="7" t="n">
        <f aca="false">(C62+F62+I62)/3</f>
        <v>7.58666666666667</v>
      </c>
      <c r="C62" s="7" t="n">
        <f aca="false">MAX(D62,E62)</f>
        <v>6.88</v>
      </c>
      <c r="D62" s="7" t="n">
        <f aca="false">IFERROR(__xludf.dummyfunction("FILTER(Provinha3c!C:C,Provinha3c!A:A=A62)"),6.88)</f>
        <v>6.88</v>
      </c>
      <c r="E62" s="7" t="n">
        <f aca="false">IFERROR(__xludf.dummyfunction("FILTER(Provinha3a!C:C,Provinha3a!A:A=A62)"),3.93)</f>
        <v>3.93</v>
      </c>
      <c r="F62" s="7" t="n">
        <f aca="false">MAX(G62,H62)</f>
        <v>7.93</v>
      </c>
      <c r="G62" s="7" t="n">
        <f aca="false">IFERROR(__xludf.dummyfunction("FILTER(Provinha2b!C:C,Provinha2b!A:A=A62)"),7.93)</f>
        <v>7.93</v>
      </c>
      <c r="H62" s="7" t="n">
        <f aca="false">IFERROR(__xludf.dummyfunction("FILTER(Provinha2a!C:C,Provinha2a!A:A=A62)"),1.5)</f>
        <v>1.5</v>
      </c>
      <c r="I62" s="7" t="n">
        <f aca="false">MAX(J62,K62)</f>
        <v>7.95</v>
      </c>
      <c r="J62" s="7" t="n">
        <f aca="false">IFERROR(__xludf.dummyfunction("FILTER('Provinha1b-Parte1'!C:C,'Provinha1b-Parte1'!A:A=A62)+FILTER('Provinha1b-Parte2'!C:C,'Provinha1b-Parte2'!A:A=A62)"),7.95)</f>
        <v>7.95</v>
      </c>
      <c r="K62" s="7" t="n">
        <f aca="false">IFERROR(__xludf.dummyfunction("FILTER('Provinha1a-Parte1'!C:C,'Provinha1a-Parte1'!A:A=A62)+FILTER('Provinha1a-Parte2'!C:C,'Provinha1a-Parte2'!A:A=A62)"),4.34)</f>
        <v>4.34</v>
      </c>
    </row>
    <row r="63" customFormat="false" ht="15.75" hidden="false" customHeight="false" outlineLevel="0" collapsed="false">
      <c r="A63" s="6" t="n">
        <v>10351971</v>
      </c>
      <c r="B63" s="7" t="n">
        <f aca="false">(C63+F63+I63)/3</f>
        <v>2.71666666666667</v>
      </c>
      <c r="C63" s="7" t="n">
        <f aca="false">MAX(D63,E63)</f>
        <v>0</v>
      </c>
      <c r="D63" s="7" t="str">
        <f aca="false">IFERROR(__xludf.dummyfunction("FILTER(Provinha3c!C:C,Provinha3c!A:A=A63)"),"")</f>
        <v/>
      </c>
      <c r="E63" s="7" t="str">
        <f aca="false">IFERROR(__xludf.dummyfunction("FILTER(Provinha3a!C:C,Provinha3a!A:A=A63)"),"")</f>
        <v/>
      </c>
      <c r="F63" s="7" t="n">
        <f aca="false">MAX(G63,H63)</f>
        <v>0</v>
      </c>
      <c r="G63" s="7" t="str">
        <f aca="false">IFERROR(__xludf.dummyfunction("FILTER(Provinha2b!C:C,Provinha2b!A:A=A63)"),"")</f>
        <v/>
      </c>
      <c r="H63" s="7" t="str">
        <f aca="false">IFERROR(__xludf.dummyfunction("FILTER(Provinha2a!C:C,Provinha2a!A:A=A63)"),"")</f>
        <v/>
      </c>
      <c r="I63" s="7" t="n">
        <f aca="false">MAX(J63,K63)</f>
        <v>8.15</v>
      </c>
      <c r="J63" s="7" t="n">
        <f aca="false">IFERROR(__xludf.dummyfunction("FILTER('Provinha1b-Parte1'!C:C,'Provinha1b-Parte1'!A:A=A63)+FILTER('Provinha1b-Parte2'!C:C,'Provinha1b-Parte2'!A:A=A63)"),8.15)</f>
        <v>8.15</v>
      </c>
      <c r="K63" s="7" t="n">
        <f aca="false">IFERROR(__xludf.dummyfunction("FILTER('Provinha1a-Parte1'!C:C,'Provinha1a-Parte1'!A:A=A63)+FILTER('Provinha1a-Parte2'!C:C,'Provinha1a-Parte2'!A:A=A63)"),6.92)</f>
        <v>6.92</v>
      </c>
    </row>
    <row r="64" customFormat="false" ht="15.75" hidden="false" customHeight="false" outlineLevel="0" collapsed="false">
      <c r="A64" s="6" t="n">
        <v>10351992</v>
      </c>
      <c r="B64" s="7" t="n">
        <f aca="false">(C64+F64+I64)/3</f>
        <v>7.35</v>
      </c>
      <c r="C64" s="7" t="n">
        <f aca="false">MAX(D64,E64)</f>
        <v>5.47</v>
      </c>
      <c r="D64" s="7" t="n">
        <f aca="false">IFERROR(__xludf.dummyfunction("FILTER(Provinha3c!C:C,Provinha3c!A:A=A64)"),2.63)</f>
        <v>2.63</v>
      </c>
      <c r="E64" s="7" t="n">
        <f aca="false">IFERROR(__xludf.dummyfunction("FILTER(Provinha3a!C:C,Provinha3a!A:A=A64)"),5.47)</f>
        <v>5.47</v>
      </c>
      <c r="F64" s="7" t="n">
        <f aca="false">MAX(G64,H64)</f>
        <v>9.2</v>
      </c>
      <c r="G64" s="7" t="n">
        <f aca="false">IFERROR(__xludf.dummyfunction("FILTER(Provinha2b!C:C,Provinha2b!A:A=A64)"),9.2)</f>
        <v>9.2</v>
      </c>
      <c r="H64" s="7" t="n">
        <f aca="false">IFERROR(__xludf.dummyfunction("FILTER(Provinha2a!C:C,Provinha2a!A:A=A64)"),7.02)</f>
        <v>7.02</v>
      </c>
      <c r="I64" s="7" t="n">
        <f aca="false">MAX(J64,K64)</f>
        <v>7.38</v>
      </c>
      <c r="J64" s="7" t="n">
        <f aca="false">IFERROR(__xludf.dummyfunction("FILTER('Provinha1b-Parte1'!C:C,'Provinha1b-Parte1'!A:A=A64)+FILTER('Provinha1b-Parte2'!C:C,'Provinha1b-Parte2'!A:A=A64)"),7.26)</f>
        <v>7.26</v>
      </c>
      <c r="K64" s="7" t="n">
        <f aca="false">IFERROR(__xludf.dummyfunction("FILTER('Provinha1a-Parte1'!C:C,'Provinha1a-Parte1'!A:A=A64)+FILTER('Provinha1a-Parte2'!C:C,'Provinha1a-Parte2'!A:A=A64)"),7.38)</f>
        <v>7.38</v>
      </c>
    </row>
    <row r="65" customFormat="false" ht="15.75" hidden="false" customHeight="false" outlineLevel="0" collapsed="false">
      <c r="A65" s="6" t="n">
        <v>10352030</v>
      </c>
      <c r="B65" s="7" t="n">
        <f aca="false">(C65+F65+I65)/3</f>
        <v>5.27</v>
      </c>
      <c r="C65" s="7" t="n">
        <f aca="false">MAX(D65,E65)</f>
        <v>4.26</v>
      </c>
      <c r="D65" s="7" t="n">
        <f aca="false">IFERROR(__xludf.dummyfunction("FILTER(Provinha3c!C:C,Provinha3c!A:A=A65)"),4.26)</f>
        <v>4.26</v>
      </c>
      <c r="E65" s="7" t="n">
        <f aca="false">IFERROR(__xludf.dummyfunction("FILTER(Provinha3a!C:C,Provinha3a!A:A=A65)"),3)</f>
        <v>3</v>
      </c>
      <c r="F65" s="7" t="n">
        <f aca="false">MAX(G65,H65)</f>
        <v>4.62</v>
      </c>
      <c r="G65" s="7" t="n">
        <f aca="false">IFERROR(__xludf.dummyfunction("FILTER(Provinha2b!C:C,Provinha2b!A:A=A65)"),4.62)</f>
        <v>4.62</v>
      </c>
      <c r="H65" s="7" t="n">
        <f aca="false">IFERROR(__xludf.dummyfunction("FILTER(Provinha2a!C:C,Provinha2a!A:A=A65)"),1.69)</f>
        <v>1.69</v>
      </c>
      <c r="I65" s="7" t="n">
        <f aca="false">MAX(J65,K65)</f>
        <v>6.93</v>
      </c>
      <c r="J65" s="7" t="n">
        <f aca="false">IFERROR(__xludf.dummyfunction("FILTER('Provinha1b-Parte1'!C:C,'Provinha1b-Parte1'!A:A=A65)+FILTER('Provinha1b-Parte2'!C:C,'Provinha1b-Parte2'!A:A=A65)"),6.93)</f>
        <v>6.93</v>
      </c>
      <c r="K65" s="7" t="n">
        <f aca="false">IFERROR(__xludf.dummyfunction("FILTER('Provinha1a-Parte1'!C:C,'Provinha1a-Parte1'!A:A=A65)+FILTER('Provinha1a-Parte2'!C:C,'Provinha1a-Parte2'!A:A=A65)"),4.82)</f>
        <v>4.82</v>
      </c>
    </row>
    <row r="66" customFormat="false" ht="15.75" hidden="false" customHeight="false" outlineLevel="0" collapsed="false">
      <c r="A66" s="6" t="n">
        <v>10377538</v>
      </c>
      <c r="B66" s="7" t="n">
        <f aca="false">(C66+F66+I66)/3</f>
        <v>7.02666666666667</v>
      </c>
      <c r="C66" s="7" t="n">
        <f aca="false">MAX(D66,E66)</f>
        <v>6.79</v>
      </c>
      <c r="D66" s="7" t="n">
        <f aca="false">IFERROR(__xludf.dummyfunction("FILTER(Provinha3c!C:C,Provinha3c!A:A=A66)"),6.79)</f>
        <v>6.79</v>
      </c>
      <c r="E66" s="7" t="n">
        <f aca="false">IFERROR(__xludf.dummyfunction("FILTER(Provinha3a!C:C,Provinha3a!A:A=A66)"),0.94)</f>
        <v>0.94</v>
      </c>
      <c r="F66" s="7" t="n">
        <f aca="false">MAX(G66,H66)</f>
        <v>6.5</v>
      </c>
      <c r="G66" s="7" t="n">
        <f aca="false">IFERROR(__xludf.dummyfunction("FILTER(Provinha2b!C:C,Provinha2b!A:A=A66)"),4.33)</f>
        <v>4.33</v>
      </c>
      <c r="H66" s="7" t="n">
        <f aca="false">IFERROR(__xludf.dummyfunction("FILTER(Provinha2a!C:C,Provinha2a!A:A=A66)"),6.5)</f>
        <v>6.5</v>
      </c>
      <c r="I66" s="7" t="n">
        <f aca="false">MAX(J66,K66)</f>
        <v>7.79</v>
      </c>
      <c r="J66" s="7" t="n">
        <f aca="false">IFERROR(__xludf.dummyfunction("FILTER('Provinha1b-Parte1'!C:C,'Provinha1b-Parte1'!A:A=A66)+FILTER('Provinha1b-Parte2'!C:C,'Provinha1b-Parte2'!A:A=A66)"),7.08)</f>
        <v>7.08</v>
      </c>
      <c r="K66" s="7" t="n">
        <f aca="false">IFERROR(__xludf.dummyfunction("FILTER('Provinha1a-Parte1'!C:C,'Provinha1a-Parte1'!A:A=A66)+FILTER('Provinha1a-Parte2'!C:C,'Provinha1a-Parte2'!A:A=A66)"),7.79)</f>
        <v>7.79</v>
      </c>
    </row>
    <row r="67" customFormat="false" ht="15.75" hidden="false" customHeight="false" outlineLevel="0" collapsed="false">
      <c r="A67" s="6" t="n">
        <v>10377688</v>
      </c>
      <c r="B67" s="7" t="n">
        <f aca="false">(C67+F67+I67)/3</f>
        <v>7.61</v>
      </c>
      <c r="C67" s="7" t="n">
        <f aca="false">MAX(D67,E67)</f>
        <v>4.21</v>
      </c>
      <c r="D67" s="7" t="n">
        <f aca="false">IFERROR(__xludf.dummyfunction("FILTER(Provinha3c!C:C,Provinha3c!A:A=A67)"),3.79)</f>
        <v>3.79</v>
      </c>
      <c r="E67" s="7" t="n">
        <f aca="false">IFERROR(__xludf.dummyfunction("FILTER(Provinha3a!C:C,Provinha3a!A:A=A67)"),4.21)</f>
        <v>4.21</v>
      </c>
      <c r="F67" s="7" t="n">
        <f aca="false">MAX(G67,H67)</f>
        <v>9.92</v>
      </c>
      <c r="G67" s="7" t="n">
        <f aca="false">IFERROR(__xludf.dummyfunction("FILTER(Provinha2b!C:C,Provinha2b!A:A=A67)"),9.92)</f>
        <v>9.92</v>
      </c>
      <c r="H67" s="7" t="n">
        <f aca="false">IFERROR(__xludf.dummyfunction("FILTER(Provinha2a!C:C,Provinha2a!A:A=A67)"),7.38)</f>
        <v>7.38</v>
      </c>
      <c r="I67" s="7" t="n">
        <f aca="false">MAX(J67,K67)</f>
        <v>8.7</v>
      </c>
      <c r="J67" s="7" t="n">
        <f aca="false">IFERROR(__xludf.dummyfunction("FILTER('Provinha1b-Parte1'!C:C,'Provinha1b-Parte1'!A:A=A67)+FILTER('Provinha1b-Parte2'!C:C,'Provinha1b-Parte2'!A:A=A67)"),8.7)</f>
        <v>8.7</v>
      </c>
      <c r="K67" s="7" t="n">
        <f aca="false">IFERROR(__xludf.dummyfunction("FILTER('Provinha1a-Parte1'!C:C,'Provinha1a-Parte1'!A:A=A67)+FILTER('Provinha1a-Parte2'!C:C,'Provinha1a-Parte2'!A:A=A67)"),7.55)</f>
        <v>7.55</v>
      </c>
    </row>
    <row r="68" customFormat="false" ht="15.75" hidden="false" customHeight="false" outlineLevel="0" collapsed="false">
      <c r="B68" s="7"/>
      <c r="C68" s="7"/>
      <c r="D68" s="7"/>
      <c r="E68" s="7"/>
      <c r="F68" s="7"/>
      <c r="G68" s="7"/>
      <c r="H68" s="7"/>
      <c r="I68" s="7"/>
      <c r="J68" s="7"/>
      <c r="K68" s="7"/>
    </row>
    <row r="69" customFormat="false" ht="15.75" hidden="false" customHeight="false" outlineLevel="0" collapsed="false">
      <c r="B69" s="7"/>
      <c r="C69" s="7"/>
      <c r="D69" s="7"/>
      <c r="E69" s="7"/>
      <c r="F69" s="7"/>
      <c r="G69" s="7"/>
      <c r="H69" s="7"/>
      <c r="I69" s="7"/>
      <c r="J69" s="7"/>
      <c r="K69" s="7"/>
    </row>
    <row r="70" customFormat="false" ht="15.75" hidden="false" customHeight="false" outlineLevel="0" collapsed="false">
      <c r="B70" s="7"/>
      <c r="C70" s="7"/>
      <c r="D70" s="7"/>
      <c r="E70" s="7"/>
      <c r="F70" s="7"/>
      <c r="G70" s="7"/>
      <c r="H70" s="7"/>
      <c r="I70" s="7"/>
      <c r="J70" s="7"/>
      <c r="K70" s="7"/>
    </row>
    <row r="71" customFormat="false" ht="15.75" hidden="false" customHeight="false" outlineLevel="0" collapsed="false">
      <c r="B71" s="7"/>
      <c r="C71" s="7"/>
      <c r="D71" s="7"/>
      <c r="E71" s="7"/>
      <c r="F71" s="7"/>
      <c r="G71" s="7"/>
      <c r="H71" s="7"/>
      <c r="I71" s="7"/>
      <c r="J71" s="7"/>
      <c r="K71" s="7"/>
    </row>
    <row r="72" customFormat="false" ht="15.75" hidden="false" customHeight="false" outlineLevel="0" collapsed="false">
      <c r="B72" s="7"/>
      <c r="C72" s="7"/>
      <c r="D72" s="7"/>
      <c r="E72" s="7"/>
      <c r="F72" s="7"/>
      <c r="G72" s="7"/>
      <c r="H72" s="7"/>
      <c r="I72" s="7"/>
      <c r="J72" s="7"/>
      <c r="K72" s="7"/>
    </row>
    <row r="73" customFormat="false" ht="15.75" hidden="false" customHeight="false" outlineLevel="0" collapsed="false">
      <c r="B73" s="7"/>
      <c r="C73" s="7"/>
      <c r="D73" s="7"/>
      <c r="E73" s="7"/>
      <c r="F73" s="7"/>
      <c r="G73" s="7"/>
      <c r="H73" s="7"/>
      <c r="I73" s="7"/>
      <c r="J73" s="7"/>
      <c r="K73" s="7"/>
    </row>
    <row r="74" customFormat="false" ht="15.75" hidden="false" customHeight="false" outlineLevel="0" collapsed="false">
      <c r="B74" s="7"/>
      <c r="C74" s="7"/>
      <c r="D74" s="7"/>
      <c r="E74" s="7"/>
      <c r="F74" s="7"/>
      <c r="G74" s="7"/>
      <c r="H74" s="7"/>
      <c r="I74" s="7"/>
      <c r="J74" s="7"/>
      <c r="K74" s="7"/>
    </row>
    <row r="75" customFormat="false" ht="15.75" hidden="false" customHeight="false" outlineLevel="0" collapsed="false">
      <c r="B75" s="7"/>
      <c r="C75" s="7"/>
      <c r="D75" s="7"/>
      <c r="E75" s="7"/>
      <c r="F75" s="7"/>
      <c r="G75" s="7"/>
      <c r="H75" s="7"/>
      <c r="I75" s="7"/>
      <c r="J75" s="7"/>
      <c r="K75" s="7"/>
    </row>
    <row r="76" customFormat="false" ht="15.75" hidden="false" customHeight="false" outlineLevel="0" collapsed="false">
      <c r="B76" s="7"/>
      <c r="C76" s="7"/>
      <c r="D76" s="7"/>
      <c r="E76" s="7"/>
      <c r="F76" s="7"/>
      <c r="G76" s="7"/>
      <c r="H76" s="7"/>
      <c r="I76" s="7"/>
      <c r="J76" s="7"/>
      <c r="K76" s="7"/>
    </row>
    <row r="77" customFormat="false" ht="15.75" hidden="false" customHeight="false" outlineLevel="0" collapsed="false">
      <c r="B77" s="7"/>
      <c r="C77" s="7"/>
      <c r="D77" s="7"/>
      <c r="E77" s="7"/>
      <c r="F77" s="7"/>
      <c r="G77" s="7"/>
      <c r="H77" s="7"/>
      <c r="I77" s="7"/>
      <c r="J77" s="7"/>
      <c r="K77" s="7"/>
    </row>
    <row r="78" customFormat="false" ht="15.75" hidden="false" customHeight="false" outlineLevel="0" collapsed="false">
      <c r="B78" s="7"/>
      <c r="C78" s="7"/>
      <c r="D78" s="7"/>
      <c r="E78" s="7"/>
      <c r="F78" s="7"/>
      <c r="G78" s="7"/>
      <c r="H78" s="7"/>
      <c r="I78" s="7"/>
      <c r="J78" s="7"/>
      <c r="K78" s="7"/>
    </row>
    <row r="79" customFormat="false" ht="15.75" hidden="false" customHeight="false" outlineLevel="0" collapsed="false">
      <c r="B79" s="7"/>
      <c r="C79" s="7"/>
      <c r="D79" s="7"/>
      <c r="E79" s="7"/>
      <c r="F79" s="7"/>
      <c r="G79" s="7"/>
      <c r="H79" s="7"/>
      <c r="I79" s="7"/>
      <c r="J79" s="7"/>
      <c r="K79" s="7"/>
    </row>
    <row r="80" customFormat="false" ht="15.75" hidden="false" customHeight="false" outlineLevel="0" collapsed="false">
      <c r="B80" s="7"/>
      <c r="C80" s="7"/>
      <c r="D80" s="7"/>
      <c r="E80" s="7"/>
      <c r="F80" s="7"/>
      <c r="G80" s="7"/>
      <c r="H80" s="7"/>
      <c r="I80" s="7"/>
      <c r="J80" s="7"/>
      <c r="K80" s="7"/>
    </row>
    <row r="81" customFormat="false" ht="15.75" hidden="false" customHeight="false" outlineLevel="0" collapsed="false">
      <c r="B81" s="7"/>
      <c r="C81" s="7"/>
      <c r="D81" s="7"/>
      <c r="E81" s="7"/>
      <c r="F81" s="7"/>
      <c r="G81" s="7"/>
      <c r="H81" s="7"/>
      <c r="I81" s="7"/>
      <c r="J81" s="7"/>
      <c r="K81" s="7"/>
    </row>
    <row r="82" customFormat="false" ht="15.75" hidden="false" customHeight="false" outlineLevel="0" collapsed="false">
      <c r="B82" s="7"/>
      <c r="C82" s="7"/>
      <c r="D82" s="7"/>
      <c r="E82" s="7"/>
      <c r="F82" s="7"/>
      <c r="G82" s="7"/>
      <c r="H82" s="7"/>
      <c r="I82" s="7"/>
      <c r="J82" s="7"/>
      <c r="K82" s="7"/>
    </row>
    <row r="83" customFormat="false" ht="15.75" hidden="false" customHeight="false" outlineLevel="0" collapsed="false">
      <c r="B83" s="7"/>
      <c r="C83" s="7"/>
      <c r="D83" s="7"/>
      <c r="E83" s="7"/>
      <c r="F83" s="7"/>
      <c r="G83" s="7"/>
      <c r="H83" s="7"/>
      <c r="I83" s="7"/>
      <c r="J83" s="7"/>
      <c r="K83" s="7"/>
    </row>
    <row r="84" customFormat="false" ht="15.75" hidden="false" customHeight="false" outlineLevel="0" collapsed="false">
      <c r="B84" s="7"/>
      <c r="C84" s="7"/>
      <c r="D84" s="7"/>
      <c r="E84" s="7"/>
      <c r="F84" s="7"/>
      <c r="G84" s="7"/>
      <c r="H84" s="7"/>
      <c r="I84" s="7"/>
      <c r="J84" s="7"/>
      <c r="K84" s="7"/>
    </row>
    <row r="85" customFormat="false" ht="15.75" hidden="false" customHeight="false" outlineLevel="0" collapsed="false">
      <c r="B85" s="7"/>
      <c r="C85" s="7"/>
      <c r="D85" s="7"/>
      <c r="E85" s="7"/>
      <c r="F85" s="7"/>
      <c r="G85" s="7"/>
      <c r="H85" s="7"/>
      <c r="I85" s="7"/>
      <c r="J85" s="7"/>
      <c r="K85" s="7"/>
    </row>
    <row r="86" customFormat="false" ht="15.75" hidden="false" customHeight="false" outlineLevel="0" collapsed="false">
      <c r="B86" s="7"/>
      <c r="C86" s="7"/>
      <c r="D86" s="7"/>
      <c r="E86" s="7"/>
      <c r="F86" s="7"/>
      <c r="G86" s="7"/>
      <c r="H86" s="7"/>
      <c r="I86" s="7"/>
      <c r="J86" s="7"/>
      <c r="K86" s="7"/>
    </row>
    <row r="87" customFormat="false" ht="15.75" hidden="false" customHeight="false" outlineLevel="0" collapsed="false">
      <c r="B87" s="7"/>
      <c r="C87" s="7"/>
      <c r="D87" s="7"/>
      <c r="E87" s="7"/>
      <c r="F87" s="7"/>
      <c r="G87" s="7"/>
      <c r="H87" s="7"/>
      <c r="I87" s="7"/>
      <c r="J87" s="7"/>
      <c r="K87" s="7"/>
    </row>
    <row r="88" customFormat="false" ht="15.75" hidden="false" customHeight="false" outlineLevel="0" collapsed="false">
      <c r="B88" s="7"/>
      <c r="C88" s="7"/>
      <c r="D88" s="7"/>
      <c r="E88" s="7"/>
      <c r="F88" s="7"/>
      <c r="G88" s="7"/>
      <c r="H88" s="7"/>
      <c r="I88" s="7"/>
      <c r="J88" s="7"/>
      <c r="K88" s="7"/>
    </row>
    <row r="89" customFormat="false" ht="15.75" hidden="false" customHeight="false" outlineLevel="0" collapsed="false">
      <c r="B89" s="7"/>
      <c r="C89" s="7"/>
      <c r="D89" s="7"/>
      <c r="E89" s="7"/>
      <c r="F89" s="7"/>
      <c r="G89" s="7"/>
      <c r="H89" s="7"/>
      <c r="I89" s="7"/>
      <c r="J89" s="7"/>
      <c r="K89" s="7"/>
    </row>
    <row r="90" customFormat="false" ht="15.75" hidden="false" customHeight="false" outlineLevel="0" collapsed="false">
      <c r="B90" s="7"/>
      <c r="C90" s="7"/>
      <c r="D90" s="7"/>
      <c r="E90" s="7"/>
      <c r="F90" s="7"/>
      <c r="G90" s="7"/>
      <c r="H90" s="7"/>
      <c r="I90" s="7"/>
      <c r="J90" s="7"/>
      <c r="K90" s="7"/>
    </row>
    <row r="91" customFormat="false" ht="15.75" hidden="false" customHeight="false" outlineLevel="0" collapsed="false">
      <c r="B91" s="7"/>
      <c r="C91" s="7"/>
      <c r="D91" s="7"/>
      <c r="E91" s="7"/>
      <c r="F91" s="7"/>
      <c r="G91" s="7"/>
      <c r="H91" s="7"/>
      <c r="I91" s="7"/>
      <c r="J91" s="7"/>
      <c r="K91" s="7"/>
    </row>
    <row r="92" customFormat="false" ht="15.75" hidden="false" customHeight="false" outlineLevel="0" collapsed="false">
      <c r="B92" s="7"/>
      <c r="C92" s="7"/>
      <c r="D92" s="7"/>
      <c r="E92" s="7"/>
      <c r="F92" s="7"/>
      <c r="G92" s="7"/>
      <c r="H92" s="7"/>
      <c r="I92" s="7"/>
      <c r="J92" s="7"/>
      <c r="K92" s="7"/>
    </row>
    <row r="93" customFormat="false" ht="15.75" hidden="false" customHeight="false" outlineLevel="0" collapsed="false">
      <c r="B93" s="7"/>
      <c r="C93" s="7"/>
      <c r="D93" s="7"/>
      <c r="E93" s="7"/>
      <c r="F93" s="7"/>
      <c r="G93" s="7"/>
      <c r="H93" s="7"/>
      <c r="I93" s="7"/>
      <c r="J93" s="7"/>
      <c r="K93" s="7"/>
    </row>
    <row r="94" customFormat="false" ht="15.75" hidden="false" customHeight="false" outlineLevel="0" collapsed="false">
      <c r="B94" s="7"/>
      <c r="C94" s="7"/>
      <c r="D94" s="7"/>
      <c r="E94" s="7"/>
      <c r="F94" s="7"/>
      <c r="G94" s="7"/>
      <c r="H94" s="7"/>
      <c r="I94" s="7"/>
      <c r="J94" s="7"/>
      <c r="K94" s="7"/>
    </row>
    <row r="95" customFormat="false" ht="15.75" hidden="false" customHeight="false" outlineLevel="0" collapsed="false">
      <c r="B95" s="7"/>
      <c r="C95" s="7"/>
      <c r="D95" s="7"/>
      <c r="E95" s="7"/>
      <c r="F95" s="7"/>
      <c r="G95" s="7"/>
      <c r="H95" s="7"/>
      <c r="I95" s="7"/>
      <c r="J95" s="7"/>
      <c r="K95" s="7"/>
    </row>
    <row r="96" customFormat="false" ht="15.75" hidden="false" customHeight="false" outlineLevel="0" collapsed="false">
      <c r="B96" s="7"/>
      <c r="C96" s="7"/>
      <c r="D96" s="7"/>
      <c r="E96" s="7"/>
      <c r="F96" s="7"/>
      <c r="G96" s="7"/>
      <c r="H96" s="7"/>
      <c r="I96" s="7"/>
      <c r="J96" s="7"/>
      <c r="K96" s="7"/>
    </row>
    <row r="97" customFormat="false" ht="15.75" hidden="false" customHeight="false" outlineLevel="0" collapsed="false">
      <c r="B97" s="7"/>
      <c r="C97" s="7"/>
      <c r="D97" s="7"/>
      <c r="E97" s="7"/>
      <c r="F97" s="7"/>
      <c r="G97" s="7"/>
      <c r="H97" s="7"/>
      <c r="I97" s="7"/>
      <c r="J97" s="7"/>
      <c r="K97" s="7"/>
    </row>
    <row r="98" customFormat="false" ht="15.75" hidden="false" customHeight="false" outlineLevel="0" collapsed="false">
      <c r="B98" s="7"/>
      <c r="C98" s="7"/>
      <c r="D98" s="7"/>
      <c r="E98" s="7"/>
      <c r="F98" s="7"/>
      <c r="G98" s="7"/>
      <c r="H98" s="7"/>
      <c r="I98" s="7"/>
      <c r="J98" s="7"/>
      <c r="K98" s="7"/>
    </row>
    <row r="99" customFormat="false" ht="15.75" hidden="false" customHeight="false" outlineLevel="0" collapsed="false"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customFormat="false" ht="15.75" hidden="false" customHeight="false" outlineLevel="0" collapsed="false"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customFormat="false" ht="15.75" hidden="false" customHeight="false" outlineLevel="0" collapsed="false"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customFormat="false" ht="15.75" hidden="false" customHeight="false" outlineLevel="0" collapsed="false"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customFormat="false" ht="15.75" hidden="false" customHeight="false" outlineLevel="0" collapsed="false"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customFormat="false" ht="15.75" hidden="false" customHeight="false" outlineLevel="0" collapsed="false"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customFormat="false" ht="15.75" hidden="false" customHeight="false" outlineLevel="0" collapsed="false"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customFormat="false" ht="15.75" hidden="false" customHeight="false" outlineLevel="0" collapsed="false"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customFormat="false" ht="15.75" hidden="false" customHeight="false" outlineLevel="0" collapsed="false"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customFormat="false" ht="15.75" hidden="false" customHeight="false" outlineLevel="0" collapsed="false"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customFormat="false" ht="15.75" hidden="false" customHeight="false" outlineLevel="0" collapsed="false"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customFormat="false" ht="15.75" hidden="false" customHeight="false" outlineLevel="0" collapsed="false"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customFormat="false" ht="15.75" hidden="false" customHeight="false" outlineLevel="0" collapsed="false"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customFormat="false" ht="15.75" hidden="false" customHeight="false" outlineLevel="0" collapsed="false"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customFormat="false" ht="15.75" hidden="false" customHeight="false" outlineLevel="0" collapsed="false"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customFormat="false" ht="15.75" hidden="false" customHeight="false" outlineLevel="0" collapsed="false"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customFormat="false" ht="15.75" hidden="false" customHeight="false" outlineLevel="0" collapsed="false"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customFormat="false" ht="15.75" hidden="false" customHeight="false" outlineLevel="0" collapsed="false"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customFormat="false" ht="15.75" hidden="false" customHeight="false" outlineLevel="0" collapsed="false"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customFormat="false" ht="15.75" hidden="false" customHeight="false" outlineLevel="0" collapsed="false"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customFormat="false" ht="15.75" hidden="false" customHeight="false" outlineLevel="0" collapsed="false"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customFormat="false" ht="15.75" hidden="false" customHeight="false" outlineLevel="0" collapsed="false"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customFormat="false" ht="15.75" hidden="false" customHeight="false" outlineLevel="0" collapsed="false"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customFormat="false" ht="15.75" hidden="false" customHeight="false" outlineLevel="0" collapsed="false"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customFormat="false" ht="15.75" hidden="false" customHeight="false" outlineLevel="0" collapsed="false"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customFormat="false" ht="15.75" hidden="false" customHeight="false" outlineLevel="0" collapsed="false"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customFormat="false" ht="15.75" hidden="false" customHeight="false" outlineLevel="0" collapsed="false"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customFormat="false" ht="15.75" hidden="false" customHeight="false" outlineLevel="0" collapsed="false"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customFormat="false" ht="15.75" hidden="false" customHeight="false" outlineLevel="0" collapsed="false"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customFormat="false" ht="15.75" hidden="false" customHeight="false" outlineLevel="0" collapsed="false"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customFormat="false" ht="15.75" hidden="false" customHeight="false" outlineLevel="0" collapsed="false"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customFormat="false" ht="15.75" hidden="false" customHeight="false" outlineLevel="0" collapsed="false"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customFormat="false" ht="15.75" hidden="false" customHeight="false" outlineLevel="0" collapsed="false"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customFormat="false" ht="15.75" hidden="false" customHeight="false" outlineLevel="0" collapsed="false"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customFormat="false" ht="15.75" hidden="false" customHeight="false" outlineLevel="0" collapsed="false"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customFormat="false" ht="15.75" hidden="false" customHeight="false" outlineLevel="0" collapsed="false"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customFormat="false" ht="15.75" hidden="false" customHeight="false" outlineLevel="0" collapsed="false"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customFormat="false" ht="15.75" hidden="false" customHeight="false" outlineLevel="0" collapsed="false"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customFormat="false" ht="15.75" hidden="false" customHeight="false" outlineLevel="0" collapsed="false"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customFormat="false" ht="15.75" hidden="false" customHeight="false" outlineLevel="0" collapsed="false"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customFormat="false" ht="15.75" hidden="false" customHeight="false" outlineLevel="0" collapsed="false"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customFormat="false" ht="15.75" hidden="false" customHeight="false" outlineLevel="0" collapsed="false"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customFormat="false" ht="15.75" hidden="false" customHeight="false" outlineLevel="0" collapsed="false"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customFormat="false" ht="15.75" hidden="false" customHeight="false" outlineLevel="0" collapsed="false"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customFormat="false" ht="15.75" hidden="false" customHeight="false" outlineLevel="0" collapsed="false"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customFormat="false" ht="15.75" hidden="false" customHeight="false" outlineLevel="0" collapsed="false"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customFormat="false" ht="15.75" hidden="false" customHeight="false" outlineLevel="0" collapsed="false"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customFormat="false" ht="15.75" hidden="false" customHeight="false" outlineLevel="0" collapsed="false"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customFormat="false" ht="15.75" hidden="false" customHeight="false" outlineLevel="0" collapsed="false"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customFormat="false" ht="15.75" hidden="false" customHeight="false" outlineLevel="0" collapsed="false"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customFormat="false" ht="15.75" hidden="false" customHeight="false" outlineLevel="0" collapsed="false"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customFormat="false" ht="15.75" hidden="false" customHeight="false" outlineLevel="0" collapsed="false"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customFormat="false" ht="15.75" hidden="false" customHeight="false" outlineLevel="0" collapsed="false"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customFormat="false" ht="15.75" hidden="false" customHeight="false" outlineLevel="0" collapsed="false"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customFormat="false" ht="15.75" hidden="false" customHeight="false" outlineLevel="0" collapsed="false"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customFormat="false" ht="15.75" hidden="false" customHeight="false" outlineLevel="0" collapsed="false"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customFormat="false" ht="15.75" hidden="false" customHeight="false" outlineLevel="0" collapsed="false"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customFormat="false" ht="15.75" hidden="false" customHeight="false" outlineLevel="0" collapsed="false"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customFormat="false" ht="15.75" hidden="false" customHeight="false" outlineLevel="0" collapsed="false"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customFormat="false" ht="15.75" hidden="false" customHeight="false" outlineLevel="0" collapsed="false"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customFormat="false" ht="15.75" hidden="false" customHeight="false" outlineLevel="0" collapsed="false"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customFormat="false" ht="15.75" hidden="false" customHeight="false" outlineLevel="0" collapsed="false"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customFormat="false" ht="15.75" hidden="false" customHeight="false" outlineLevel="0" collapsed="false"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customFormat="false" ht="15.75" hidden="false" customHeight="false" outlineLevel="0" collapsed="false"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customFormat="false" ht="15.75" hidden="false" customHeight="false" outlineLevel="0" collapsed="false"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customFormat="false" ht="15.75" hidden="false" customHeight="false" outlineLevel="0" collapsed="false"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customFormat="false" ht="15.75" hidden="false" customHeight="false" outlineLevel="0" collapsed="false"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customFormat="false" ht="15.75" hidden="false" customHeight="false" outlineLevel="0" collapsed="false"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customFormat="false" ht="15.75" hidden="false" customHeight="false" outlineLevel="0" collapsed="false"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customFormat="false" ht="15.75" hidden="false" customHeight="false" outlineLevel="0" collapsed="false"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customFormat="false" ht="15.75" hidden="false" customHeight="false" outlineLevel="0" collapsed="false"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customFormat="false" ht="15.75" hidden="false" customHeight="false" outlineLevel="0" collapsed="false"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customFormat="false" ht="15.75" hidden="false" customHeight="false" outlineLevel="0" collapsed="false"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customFormat="false" ht="15.75" hidden="false" customHeight="false" outlineLevel="0" collapsed="false"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customFormat="false" ht="15.75" hidden="false" customHeight="false" outlineLevel="0" collapsed="false"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customFormat="false" ht="15.75" hidden="false" customHeight="false" outlineLevel="0" collapsed="false"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customFormat="false" ht="15.75" hidden="false" customHeight="false" outlineLevel="0" collapsed="false"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customFormat="false" ht="15.75" hidden="false" customHeight="false" outlineLevel="0" collapsed="false"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customFormat="false" ht="15.75" hidden="false" customHeight="false" outlineLevel="0" collapsed="false"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customFormat="false" ht="15.75" hidden="false" customHeight="false" outlineLevel="0" collapsed="false"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customFormat="false" ht="15.75" hidden="false" customHeight="false" outlineLevel="0" collapsed="false"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customFormat="false" ht="15.75" hidden="false" customHeight="false" outlineLevel="0" collapsed="false"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customFormat="false" ht="15.75" hidden="false" customHeight="false" outlineLevel="0" collapsed="false"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customFormat="false" ht="15.75" hidden="false" customHeight="false" outlineLevel="0" collapsed="false"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customFormat="false" ht="15.75" hidden="false" customHeight="false" outlineLevel="0" collapsed="false"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customFormat="false" ht="15.75" hidden="false" customHeight="false" outlineLevel="0" collapsed="false"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customFormat="false" ht="15.75" hidden="false" customHeight="false" outlineLevel="0" collapsed="false"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customFormat="false" ht="15.75" hidden="false" customHeight="false" outlineLevel="0" collapsed="false"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customFormat="false" ht="15.75" hidden="false" customHeight="false" outlineLevel="0" collapsed="false"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customFormat="false" ht="15.75" hidden="false" customHeight="false" outlineLevel="0" collapsed="false"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customFormat="false" ht="15.75" hidden="false" customHeight="false" outlineLevel="0" collapsed="false"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customFormat="false" ht="15.75" hidden="false" customHeight="false" outlineLevel="0" collapsed="false"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customFormat="false" ht="15.75" hidden="false" customHeight="false" outlineLevel="0" collapsed="false"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customFormat="false" ht="15.75" hidden="false" customHeight="false" outlineLevel="0" collapsed="false"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customFormat="false" ht="15.75" hidden="false" customHeight="false" outlineLevel="0" collapsed="false"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customFormat="false" ht="15.75" hidden="false" customHeight="false" outlineLevel="0" collapsed="false"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customFormat="false" ht="15.75" hidden="false" customHeight="false" outlineLevel="0" collapsed="false"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customFormat="false" ht="15.75" hidden="false" customHeight="false" outlineLevel="0" collapsed="false"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customFormat="false" ht="15.75" hidden="false" customHeight="false" outlineLevel="0" collapsed="false"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customFormat="false" ht="15.75" hidden="false" customHeight="false" outlineLevel="0" collapsed="false"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customFormat="false" ht="15.75" hidden="false" customHeight="false" outlineLevel="0" collapsed="false"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customFormat="false" ht="15.75" hidden="false" customHeight="false" outlineLevel="0" collapsed="false"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customFormat="false" ht="15.75" hidden="false" customHeight="false" outlineLevel="0" collapsed="false"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customFormat="false" ht="15.75" hidden="false" customHeight="false" outlineLevel="0" collapsed="false"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customFormat="false" ht="15.75" hidden="false" customHeight="false" outlineLevel="0" collapsed="false"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customFormat="false" ht="15.75" hidden="false" customHeight="false" outlineLevel="0" collapsed="false"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customFormat="false" ht="15.75" hidden="false" customHeight="false" outlineLevel="0" collapsed="false"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customFormat="false" ht="15.75" hidden="false" customHeight="false" outlineLevel="0" collapsed="false"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customFormat="false" ht="15.75" hidden="false" customHeight="false" outlineLevel="0" collapsed="false"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customFormat="false" ht="15.75" hidden="false" customHeight="false" outlineLevel="0" collapsed="false"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customFormat="false" ht="15.75" hidden="false" customHeight="false" outlineLevel="0" collapsed="false"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customFormat="false" ht="15.75" hidden="false" customHeight="false" outlineLevel="0" collapsed="false"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customFormat="false" ht="15.75" hidden="false" customHeight="false" outlineLevel="0" collapsed="false"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customFormat="false" ht="15.75" hidden="false" customHeight="false" outlineLevel="0" collapsed="false"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customFormat="false" ht="15.75" hidden="false" customHeight="false" outlineLevel="0" collapsed="false"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customFormat="false" ht="15.75" hidden="false" customHeight="false" outlineLevel="0" collapsed="false"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customFormat="false" ht="15.75" hidden="false" customHeight="false" outlineLevel="0" collapsed="false"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customFormat="false" ht="15.75" hidden="false" customHeight="false" outlineLevel="0" collapsed="false"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customFormat="false" ht="15.75" hidden="false" customHeight="false" outlineLevel="0" collapsed="false"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customFormat="false" ht="15.75" hidden="false" customHeight="false" outlineLevel="0" collapsed="false"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customFormat="false" ht="15.75" hidden="false" customHeight="false" outlineLevel="0" collapsed="false"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customFormat="false" ht="15.75" hidden="false" customHeight="false" outlineLevel="0" collapsed="false"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customFormat="false" ht="15.75" hidden="false" customHeight="false" outlineLevel="0" collapsed="false"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customFormat="false" ht="15.75" hidden="false" customHeight="false" outlineLevel="0" collapsed="false"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customFormat="false" ht="15.75" hidden="false" customHeight="false" outlineLevel="0" collapsed="false"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customFormat="false" ht="15.75" hidden="false" customHeight="false" outlineLevel="0" collapsed="false"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customFormat="false" ht="15.75" hidden="false" customHeight="false" outlineLevel="0" collapsed="false"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customFormat="false" ht="15.75" hidden="false" customHeight="false" outlineLevel="0" collapsed="false"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customFormat="false" ht="15.75" hidden="false" customHeight="false" outlineLevel="0" collapsed="false"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customFormat="false" ht="15.75" hidden="false" customHeight="false" outlineLevel="0" collapsed="false"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customFormat="false" ht="15.75" hidden="false" customHeight="false" outlineLevel="0" collapsed="false"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customFormat="false" ht="15.75" hidden="false" customHeight="false" outlineLevel="0" collapsed="false"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customFormat="false" ht="15.75" hidden="false" customHeight="false" outlineLevel="0" collapsed="false"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customFormat="false" ht="15.75" hidden="false" customHeight="false" outlineLevel="0" collapsed="false"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customFormat="false" ht="15.75" hidden="false" customHeight="false" outlineLevel="0" collapsed="false"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customFormat="false" ht="15.75" hidden="false" customHeight="false" outlineLevel="0" collapsed="false"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customFormat="false" ht="15.75" hidden="false" customHeight="false" outlineLevel="0" collapsed="false"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customFormat="false" ht="15.75" hidden="false" customHeight="false" outlineLevel="0" collapsed="false"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customFormat="false" ht="15.75" hidden="false" customHeight="false" outlineLevel="0" collapsed="false"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customFormat="false" ht="15.75" hidden="false" customHeight="false" outlineLevel="0" collapsed="false"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customFormat="false" ht="15.75" hidden="false" customHeight="false" outlineLevel="0" collapsed="false"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customFormat="false" ht="15.75" hidden="false" customHeight="false" outlineLevel="0" collapsed="false"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customFormat="false" ht="15.75" hidden="false" customHeight="false" outlineLevel="0" collapsed="false"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customFormat="false" ht="15.75" hidden="false" customHeight="false" outlineLevel="0" collapsed="false"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customFormat="false" ht="15.75" hidden="false" customHeight="false" outlineLevel="0" collapsed="false"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customFormat="false" ht="15.75" hidden="false" customHeight="false" outlineLevel="0" collapsed="false"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customFormat="false" ht="15.75" hidden="false" customHeight="false" outlineLevel="0" collapsed="false"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customFormat="false" ht="15.75" hidden="false" customHeight="false" outlineLevel="0" collapsed="false"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customFormat="false" ht="15.75" hidden="false" customHeight="false" outlineLevel="0" collapsed="false"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customFormat="false" ht="15.75" hidden="false" customHeight="false" outlineLevel="0" collapsed="false"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customFormat="false" ht="15.75" hidden="false" customHeight="false" outlineLevel="0" collapsed="false"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customFormat="false" ht="15.75" hidden="false" customHeight="false" outlineLevel="0" collapsed="false"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customFormat="false" ht="15.75" hidden="false" customHeight="false" outlineLevel="0" collapsed="false"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customFormat="false" ht="15.75" hidden="false" customHeight="false" outlineLevel="0" collapsed="false"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customFormat="false" ht="15.75" hidden="false" customHeight="false" outlineLevel="0" collapsed="false"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customFormat="false" ht="15.75" hidden="false" customHeight="false" outlineLevel="0" collapsed="false"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customFormat="false" ht="15.75" hidden="false" customHeight="false" outlineLevel="0" collapsed="false"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customFormat="false" ht="15.75" hidden="false" customHeight="false" outlineLevel="0" collapsed="false"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customFormat="false" ht="15.75" hidden="false" customHeight="false" outlineLevel="0" collapsed="false"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customFormat="false" ht="15.75" hidden="false" customHeight="false" outlineLevel="0" collapsed="false"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customFormat="false" ht="15.75" hidden="false" customHeight="false" outlineLevel="0" collapsed="false"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customFormat="false" ht="15.75" hidden="false" customHeight="false" outlineLevel="0" collapsed="false"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customFormat="false" ht="15.75" hidden="false" customHeight="false" outlineLevel="0" collapsed="false"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customFormat="false" ht="15.75" hidden="false" customHeight="false" outlineLevel="0" collapsed="false"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customFormat="false" ht="15.75" hidden="false" customHeight="false" outlineLevel="0" collapsed="false"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customFormat="false" ht="15.75" hidden="false" customHeight="false" outlineLevel="0" collapsed="false"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customFormat="false" ht="15.75" hidden="false" customHeight="false" outlineLevel="0" collapsed="false"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customFormat="false" ht="15.75" hidden="false" customHeight="false" outlineLevel="0" collapsed="false"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customFormat="false" ht="15.75" hidden="false" customHeight="false" outlineLevel="0" collapsed="false"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customFormat="false" ht="15.75" hidden="false" customHeight="false" outlineLevel="0" collapsed="false"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customFormat="false" ht="15.75" hidden="false" customHeight="false" outlineLevel="0" collapsed="false"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customFormat="false" ht="15.75" hidden="false" customHeight="false" outlineLevel="0" collapsed="false"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customFormat="false" ht="15.75" hidden="false" customHeight="false" outlineLevel="0" collapsed="false"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customFormat="false" ht="15.75" hidden="false" customHeight="false" outlineLevel="0" collapsed="false"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customFormat="false" ht="15.75" hidden="false" customHeight="false" outlineLevel="0" collapsed="false"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customFormat="false" ht="15.75" hidden="false" customHeight="false" outlineLevel="0" collapsed="false"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customFormat="false" ht="15.75" hidden="false" customHeight="false" outlineLevel="0" collapsed="false"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customFormat="false" ht="15.75" hidden="false" customHeight="false" outlineLevel="0" collapsed="false"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customFormat="false" ht="15.75" hidden="false" customHeight="false" outlineLevel="0" collapsed="false"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customFormat="false" ht="15.75" hidden="false" customHeight="false" outlineLevel="0" collapsed="false"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customFormat="false" ht="15.75" hidden="false" customHeight="false" outlineLevel="0" collapsed="false"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customFormat="false" ht="15.75" hidden="false" customHeight="false" outlineLevel="0" collapsed="false"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customFormat="false" ht="15.75" hidden="false" customHeight="false" outlineLevel="0" collapsed="false"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customFormat="false" ht="15.75" hidden="false" customHeight="false" outlineLevel="0" collapsed="false"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customFormat="false" ht="15.75" hidden="false" customHeight="false" outlineLevel="0" collapsed="false"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customFormat="false" ht="15.75" hidden="false" customHeight="false" outlineLevel="0" collapsed="false"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customFormat="false" ht="15.75" hidden="false" customHeight="false" outlineLevel="0" collapsed="false"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customFormat="false" ht="15.75" hidden="false" customHeight="false" outlineLevel="0" collapsed="false"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customFormat="false" ht="15.75" hidden="false" customHeight="false" outlineLevel="0" collapsed="false"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customFormat="false" ht="15.75" hidden="false" customHeight="false" outlineLevel="0" collapsed="false"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customFormat="false" ht="15.75" hidden="false" customHeight="false" outlineLevel="0" collapsed="false"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customFormat="false" ht="15.75" hidden="false" customHeight="false" outlineLevel="0" collapsed="false"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customFormat="false" ht="15.75" hidden="false" customHeight="false" outlineLevel="0" collapsed="false"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customFormat="false" ht="15.75" hidden="false" customHeight="false" outlineLevel="0" collapsed="false"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customFormat="false" ht="15.75" hidden="false" customHeight="false" outlineLevel="0" collapsed="false"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customFormat="false" ht="15.75" hidden="false" customHeight="false" outlineLevel="0" collapsed="false"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customFormat="false" ht="15.75" hidden="false" customHeight="false" outlineLevel="0" collapsed="false"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customFormat="false" ht="15.75" hidden="false" customHeight="false" outlineLevel="0" collapsed="false"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customFormat="false" ht="15.75" hidden="false" customHeight="false" outlineLevel="0" collapsed="false"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customFormat="false" ht="15.75" hidden="false" customHeight="false" outlineLevel="0" collapsed="false"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customFormat="false" ht="15.75" hidden="false" customHeight="false" outlineLevel="0" collapsed="false"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customFormat="false" ht="15.75" hidden="false" customHeight="false" outlineLevel="0" collapsed="false"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customFormat="false" ht="15.75" hidden="false" customHeight="false" outlineLevel="0" collapsed="false"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customFormat="false" ht="15.75" hidden="false" customHeight="false" outlineLevel="0" collapsed="false"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customFormat="false" ht="15.75" hidden="false" customHeight="false" outlineLevel="0" collapsed="false"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customFormat="false" ht="15.75" hidden="false" customHeight="false" outlineLevel="0" collapsed="false"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customFormat="false" ht="15.75" hidden="false" customHeight="false" outlineLevel="0" collapsed="false"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customFormat="false" ht="15.75" hidden="false" customHeight="false" outlineLevel="0" collapsed="false"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customFormat="false" ht="15.75" hidden="false" customHeight="false" outlineLevel="0" collapsed="false"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customFormat="false" ht="15.75" hidden="false" customHeight="false" outlineLevel="0" collapsed="false"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customFormat="false" ht="15.75" hidden="false" customHeight="false" outlineLevel="0" collapsed="false"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customFormat="false" ht="15.75" hidden="false" customHeight="false" outlineLevel="0" collapsed="false"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customFormat="false" ht="15.75" hidden="false" customHeight="false" outlineLevel="0" collapsed="false"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customFormat="false" ht="15.75" hidden="false" customHeight="false" outlineLevel="0" collapsed="false"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customFormat="false" ht="15.75" hidden="false" customHeight="false" outlineLevel="0" collapsed="false"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customFormat="false" ht="15.75" hidden="false" customHeight="false" outlineLevel="0" collapsed="false"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customFormat="false" ht="15.75" hidden="false" customHeight="false" outlineLevel="0" collapsed="false"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customFormat="false" ht="15.75" hidden="false" customHeight="false" outlineLevel="0" collapsed="false"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customFormat="false" ht="15.75" hidden="false" customHeight="false" outlineLevel="0" collapsed="false"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customFormat="false" ht="15.75" hidden="false" customHeight="false" outlineLevel="0" collapsed="false"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customFormat="false" ht="15.75" hidden="false" customHeight="false" outlineLevel="0" collapsed="false"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customFormat="false" ht="15.75" hidden="false" customHeight="false" outlineLevel="0" collapsed="false"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customFormat="false" ht="15.75" hidden="false" customHeight="false" outlineLevel="0" collapsed="false"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customFormat="false" ht="15.75" hidden="false" customHeight="false" outlineLevel="0" collapsed="false"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customFormat="false" ht="15.75" hidden="false" customHeight="false" outlineLevel="0" collapsed="false"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customFormat="false" ht="15.75" hidden="false" customHeight="false" outlineLevel="0" collapsed="false"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customFormat="false" ht="15.75" hidden="false" customHeight="false" outlineLevel="0" collapsed="false"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customFormat="false" ht="15.75" hidden="false" customHeight="false" outlineLevel="0" collapsed="false"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customFormat="false" ht="15.75" hidden="false" customHeight="false" outlineLevel="0" collapsed="false"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customFormat="false" ht="15.75" hidden="false" customHeight="false" outlineLevel="0" collapsed="false"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customFormat="false" ht="15.75" hidden="false" customHeight="false" outlineLevel="0" collapsed="false"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customFormat="false" ht="15.75" hidden="false" customHeight="false" outlineLevel="0" collapsed="false"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customFormat="false" ht="15.75" hidden="false" customHeight="false" outlineLevel="0" collapsed="false"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customFormat="false" ht="15.75" hidden="false" customHeight="false" outlineLevel="0" collapsed="false"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customFormat="false" ht="15.75" hidden="false" customHeight="false" outlineLevel="0" collapsed="false"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customFormat="false" ht="15.75" hidden="false" customHeight="false" outlineLevel="0" collapsed="false"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customFormat="false" ht="15.75" hidden="false" customHeight="false" outlineLevel="0" collapsed="false"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customFormat="false" ht="15.75" hidden="false" customHeight="false" outlineLevel="0" collapsed="false"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customFormat="false" ht="15.75" hidden="false" customHeight="false" outlineLevel="0" collapsed="false"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customFormat="false" ht="15.75" hidden="false" customHeight="false" outlineLevel="0" collapsed="false"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customFormat="false" ht="15.75" hidden="false" customHeight="false" outlineLevel="0" collapsed="false"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customFormat="false" ht="15.75" hidden="false" customHeight="false" outlineLevel="0" collapsed="false"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customFormat="false" ht="15.75" hidden="false" customHeight="false" outlineLevel="0" collapsed="false"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customFormat="false" ht="15.75" hidden="false" customHeight="false" outlineLevel="0" collapsed="false"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customFormat="false" ht="15.75" hidden="false" customHeight="false" outlineLevel="0" collapsed="false"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customFormat="false" ht="15.75" hidden="false" customHeight="false" outlineLevel="0" collapsed="false"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customFormat="false" ht="15.75" hidden="false" customHeight="false" outlineLevel="0" collapsed="false"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customFormat="false" ht="15.75" hidden="false" customHeight="false" outlineLevel="0" collapsed="false"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customFormat="false" ht="15.75" hidden="false" customHeight="false" outlineLevel="0" collapsed="false"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customFormat="false" ht="15.75" hidden="false" customHeight="false" outlineLevel="0" collapsed="false"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customFormat="false" ht="15.75" hidden="false" customHeight="false" outlineLevel="0" collapsed="false"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customFormat="false" ht="15.75" hidden="false" customHeight="false" outlineLevel="0" collapsed="false"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customFormat="false" ht="15.75" hidden="false" customHeight="false" outlineLevel="0" collapsed="false"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customFormat="false" ht="15.75" hidden="false" customHeight="false" outlineLevel="0" collapsed="false"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customFormat="false" ht="15.75" hidden="false" customHeight="false" outlineLevel="0" collapsed="false"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customFormat="false" ht="15.75" hidden="false" customHeight="false" outlineLevel="0" collapsed="false"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customFormat="false" ht="15.75" hidden="false" customHeight="false" outlineLevel="0" collapsed="false"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customFormat="false" ht="15.75" hidden="false" customHeight="false" outlineLevel="0" collapsed="false"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customFormat="false" ht="15.75" hidden="false" customHeight="false" outlineLevel="0" collapsed="false"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customFormat="false" ht="15.75" hidden="false" customHeight="false" outlineLevel="0" collapsed="false"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customFormat="false" ht="15.75" hidden="false" customHeight="false" outlineLevel="0" collapsed="false"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customFormat="false" ht="15.75" hidden="false" customHeight="false" outlineLevel="0" collapsed="false"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customFormat="false" ht="15.75" hidden="false" customHeight="false" outlineLevel="0" collapsed="false"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customFormat="false" ht="15.75" hidden="false" customHeight="false" outlineLevel="0" collapsed="false"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customFormat="false" ht="15.75" hidden="false" customHeight="false" outlineLevel="0" collapsed="false"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customFormat="false" ht="15.75" hidden="false" customHeight="false" outlineLevel="0" collapsed="false"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customFormat="false" ht="15.75" hidden="false" customHeight="false" outlineLevel="0" collapsed="false"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customFormat="false" ht="15.75" hidden="false" customHeight="false" outlineLevel="0" collapsed="false"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customFormat="false" ht="15.75" hidden="false" customHeight="false" outlineLevel="0" collapsed="false"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customFormat="false" ht="15.75" hidden="false" customHeight="false" outlineLevel="0" collapsed="false"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customFormat="false" ht="15.75" hidden="false" customHeight="false" outlineLevel="0" collapsed="false"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customFormat="false" ht="15.75" hidden="false" customHeight="false" outlineLevel="0" collapsed="false"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customFormat="false" ht="15.75" hidden="false" customHeight="false" outlineLevel="0" collapsed="false"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customFormat="false" ht="15.75" hidden="false" customHeight="false" outlineLevel="0" collapsed="false"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customFormat="false" ht="15.75" hidden="false" customHeight="false" outlineLevel="0" collapsed="false"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customFormat="false" ht="15.75" hidden="false" customHeight="false" outlineLevel="0" collapsed="false"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customFormat="false" ht="15.75" hidden="false" customHeight="false" outlineLevel="0" collapsed="false"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customFormat="false" ht="15.75" hidden="false" customHeight="false" outlineLevel="0" collapsed="false"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customFormat="false" ht="15.75" hidden="false" customHeight="false" outlineLevel="0" collapsed="false"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customFormat="false" ht="15.75" hidden="false" customHeight="false" outlineLevel="0" collapsed="false"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customFormat="false" ht="15.75" hidden="false" customHeight="false" outlineLevel="0" collapsed="false"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customFormat="false" ht="15.75" hidden="false" customHeight="false" outlineLevel="0" collapsed="false"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customFormat="false" ht="15.75" hidden="false" customHeight="false" outlineLevel="0" collapsed="false"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customFormat="false" ht="15.75" hidden="false" customHeight="false" outlineLevel="0" collapsed="false"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customFormat="false" ht="15.75" hidden="false" customHeight="false" outlineLevel="0" collapsed="false"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customFormat="false" ht="15.75" hidden="false" customHeight="false" outlineLevel="0" collapsed="false"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customFormat="false" ht="15.75" hidden="false" customHeight="false" outlineLevel="0" collapsed="false"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customFormat="false" ht="15.75" hidden="false" customHeight="false" outlineLevel="0" collapsed="false"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customFormat="false" ht="15.75" hidden="false" customHeight="false" outlineLevel="0" collapsed="false"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customFormat="false" ht="15.75" hidden="false" customHeight="false" outlineLevel="0" collapsed="false"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customFormat="false" ht="15.75" hidden="false" customHeight="false" outlineLevel="0" collapsed="false"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customFormat="false" ht="15.75" hidden="false" customHeight="false" outlineLevel="0" collapsed="false"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customFormat="false" ht="15.75" hidden="false" customHeight="false" outlineLevel="0" collapsed="false"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customFormat="false" ht="15.75" hidden="false" customHeight="false" outlineLevel="0" collapsed="false"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customFormat="false" ht="15.75" hidden="false" customHeight="false" outlineLevel="0" collapsed="false"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customFormat="false" ht="15.75" hidden="false" customHeight="false" outlineLevel="0" collapsed="false"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customFormat="false" ht="15.75" hidden="false" customHeight="false" outlineLevel="0" collapsed="false"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customFormat="false" ht="15.75" hidden="false" customHeight="false" outlineLevel="0" collapsed="false"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customFormat="false" ht="15.75" hidden="false" customHeight="false" outlineLevel="0" collapsed="false"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customFormat="false" ht="15.75" hidden="false" customHeight="false" outlineLevel="0" collapsed="false"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customFormat="false" ht="15.75" hidden="false" customHeight="false" outlineLevel="0" collapsed="false"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customFormat="false" ht="15.75" hidden="false" customHeight="false" outlineLevel="0" collapsed="false"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customFormat="false" ht="15.75" hidden="false" customHeight="false" outlineLevel="0" collapsed="false"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customFormat="false" ht="15.75" hidden="false" customHeight="false" outlineLevel="0" collapsed="false"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customFormat="false" ht="15.75" hidden="false" customHeight="false" outlineLevel="0" collapsed="false"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customFormat="false" ht="15.75" hidden="false" customHeight="false" outlineLevel="0" collapsed="false"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customFormat="false" ht="15.75" hidden="false" customHeight="false" outlineLevel="0" collapsed="false"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customFormat="false" ht="15.75" hidden="false" customHeight="false" outlineLevel="0" collapsed="false"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customFormat="false" ht="15.75" hidden="false" customHeight="false" outlineLevel="0" collapsed="false"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customFormat="false" ht="15.75" hidden="false" customHeight="false" outlineLevel="0" collapsed="false"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customFormat="false" ht="15.75" hidden="false" customHeight="false" outlineLevel="0" collapsed="false"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customFormat="false" ht="15.75" hidden="false" customHeight="false" outlineLevel="0" collapsed="false"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customFormat="false" ht="15.75" hidden="false" customHeight="false" outlineLevel="0" collapsed="false"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customFormat="false" ht="15.75" hidden="false" customHeight="false" outlineLevel="0" collapsed="false"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customFormat="false" ht="15.75" hidden="false" customHeight="false" outlineLevel="0" collapsed="false"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customFormat="false" ht="15.75" hidden="false" customHeight="false" outlineLevel="0" collapsed="false"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customFormat="false" ht="15.75" hidden="false" customHeight="false" outlineLevel="0" collapsed="false"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customFormat="false" ht="15.75" hidden="false" customHeight="false" outlineLevel="0" collapsed="false"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customFormat="false" ht="15.75" hidden="false" customHeight="false" outlineLevel="0" collapsed="false"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customFormat="false" ht="15.75" hidden="false" customHeight="false" outlineLevel="0" collapsed="false"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customFormat="false" ht="15.75" hidden="false" customHeight="false" outlineLevel="0" collapsed="false"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customFormat="false" ht="15.75" hidden="false" customHeight="false" outlineLevel="0" collapsed="false"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customFormat="false" ht="15.75" hidden="false" customHeight="false" outlineLevel="0" collapsed="false"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customFormat="false" ht="15.75" hidden="false" customHeight="false" outlineLevel="0" collapsed="false"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customFormat="false" ht="15.75" hidden="false" customHeight="false" outlineLevel="0" collapsed="false"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customFormat="false" ht="15.75" hidden="false" customHeight="false" outlineLevel="0" collapsed="false"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customFormat="false" ht="15.75" hidden="false" customHeight="false" outlineLevel="0" collapsed="false"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customFormat="false" ht="15.75" hidden="false" customHeight="false" outlineLevel="0" collapsed="false"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customFormat="false" ht="15.75" hidden="false" customHeight="false" outlineLevel="0" collapsed="false"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customFormat="false" ht="15.75" hidden="false" customHeight="false" outlineLevel="0" collapsed="false"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customFormat="false" ht="15.75" hidden="false" customHeight="false" outlineLevel="0" collapsed="false"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customFormat="false" ht="15.75" hidden="false" customHeight="false" outlineLevel="0" collapsed="false"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customFormat="false" ht="15.75" hidden="false" customHeight="false" outlineLevel="0" collapsed="false"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customFormat="false" ht="15.75" hidden="false" customHeight="false" outlineLevel="0" collapsed="false"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customFormat="false" ht="15.75" hidden="false" customHeight="false" outlineLevel="0" collapsed="false"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customFormat="false" ht="15.75" hidden="false" customHeight="false" outlineLevel="0" collapsed="false"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customFormat="false" ht="15.75" hidden="false" customHeight="false" outlineLevel="0" collapsed="false"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customFormat="false" ht="15.75" hidden="false" customHeight="false" outlineLevel="0" collapsed="false"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customFormat="false" ht="15.75" hidden="false" customHeight="false" outlineLevel="0" collapsed="false"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customFormat="false" ht="15.75" hidden="false" customHeight="false" outlineLevel="0" collapsed="false"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customFormat="false" ht="15.75" hidden="false" customHeight="false" outlineLevel="0" collapsed="false"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customFormat="false" ht="15.75" hidden="false" customHeight="false" outlineLevel="0" collapsed="false"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customFormat="false" ht="15.75" hidden="false" customHeight="false" outlineLevel="0" collapsed="false"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customFormat="false" ht="15.75" hidden="false" customHeight="false" outlineLevel="0" collapsed="false"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customFormat="false" ht="15.75" hidden="false" customHeight="false" outlineLevel="0" collapsed="false"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customFormat="false" ht="15.75" hidden="false" customHeight="false" outlineLevel="0" collapsed="false"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customFormat="false" ht="15.75" hidden="false" customHeight="false" outlineLevel="0" collapsed="false"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customFormat="false" ht="15.75" hidden="false" customHeight="false" outlineLevel="0" collapsed="false"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customFormat="false" ht="15.75" hidden="false" customHeight="false" outlineLevel="0" collapsed="false"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customFormat="false" ht="15.75" hidden="false" customHeight="false" outlineLevel="0" collapsed="false"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customFormat="false" ht="15.75" hidden="false" customHeight="false" outlineLevel="0" collapsed="false"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customFormat="false" ht="15.75" hidden="false" customHeight="false" outlineLevel="0" collapsed="false"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customFormat="false" ht="15.75" hidden="false" customHeight="false" outlineLevel="0" collapsed="false"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customFormat="false" ht="15.75" hidden="false" customHeight="false" outlineLevel="0" collapsed="false"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customFormat="false" ht="15.75" hidden="false" customHeight="false" outlineLevel="0" collapsed="false"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customFormat="false" ht="15.75" hidden="false" customHeight="false" outlineLevel="0" collapsed="false"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customFormat="false" ht="15.75" hidden="false" customHeight="false" outlineLevel="0" collapsed="false"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customFormat="false" ht="15.75" hidden="false" customHeight="false" outlineLevel="0" collapsed="false"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customFormat="false" ht="15.75" hidden="false" customHeight="false" outlineLevel="0" collapsed="false"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customFormat="false" ht="15.75" hidden="false" customHeight="false" outlineLevel="0" collapsed="false"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customFormat="false" ht="15.75" hidden="false" customHeight="false" outlineLevel="0" collapsed="false"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customFormat="false" ht="15.75" hidden="false" customHeight="false" outlineLevel="0" collapsed="false"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customFormat="false" ht="15.75" hidden="false" customHeight="false" outlineLevel="0" collapsed="false"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customFormat="false" ht="15.75" hidden="false" customHeight="false" outlineLevel="0" collapsed="false"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customFormat="false" ht="15.75" hidden="false" customHeight="false" outlineLevel="0" collapsed="false"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customFormat="false" ht="15.75" hidden="false" customHeight="false" outlineLevel="0" collapsed="false"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customFormat="false" ht="15.75" hidden="false" customHeight="false" outlineLevel="0" collapsed="false"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customFormat="false" ht="15.75" hidden="false" customHeight="false" outlineLevel="0" collapsed="false"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customFormat="false" ht="15.75" hidden="false" customHeight="false" outlineLevel="0" collapsed="false"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customFormat="false" ht="15.75" hidden="false" customHeight="false" outlineLevel="0" collapsed="false"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customFormat="false" ht="15.75" hidden="false" customHeight="false" outlineLevel="0" collapsed="false"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customFormat="false" ht="15.75" hidden="false" customHeight="false" outlineLevel="0" collapsed="false"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customFormat="false" ht="15.75" hidden="false" customHeight="false" outlineLevel="0" collapsed="false"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customFormat="false" ht="15.75" hidden="false" customHeight="false" outlineLevel="0" collapsed="false"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customFormat="false" ht="15.75" hidden="false" customHeight="false" outlineLevel="0" collapsed="false"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customFormat="false" ht="15.75" hidden="false" customHeight="false" outlineLevel="0" collapsed="false"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customFormat="false" ht="15.75" hidden="false" customHeight="false" outlineLevel="0" collapsed="false"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customFormat="false" ht="15.75" hidden="false" customHeight="false" outlineLevel="0" collapsed="false"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customFormat="false" ht="15.75" hidden="false" customHeight="false" outlineLevel="0" collapsed="false"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customFormat="false" ht="15.75" hidden="false" customHeight="false" outlineLevel="0" collapsed="false"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customFormat="false" ht="15.75" hidden="false" customHeight="false" outlineLevel="0" collapsed="false"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customFormat="false" ht="15.75" hidden="false" customHeight="false" outlineLevel="0" collapsed="false"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customFormat="false" ht="15.75" hidden="false" customHeight="false" outlineLevel="0" collapsed="false"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customFormat="false" ht="15.75" hidden="false" customHeight="false" outlineLevel="0" collapsed="false"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customFormat="false" ht="15.75" hidden="false" customHeight="false" outlineLevel="0" collapsed="false"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customFormat="false" ht="15.75" hidden="false" customHeight="false" outlineLevel="0" collapsed="false"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customFormat="false" ht="15.75" hidden="false" customHeight="false" outlineLevel="0" collapsed="false"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customFormat="false" ht="15.75" hidden="false" customHeight="false" outlineLevel="0" collapsed="false"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customFormat="false" ht="15.75" hidden="false" customHeight="false" outlineLevel="0" collapsed="false"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customFormat="false" ht="15.75" hidden="false" customHeight="false" outlineLevel="0" collapsed="false"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customFormat="false" ht="15.75" hidden="false" customHeight="false" outlineLevel="0" collapsed="false"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customFormat="false" ht="15.75" hidden="false" customHeight="false" outlineLevel="0" collapsed="false"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customFormat="false" ht="15.75" hidden="false" customHeight="false" outlineLevel="0" collapsed="false"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customFormat="false" ht="15.75" hidden="false" customHeight="false" outlineLevel="0" collapsed="false"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customFormat="false" ht="15.75" hidden="false" customHeight="false" outlineLevel="0" collapsed="false"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customFormat="false" ht="15.75" hidden="false" customHeight="false" outlineLevel="0" collapsed="false"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customFormat="false" ht="15.75" hidden="false" customHeight="false" outlineLevel="0" collapsed="false"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customFormat="false" ht="15.75" hidden="false" customHeight="false" outlineLevel="0" collapsed="false"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customFormat="false" ht="15.75" hidden="false" customHeight="false" outlineLevel="0" collapsed="false"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customFormat="false" ht="15.75" hidden="false" customHeight="false" outlineLevel="0" collapsed="false"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customFormat="false" ht="15.75" hidden="false" customHeight="false" outlineLevel="0" collapsed="false"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customFormat="false" ht="15.75" hidden="false" customHeight="false" outlineLevel="0" collapsed="false"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customFormat="false" ht="15.75" hidden="false" customHeight="false" outlineLevel="0" collapsed="false"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customFormat="false" ht="15.75" hidden="false" customHeight="false" outlineLevel="0" collapsed="false"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customFormat="false" ht="15.75" hidden="false" customHeight="false" outlineLevel="0" collapsed="false"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customFormat="false" ht="15.75" hidden="false" customHeight="false" outlineLevel="0" collapsed="false"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customFormat="false" ht="15.75" hidden="false" customHeight="false" outlineLevel="0" collapsed="false"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customFormat="false" ht="15.75" hidden="false" customHeight="false" outlineLevel="0" collapsed="false"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customFormat="false" ht="15.75" hidden="false" customHeight="false" outlineLevel="0" collapsed="false"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customFormat="false" ht="15.75" hidden="false" customHeight="false" outlineLevel="0" collapsed="false"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customFormat="false" ht="15.75" hidden="false" customHeight="false" outlineLevel="0" collapsed="false"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customFormat="false" ht="15.75" hidden="false" customHeight="false" outlineLevel="0" collapsed="false"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customFormat="false" ht="15.75" hidden="false" customHeight="false" outlineLevel="0" collapsed="false"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customFormat="false" ht="15.75" hidden="false" customHeight="false" outlineLevel="0" collapsed="false"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customFormat="false" ht="15.75" hidden="false" customHeight="false" outlineLevel="0" collapsed="false"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customFormat="false" ht="15.75" hidden="false" customHeight="false" outlineLevel="0" collapsed="false"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customFormat="false" ht="15.75" hidden="false" customHeight="false" outlineLevel="0" collapsed="false"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customFormat="false" ht="15.75" hidden="false" customHeight="false" outlineLevel="0" collapsed="false"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customFormat="false" ht="15.75" hidden="false" customHeight="false" outlineLevel="0" collapsed="false"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customFormat="false" ht="15.75" hidden="false" customHeight="false" outlineLevel="0" collapsed="false"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customFormat="false" ht="15.75" hidden="false" customHeight="false" outlineLevel="0" collapsed="false"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customFormat="false" ht="15.75" hidden="false" customHeight="false" outlineLevel="0" collapsed="false"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customFormat="false" ht="15.75" hidden="false" customHeight="false" outlineLevel="0" collapsed="false"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customFormat="false" ht="15.75" hidden="false" customHeight="false" outlineLevel="0" collapsed="false"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customFormat="false" ht="15.75" hidden="false" customHeight="false" outlineLevel="0" collapsed="false"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customFormat="false" ht="15.75" hidden="false" customHeight="false" outlineLevel="0" collapsed="false"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customFormat="false" ht="15.75" hidden="false" customHeight="false" outlineLevel="0" collapsed="false"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customFormat="false" ht="15.75" hidden="false" customHeight="false" outlineLevel="0" collapsed="false"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customFormat="false" ht="15.75" hidden="false" customHeight="false" outlineLevel="0" collapsed="false"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customFormat="false" ht="15.75" hidden="false" customHeight="false" outlineLevel="0" collapsed="false"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customFormat="false" ht="15.75" hidden="false" customHeight="false" outlineLevel="0" collapsed="false"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customFormat="false" ht="15.75" hidden="false" customHeight="false" outlineLevel="0" collapsed="false"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customFormat="false" ht="15.75" hidden="false" customHeight="false" outlineLevel="0" collapsed="false"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customFormat="false" ht="15.75" hidden="false" customHeight="false" outlineLevel="0" collapsed="false"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customFormat="false" ht="15.75" hidden="false" customHeight="false" outlineLevel="0" collapsed="false"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customFormat="false" ht="15.75" hidden="false" customHeight="false" outlineLevel="0" collapsed="false"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customFormat="false" ht="15.75" hidden="false" customHeight="false" outlineLevel="0" collapsed="false"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customFormat="false" ht="15.75" hidden="false" customHeight="false" outlineLevel="0" collapsed="false"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customFormat="false" ht="15.75" hidden="false" customHeight="false" outlineLevel="0" collapsed="false"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customFormat="false" ht="15.75" hidden="false" customHeight="false" outlineLevel="0" collapsed="false"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customFormat="false" ht="15.75" hidden="false" customHeight="false" outlineLevel="0" collapsed="false"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customFormat="false" ht="15.75" hidden="false" customHeight="false" outlineLevel="0" collapsed="false"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customFormat="false" ht="15.75" hidden="false" customHeight="false" outlineLevel="0" collapsed="false"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customFormat="false" ht="15.75" hidden="false" customHeight="false" outlineLevel="0" collapsed="false"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customFormat="false" ht="15.75" hidden="false" customHeight="false" outlineLevel="0" collapsed="false"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customFormat="false" ht="15.75" hidden="false" customHeight="false" outlineLevel="0" collapsed="false"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customFormat="false" ht="15.75" hidden="false" customHeight="false" outlineLevel="0" collapsed="false"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customFormat="false" ht="15.75" hidden="false" customHeight="false" outlineLevel="0" collapsed="false"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customFormat="false" ht="15.75" hidden="false" customHeight="false" outlineLevel="0" collapsed="false"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customFormat="false" ht="15.75" hidden="false" customHeight="false" outlineLevel="0" collapsed="false"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 customFormat="false" ht="15.75" hidden="false" customHeight="false" outlineLevel="0" collapsed="false"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customFormat="false" ht="15.75" hidden="false" customHeight="false" outlineLevel="0" collapsed="false"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customFormat="false" ht="15.75" hidden="false" customHeight="false" outlineLevel="0" collapsed="false"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customFormat="false" ht="15.75" hidden="false" customHeight="false" outlineLevel="0" collapsed="false"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customFormat="false" ht="15.75" hidden="false" customHeight="false" outlineLevel="0" collapsed="false"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customFormat="false" ht="15.75" hidden="false" customHeight="false" outlineLevel="0" collapsed="false"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customFormat="false" ht="15.75" hidden="false" customHeight="false" outlineLevel="0" collapsed="false"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customFormat="false" ht="15.75" hidden="false" customHeight="false" outlineLevel="0" collapsed="false"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 customFormat="false" ht="15.75" hidden="false" customHeight="false" outlineLevel="0" collapsed="false"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customFormat="false" ht="15.75" hidden="false" customHeight="false" outlineLevel="0" collapsed="false"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 customFormat="false" ht="15.75" hidden="false" customHeight="false" outlineLevel="0" collapsed="false"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customFormat="false" ht="15.75" hidden="false" customHeight="false" outlineLevel="0" collapsed="false"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 customFormat="false" ht="15.75" hidden="false" customHeight="false" outlineLevel="0" collapsed="false"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customFormat="false" ht="15.75" hidden="false" customHeight="false" outlineLevel="0" collapsed="false"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 customFormat="false" ht="15.75" hidden="false" customHeight="false" outlineLevel="0" collapsed="false"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customFormat="false" ht="15.75" hidden="false" customHeight="false" outlineLevel="0" collapsed="false"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customFormat="false" ht="15.75" hidden="false" customHeight="false" outlineLevel="0" collapsed="false"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customFormat="false" ht="15.75" hidden="false" customHeight="false" outlineLevel="0" collapsed="false"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 customFormat="false" ht="15.75" hidden="false" customHeight="false" outlineLevel="0" collapsed="false"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customFormat="false" ht="15.75" hidden="false" customHeight="false" outlineLevel="0" collapsed="false"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customFormat="false" ht="15.75" hidden="false" customHeight="false" outlineLevel="0" collapsed="false"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customFormat="false" ht="15.75" hidden="false" customHeight="false" outlineLevel="0" collapsed="false"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 customFormat="false" ht="15.75" hidden="false" customHeight="false" outlineLevel="0" collapsed="false"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customFormat="false" ht="15.75" hidden="false" customHeight="false" outlineLevel="0" collapsed="false"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 customFormat="false" ht="15.75" hidden="false" customHeight="false" outlineLevel="0" collapsed="false"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customFormat="false" ht="15.75" hidden="false" customHeight="false" outlineLevel="0" collapsed="false"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customFormat="false" ht="15.75" hidden="false" customHeight="false" outlineLevel="0" collapsed="false"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customFormat="false" ht="15.75" hidden="false" customHeight="false" outlineLevel="0" collapsed="false"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customFormat="false" ht="15.75" hidden="false" customHeight="false" outlineLevel="0" collapsed="false"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customFormat="false" ht="15.75" hidden="false" customHeight="false" outlineLevel="0" collapsed="false"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 customFormat="false" ht="15.75" hidden="false" customHeight="false" outlineLevel="0" collapsed="false"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customFormat="false" ht="15.75" hidden="false" customHeight="false" outlineLevel="0" collapsed="false"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 customFormat="false" ht="15.75" hidden="false" customHeight="false" outlineLevel="0" collapsed="false"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customFormat="false" ht="15.75" hidden="false" customHeight="false" outlineLevel="0" collapsed="false"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customFormat="false" ht="15.75" hidden="false" customHeight="false" outlineLevel="0" collapsed="false"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customFormat="false" ht="15.75" hidden="false" customHeight="false" outlineLevel="0" collapsed="false"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 customFormat="false" ht="15.75" hidden="false" customHeight="false" outlineLevel="0" collapsed="false"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customFormat="false" ht="15.75" hidden="false" customHeight="false" outlineLevel="0" collapsed="false"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 customFormat="false" ht="15.75" hidden="false" customHeight="false" outlineLevel="0" collapsed="false"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customFormat="false" ht="15.75" hidden="false" customHeight="false" outlineLevel="0" collapsed="false"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customFormat="false" ht="15.75" hidden="false" customHeight="false" outlineLevel="0" collapsed="false"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customFormat="false" ht="15.75" hidden="false" customHeight="false" outlineLevel="0" collapsed="false"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customFormat="false" ht="15.75" hidden="false" customHeight="false" outlineLevel="0" collapsed="false"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customFormat="false" ht="15.75" hidden="false" customHeight="false" outlineLevel="0" collapsed="false"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customFormat="false" ht="15.75" hidden="false" customHeight="false" outlineLevel="0" collapsed="false"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customFormat="false" ht="15.75" hidden="false" customHeight="false" outlineLevel="0" collapsed="false"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 customFormat="false" ht="15.75" hidden="false" customHeight="false" outlineLevel="0" collapsed="false"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customFormat="false" ht="15.75" hidden="false" customHeight="false" outlineLevel="0" collapsed="false"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 customFormat="false" ht="15.75" hidden="false" customHeight="false" outlineLevel="0" collapsed="false"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customFormat="false" ht="15.75" hidden="false" customHeight="false" outlineLevel="0" collapsed="false"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 customFormat="false" ht="15.75" hidden="false" customHeight="false" outlineLevel="0" collapsed="false"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customFormat="false" ht="15.75" hidden="false" customHeight="false" outlineLevel="0" collapsed="false"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customFormat="false" ht="15.75" hidden="false" customHeight="false" outlineLevel="0" collapsed="false"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customFormat="false" ht="15.75" hidden="false" customHeight="false" outlineLevel="0" collapsed="false"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 customFormat="false" ht="15.75" hidden="false" customHeight="false" outlineLevel="0" collapsed="false"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customFormat="false" ht="15.75" hidden="false" customHeight="false" outlineLevel="0" collapsed="false"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 customFormat="false" ht="15.75" hidden="false" customHeight="false" outlineLevel="0" collapsed="false"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customFormat="false" ht="15.75" hidden="false" customHeight="false" outlineLevel="0" collapsed="false"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 customFormat="false" ht="15.75" hidden="false" customHeight="false" outlineLevel="0" collapsed="false"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customFormat="false" ht="15.75" hidden="false" customHeight="false" outlineLevel="0" collapsed="false"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 customFormat="false" ht="15.75" hidden="false" customHeight="false" outlineLevel="0" collapsed="false"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customFormat="false" ht="15.75" hidden="false" customHeight="false" outlineLevel="0" collapsed="false"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 customFormat="false" ht="15.75" hidden="false" customHeight="false" outlineLevel="0" collapsed="false"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customFormat="false" ht="15.75" hidden="false" customHeight="false" outlineLevel="0" collapsed="false"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customFormat="false" ht="15.75" hidden="false" customHeight="false" outlineLevel="0" collapsed="false"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customFormat="false" ht="15.75" hidden="false" customHeight="false" outlineLevel="0" collapsed="false"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 customFormat="false" ht="15.75" hidden="false" customHeight="false" outlineLevel="0" collapsed="false"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customFormat="false" ht="15.75" hidden="false" customHeight="false" outlineLevel="0" collapsed="false"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 customFormat="false" ht="15.75" hidden="false" customHeight="false" outlineLevel="0" collapsed="false"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customFormat="false" ht="15.75" hidden="false" customHeight="false" outlineLevel="0" collapsed="false"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 customFormat="false" ht="15.75" hidden="false" customHeight="false" outlineLevel="0" collapsed="false"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customFormat="false" ht="15.75" hidden="false" customHeight="false" outlineLevel="0" collapsed="false"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 customFormat="false" ht="15.75" hidden="false" customHeight="false" outlineLevel="0" collapsed="false"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customFormat="false" ht="15.75" hidden="false" customHeight="false" outlineLevel="0" collapsed="false"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 customFormat="false" ht="15.75" hidden="false" customHeight="false" outlineLevel="0" collapsed="false"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customFormat="false" ht="15.75" hidden="false" customHeight="false" outlineLevel="0" collapsed="false"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customFormat="false" ht="15.75" hidden="false" customHeight="false" outlineLevel="0" collapsed="false"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customFormat="false" ht="15.75" hidden="false" customHeight="false" outlineLevel="0" collapsed="false"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 customFormat="false" ht="15.75" hidden="false" customHeight="false" outlineLevel="0" collapsed="false"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customFormat="false" ht="15.75" hidden="false" customHeight="false" outlineLevel="0" collapsed="false"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 customFormat="false" ht="15.75" hidden="false" customHeight="false" outlineLevel="0" collapsed="false"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customFormat="false" ht="15.75" hidden="false" customHeight="false" outlineLevel="0" collapsed="false"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 customFormat="false" ht="15.75" hidden="false" customHeight="false" outlineLevel="0" collapsed="false"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customFormat="false" ht="15.75" hidden="false" customHeight="false" outlineLevel="0" collapsed="false"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 customFormat="false" ht="15.75" hidden="false" customHeight="false" outlineLevel="0" collapsed="false"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customFormat="false" ht="15.75" hidden="false" customHeight="false" outlineLevel="0" collapsed="false"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customFormat="false" ht="15.75" hidden="false" customHeight="false" outlineLevel="0" collapsed="false"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customFormat="false" ht="15.75" hidden="false" customHeight="false" outlineLevel="0" collapsed="false"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customFormat="false" ht="15.75" hidden="false" customHeight="false" outlineLevel="0" collapsed="false"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customFormat="false" ht="15.75" hidden="false" customHeight="false" outlineLevel="0" collapsed="false"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 customFormat="false" ht="15.75" hidden="false" customHeight="false" outlineLevel="0" collapsed="false"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customFormat="false" ht="15.75" hidden="false" customHeight="false" outlineLevel="0" collapsed="false"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 customFormat="false" ht="15.75" hidden="false" customHeight="false" outlineLevel="0" collapsed="false"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customFormat="false" ht="15.75" hidden="false" customHeight="false" outlineLevel="0" collapsed="false"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 customFormat="false" ht="15.75" hidden="false" customHeight="false" outlineLevel="0" collapsed="false"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customFormat="false" ht="15.75" hidden="false" customHeight="false" outlineLevel="0" collapsed="false"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 customFormat="false" ht="15.75" hidden="false" customHeight="false" outlineLevel="0" collapsed="false"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customFormat="false" ht="15.75" hidden="false" customHeight="false" outlineLevel="0" collapsed="false"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 customFormat="false" ht="15.75" hidden="false" customHeight="false" outlineLevel="0" collapsed="false"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customFormat="false" ht="15.75" hidden="false" customHeight="false" outlineLevel="0" collapsed="false"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customFormat="false" ht="15.75" hidden="false" customHeight="false" outlineLevel="0" collapsed="false"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customFormat="false" ht="15.75" hidden="false" customHeight="false" outlineLevel="0" collapsed="false"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 customFormat="false" ht="15.75" hidden="false" customHeight="false" outlineLevel="0" collapsed="false"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customFormat="false" ht="15.75" hidden="false" customHeight="false" outlineLevel="0" collapsed="false"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 customFormat="false" ht="15.75" hidden="false" customHeight="false" outlineLevel="0" collapsed="false"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customFormat="false" ht="15.75" hidden="false" customHeight="false" outlineLevel="0" collapsed="false"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 customFormat="false" ht="15.75" hidden="false" customHeight="false" outlineLevel="0" collapsed="false"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customFormat="false" ht="15.75" hidden="false" customHeight="false" outlineLevel="0" collapsed="false"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 customFormat="false" ht="15.75" hidden="false" customHeight="false" outlineLevel="0" collapsed="false"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customFormat="false" ht="15.75" hidden="false" customHeight="false" outlineLevel="0" collapsed="false"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 customFormat="false" ht="15.75" hidden="false" customHeight="false" outlineLevel="0" collapsed="false"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customFormat="false" ht="15.75" hidden="false" customHeight="false" outlineLevel="0" collapsed="false"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customFormat="false" ht="15.75" hidden="false" customHeight="false" outlineLevel="0" collapsed="false"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customFormat="false" ht="15.75" hidden="false" customHeight="false" outlineLevel="0" collapsed="false"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 customFormat="false" ht="15.75" hidden="false" customHeight="false" outlineLevel="0" collapsed="false"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customFormat="false" ht="15.75" hidden="false" customHeight="false" outlineLevel="0" collapsed="false"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 customFormat="false" ht="15.75" hidden="false" customHeight="false" outlineLevel="0" collapsed="false"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customFormat="false" ht="15.75" hidden="false" customHeight="false" outlineLevel="0" collapsed="false"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customFormat="false" ht="15.75" hidden="false" customHeight="false" outlineLevel="0" collapsed="false"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customFormat="false" ht="15.75" hidden="false" customHeight="false" outlineLevel="0" collapsed="false"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 customFormat="false" ht="15.75" hidden="false" customHeight="false" outlineLevel="0" collapsed="false"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customFormat="false" ht="15.75" hidden="false" customHeight="false" outlineLevel="0" collapsed="false"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 customFormat="false" ht="15.75" hidden="false" customHeight="false" outlineLevel="0" collapsed="false"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customFormat="false" ht="15.75" hidden="false" customHeight="false" outlineLevel="0" collapsed="false"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customFormat="false" ht="15.75" hidden="false" customHeight="false" outlineLevel="0" collapsed="false"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customFormat="false" ht="15.75" hidden="false" customHeight="false" outlineLevel="0" collapsed="false"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 customFormat="false" ht="15.75" hidden="false" customHeight="false" outlineLevel="0" collapsed="false"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customFormat="false" ht="15.75" hidden="false" customHeight="false" outlineLevel="0" collapsed="false"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customFormat="false" ht="15.75" hidden="false" customHeight="false" outlineLevel="0" collapsed="false"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customFormat="false" ht="15.75" hidden="false" customHeight="false" outlineLevel="0" collapsed="false"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 customFormat="false" ht="15.75" hidden="false" customHeight="false" outlineLevel="0" collapsed="false"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customFormat="false" ht="15.75" hidden="false" customHeight="false" outlineLevel="0" collapsed="false"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 customFormat="false" ht="15.75" hidden="false" customHeight="false" outlineLevel="0" collapsed="false"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customFormat="false" ht="15.75" hidden="false" customHeight="false" outlineLevel="0" collapsed="false"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 customFormat="false" ht="15.75" hidden="false" customHeight="false" outlineLevel="0" collapsed="false"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customFormat="false" ht="15.75" hidden="false" customHeight="false" outlineLevel="0" collapsed="false"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 customFormat="false" ht="15.75" hidden="false" customHeight="false" outlineLevel="0" collapsed="false"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customFormat="false" ht="15.75" hidden="false" customHeight="false" outlineLevel="0" collapsed="false"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 customFormat="false" ht="15.75" hidden="false" customHeight="false" outlineLevel="0" collapsed="false"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customFormat="false" ht="15.75" hidden="false" customHeight="false" outlineLevel="0" collapsed="false"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 customFormat="false" ht="15.75" hidden="false" customHeight="false" outlineLevel="0" collapsed="false"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customFormat="false" ht="15.75" hidden="false" customHeight="false" outlineLevel="0" collapsed="false"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 customFormat="false" ht="15.75" hidden="false" customHeight="false" outlineLevel="0" collapsed="false"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customFormat="false" ht="15.75" hidden="false" customHeight="false" outlineLevel="0" collapsed="false"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 customFormat="false" ht="15.75" hidden="false" customHeight="false" outlineLevel="0" collapsed="false"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customFormat="false" ht="15.75" hidden="false" customHeight="false" outlineLevel="0" collapsed="false"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 customFormat="false" ht="15.75" hidden="false" customHeight="false" outlineLevel="0" collapsed="false"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customFormat="false" ht="15.75" hidden="false" customHeight="false" outlineLevel="0" collapsed="false"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customFormat="false" ht="15.75" hidden="false" customHeight="false" outlineLevel="0" collapsed="false"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customFormat="false" ht="15.75" hidden="false" customHeight="false" outlineLevel="0" collapsed="false"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 customFormat="false" ht="15.75" hidden="false" customHeight="false" outlineLevel="0" collapsed="false"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customFormat="false" ht="15.75" hidden="false" customHeight="false" outlineLevel="0" collapsed="false"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 customFormat="false" ht="15.75" hidden="false" customHeight="false" outlineLevel="0" collapsed="false"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customFormat="false" ht="15.75" hidden="false" customHeight="false" outlineLevel="0" collapsed="false"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 customFormat="false" ht="15.75" hidden="false" customHeight="false" outlineLevel="0" collapsed="false"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customFormat="false" ht="15.75" hidden="false" customHeight="false" outlineLevel="0" collapsed="false"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 customFormat="false" ht="15.75" hidden="false" customHeight="false" outlineLevel="0" collapsed="false"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customFormat="false" ht="15.75" hidden="false" customHeight="false" outlineLevel="0" collapsed="false"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 customFormat="false" ht="15.75" hidden="false" customHeight="false" outlineLevel="0" collapsed="false"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customFormat="false" ht="15.75" hidden="false" customHeight="false" outlineLevel="0" collapsed="false"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customFormat="false" ht="15.75" hidden="false" customHeight="false" outlineLevel="0" collapsed="false"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customFormat="false" ht="15.75" hidden="false" customHeight="false" outlineLevel="0" collapsed="false"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 customFormat="false" ht="15.75" hidden="false" customHeight="false" outlineLevel="0" collapsed="false"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customFormat="false" ht="15.75" hidden="false" customHeight="false" outlineLevel="0" collapsed="false"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 customFormat="false" ht="15.75" hidden="false" customHeight="false" outlineLevel="0" collapsed="false"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customFormat="false" ht="15.75" hidden="false" customHeight="false" outlineLevel="0" collapsed="false"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 customFormat="false" ht="15.75" hidden="false" customHeight="false" outlineLevel="0" collapsed="false"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customFormat="false" ht="15.75" hidden="false" customHeight="false" outlineLevel="0" collapsed="false"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 customFormat="false" ht="15.75" hidden="false" customHeight="false" outlineLevel="0" collapsed="false"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customFormat="false" ht="15.75" hidden="false" customHeight="false" outlineLevel="0" collapsed="false"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customFormat="false" ht="15.75" hidden="false" customHeight="false" outlineLevel="0" collapsed="false"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customFormat="false" ht="15.75" hidden="false" customHeight="false" outlineLevel="0" collapsed="false"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customFormat="false" ht="15.75" hidden="false" customHeight="false" outlineLevel="0" collapsed="false"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customFormat="false" ht="15.75" hidden="false" customHeight="false" outlineLevel="0" collapsed="false"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 customFormat="false" ht="15.75" hidden="false" customHeight="false" outlineLevel="0" collapsed="false"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customFormat="false" ht="15.75" hidden="false" customHeight="false" outlineLevel="0" collapsed="false"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 customFormat="false" ht="15.75" hidden="false" customHeight="false" outlineLevel="0" collapsed="false"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customFormat="false" ht="15.75" hidden="false" customHeight="false" outlineLevel="0" collapsed="false"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 customFormat="false" ht="15.75" hidden="false" customHeight="false" outlineLevel="0" collapsed="false"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customFormat="false" ht="15.75" hidden="false" customHeight="false" outlineLevel="0" collapsed="false"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 customFormat="false" ht="15.75" hidden="false" customHeight="false" outlineLevel="0" collapsed="false"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customFormat="false" ht="15.75" hidden="false" customHeight="false" outlineLevel="0" collapsed="false"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 customFormat="false" ht="15.75" hidden="false" customHeight="false" outlineLevel="0" collapsed="false"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customFormat="false" ht="15.75" hidden="false" customHeight="false" outlineLevel="0" collapsed="false"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customFormat="false" ht="15.75" hidden="false" customHeight="false" outlineLevel="0" collapsed="false"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customFormat="false" ht="15.75" hidden="false" customHeight="false" outlineLevel="0" collapsed="false"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 customFormat="false" ht="15.75" hidden="false" customHeight="false" outlineLevel="0" collapsed="false"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customFormat="false" ht="15.75" hidden="false" customHeight="false" outlineLevel="0" collapsed="false"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 customFormat="false" ht="15.75" hidden="false" customHeight="false" outlineLevel="0" collapsed="false"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customFormat="false" ht="15.75" hidden="false" customHeight="false" outlineLevel="0" collapsed="false"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 customFormat="false" ht="15.75" hidden="false" customHeight="false" outlineLevel="0" collapsed="false"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customFormat="false" ht="15.75" hidden="false" customHeight="false" outlineLevel="0" collapsed="false"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 customFormat="false" ht="15.75" hidden="false" customHeight="false" outlineLevel="0" collapsed="false"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customFormat="false" ht="15.75" hidden="false" customHeight="false" outlineLevel="0" collapsed="false"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 customFormat="false" ht="15.75" hidden="false" customHeight="false" outlineLevel="0" collapsed="false"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customFormat="false" ht="15.75" hidden="false" customHeight="false" outlineLevel="0" collapsed="false"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customFormat="false" ht="15.75" hidden="false" customHeight="false" outlineLevel="0" collapsed="false"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customFormat="false" ht="15.75" hidden="false" customHeight="false" outlineLevel="0" collapsed="false"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 customFormat="false" ht="15.75" hidden="false" customHeight="false" outlineLevel="0" collapsed="false"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customFormat="false" ht="15.75" hidden="false" customHeight="false" outlineLevel="0" collapsed="false"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 customFormat="false" ht="15.75" hidden="false" customHeight="false" outlineLevel="0" collapsed="false"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customFormat="false" ht="15.75" hidden="false" customHeight="false" outlineLevel="0" collapsed="false"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 customFormat="false" ht="15.75" hidden="false" customHeight="false" outlineLevel="0" collapsed="false"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customFormat="false" ht="15.75" hidden="false" customHeight="false" outlineLevel="0" collapsed="false"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 customFormat="false" ht="15.75" hidden="false" customHeight="false" outlineLevel="0" collapsed="false"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customFormat="false" ht="15.75" hidden="false" customHeight="false" outlineLevel="0" collapsed="false"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 customFormat="false" ht="15.75" hidden="false" customHeight="false" outlineLevel="0" collapsed="false"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customFormat="false" ht="15.75" hidden="false" customHeight="false" outlineLevel="0" collapsed="false"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 customFormat="false" ht="15.75" hidden="false" customHeight="false" outlineLevel="0" collapsed="false"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customFormat="false" ht="15.75" hidden="false" customHeight="false" outlineLevel="0" collapsed="false"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 customFormat="false" ht="15.75" hidden="false" customHeight="false" outlineLevel="0" collapsed="false"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customFormat="false" ht="15.75" hidden="false" customHeight="false" outlineLevel="0" collapsed="false"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 customFormat="false" ht="15.75" hidden="false" customHeight="false" outlineLevel="0" collapsed="false"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customFormat="false" ht="15.75" hidden="false" customHeight="false" outlineLevel="0" collapsed="false"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 customFormat="false" ht="15.75" hidden="false" customHeight="false" outlineLevel="0" collapsed="false"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customFormat="false" ht="15.75" hidden="false" customHeight="false" outlineLevel="0" collapsed="false"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 customFormat="false" ht="15.75" hidden="false" customHeight="false" outlineLevel="0" collapsed="false"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customFormat="false" ht="15.75" hidden="false" customHeight="false" outlineLevel="0" collapsed="false"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 customFormat="false" ht="15.75" hidden="false" customHeight="false" outlineLevel="0" collapsed="false"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customFormat="false" ht="15.75" hidden="false" customHeight="false" outlineLevel="0" collapsed="false"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 customFormat="false" ht="15.75" hidden="false" customHeight="false" outlineLevel="0" collapsed="false"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customFormat="false" ht="15.75" hidden="false" customHeight="false" outlineLevel="0" collapsed="false"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 customFormat="false" ht="15.75" hidden="false" customHeight="false" outlineLevel="0" collapsed="false"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customFormat="false" ht="15.75" hidden="false" customHeight="false" outlineLevel="0" collapsed="false"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 customFormat="false" ht="15.75" hidden="false" customHeight="false" outlineLevel="0" collapsed="false"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customFormat="false" ht="15.75" hidden="false" customHeight="false" outlineLevel="0" collapsed="false"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 customFormat="false" ht="15.75" hidden="false" customHeight="false" outlineLevel="0" collapsed="false"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customFormat="false" ht="15.75" hidden="false" customHeight="false" outlineLevel="0" collapsed="false"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 customFormat="false" ht="15.75" hidden="false" customHeight="false" outlineLevel="0" collapsed="false"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customFormat="false" ht="15.75" hidden="false" customHeight="false" outlineLevel="0" collapsed="false"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 customFormat="false" ht="15.75" hidden="false" customHeight="false" outlineLevel="0" collapsed="false"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customFormat="false" ht="15.75" hidden="false" customHeight="false" outlineLevel="0" collapsed="false"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 customFormat="false" ht="15.75" hidden="false" customHeight="false" outlineLevel="0" collapsed="false"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customFormat="false" ht="15.75" hidden="false" customHeight="false" outlineLevel="0" collapsed="false"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 customFormat="false" ht="15.75" hidden="false" customHeight="false" outlineLevel="0" collapsed="false"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customFormat="false" ht="15.75" hidden="false" customHeight="false" outlineLevel="0" collapsed="false"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 customFormat="false" ht="15.75" hidden="false" customHeight="false" outlineLevel="0" collapsed="false"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customFormat="false" ht="15.75" hidden="false" customHeight="false" outlineLevel="0" collapsed="false"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 customFormat="false" ht="15.75" hidden="false" customHeight="false" outlineLevel="0" collapsed="false"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customFormat="false" ht="15.75" hidden="false" customHeight="false" outlineLevel="0" collapsed="false"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 customFormat="false" ht="15.75" hidden="false" customHeight="false" outlineLevel="0" collapsed="false"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customFormat="false" ht="15.75" hidden="false" customHeight="false" outlineLevel="0" collapsed="false"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 customFormat="false" ht="15.75" hidden="false" customHeight="false" outlineLevel="0" collapsed="false"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customFormat="false" ht="15.75" hidden="false" customHeight="false" outlineLevel="0" collapsed="false"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 customFormat="false" ht="15.75" hidden="false" customHeight="false" outlineLevel="0" collapsed="false"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customFormat="false" ht="15.75" hidden="false" customHeight="false" outlineLevel="0" collapsed="false"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 customFormat="false" ht="15.75" hidden="false" customHeight="false" outlineLevel="0" collapsed="false"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customFormat="false" ht="15.75" hidden="false" customHeight="false" outlineLevel="0" collapsed="false"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 customFormat="false" ht="15.75" hidden="false" customHeight="false" outlineLevel="0" collapsed="false"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customFormat="false" ht="15.75" hidden="false" customHeight="false" outlineLevel="0" collapsed="false"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 customFormat="false" ht="15.75" hidden="false" customHeight="false" outlineLevel="0" collapsed="false"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customFormat="false" ht="15.75" hidden="false" customHeight="false" outlineLevel="0" collapsed="false"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 customFormat="false" ht="15.75" hidden="false" customHeight="false" outlineLevel="0" collapsed="false"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customFormat="false" ht="15.75" hidden="false" customHeight="false" outlineLevel="0" collapsed="false"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 customFormat="false" ht="15.75" hidden="false" customHeight="false" outlineLevel="0" collapsed="false"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customFormat="false" ht="15.75" hidden="false" customHeight="false" outlineLevel="0" collapsed="false"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 customFormat="false" ht="15.75" hidden="false" customHeight="false" outlineLevel="0" collapsed="false"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customFormat="false" ht="15.75" hidden="false" customHeight="false" outlineLevel="0" collapsed="false"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 customFormat="false" ht="15.75" hidden="false" customHeight="false" outlineLevel="0" collapsed="false"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customFormat="false" ht="15.75" hidden="false" customHeight="false" outlineLevel="0" collapsed="false"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 customFormat="false" ht="15.75" hidden="false" customHeight="false" outlineLevel="0" collapsed="false"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customFormat="false" ht="15.75" hidden="false" customHeight="false" outlineLevel="0" collapsed="false"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 customFormat="false" ht="15.75" hidden="false" customHeight="false" outlineLevel="0" collapsed="false"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customFormat="false" ht="15.75" hidden="false" customHeight="false" outlineLevel="0" collapsed="false"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 customFormat="false" ht="15.75" hidden="false" customHeight="false" outlineLevel="0" collapsed="false"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customFormat="false" ht="15.75" hidden="false" customHeight="false" outlineLevel="0" collapsed="false"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 customFormat="false" ht="15.75" hidden="false" customHeight="false" outlineLevel="0" collapsed="false"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customFormat="false" ht="15.75" hidden="false" customHeight="false" outlineLevel="0" collapsed="false"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 customFormat="false" ht="15.75" hidden="false" customHeight="false" outlineLevel="0" collapsed="false"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customFormat="false" ht="15.75" hidden="false" customHeight="false" outlineLevel="0" collapsed="false"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 customFormat="false" ht="15.75" hidden="false" customHeight="false" outlineLevel="0" collapsed="false"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customFormat="false" ht="15.75" hidden="false" customHeight="false" outlineLevel="0" collapsed="false"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 customFormat="false" ht="15.75" hidden="false" customHeight="false" outlineLevel="0" collapsed="false"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customFormat="false" ht="15.75" hidden="false" customHeight="false" outlineLevel="0" collapsed="false"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 customFormat="false" ht="15.75" hidden="false" customHeight="false" outlineLevel="0" collapsed="false"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customFormat="false" ht="15.75" hidden="false" customHeight="false" outlineLevel="0" collapsed="false"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 customFormat="false" ht="15.75" hidden="false" customHeight="false" outlineLevel="0" collapsed="false"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customFormat="false" ht="15.75" hidden="false" customHeight="false" outlineLevel="0" collapsed="false"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 customFormat="false" ht="15.75" hidden="false" customHeight="false" outlineLevel="0" collapsed="false"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customFormat="false" ht="15.75" hidden="false" customHeight="false" outlineLevel="0" collapsed="false"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 customFormat="false" ht="15.75" hidden="false" customHeight="false" outlineLevel="0" collapsed="false"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customFormat="false" ht="15.75" hidden="false" customHeight="false" outlineLevel="0" collapsed="false"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 customFormat="false" ht="15.75" hidden="false" customHeight="false" outlineLevel="0" collapsed="false"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customFormat="false" ht="15.75" hidden="false" customHeight="false" outlineLevel="0" collapsed="false"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 customFormat="false" ht="15.75" hidden="false" customHeight="false" outlineLevel="0" collapsed="false"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customFormat="false" ht="15.75" hidden="false" customHeight="false" outlineLevel="0" collapsed="false"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 customFormat="false" ht="15.75" hidden="false" customHeight="false" outlineLevel="0" collapsed="false"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customFormat="false" ht="15.75" hidden="false" customHeight="false" outlineLevel="0" collapsed="false"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 customFormat="false" ht="15.75" hidden="false" customHeight="false" outlineLevel="0" collapsed="false"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customFormat="false" ht="15.75" hidden="false" customHeight="false" outlineLevel="0" collapsed="false"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 customFormat="false" ht="15.75" hidden="false" customHeight="false" outlineLevel="0" collapsed="false"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customFormat="false" ht="15.75" hidden="false" customHeight="false" outlineLevel="0" collapsed="false"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 customFormat="false" ht="15.75" hidden="false" customHeight="false" outlineLevel="0" collapsed="false"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customFormat="false" ht="15.75" hidden="false" customHeight="false" outlineLevel="0" collapsed="false"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 customFormat="false" ht="15.75" hidden="false" customHeight="false" outlineLevel="0" collapsed="false"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customFormat="false" ht="15.75" hidden="false" customHeight="false" outlineLevel="0" collapsed="false"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 customFormat="false" ht="15.75" hidden="false" customHeight="false" outlineLevel="0" collapsed="false"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customFormat="false" ht="15.75" hidden="false" customHeight="false" outlineLevel="0" collapsed="false"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 customFormat="false" ht="15.75" hidden="false" customHeight="false" outlineLevel="0" collapsed="false"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customFormat="false" ht="15.75" hidden="false" customHeight="false" outlineLevel="0" collapsed="false"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 customFormat="false" ht="15.75" hidden="false" customHeight="false" outlineLevel="0" collapsed="false"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customFormat="false" ht="15.75" hidden="false" customHeight="false" outlineLevel="0" collapsed="false"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 customFormat="false" ht="15.75" hidden="false" customHeight="false" outlineLevel="0" collapsed="false"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customFormat="false" ht="15.75" hidden="false" customHeight="false" outlineLevel="0" collapsed="false"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 customFormat="false" ht="15.75" hidden="false" customHeight="false" outlineLevel="0" collapsed="false"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customFormat="false" ht="15.75" hidden="false" customHeight="false" outlineLevel="0" collapsed="false"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 customFormat="false" ht="15.75" hidden="false" customHeight="false" outlineLevel="0" collapsed="false"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customFormat="false" ht="15.75" hidden="false" customHeight="false" outlineLevel="0" collapsed="false"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 customFormat="false" ht="15.75" hidden="false" customHeight="false" outlineLevel="0" collapsed="false"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customFormat="false" ht="15.75" hidden="false" customHeight="false" outlineLevel="0" collapsed="false"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 customFormat="false" ht="15.75" hidden="false" customHeight="false" outlineLevel="0" collapsed="false"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customFormat="false" ht="15.75" hidden="false" customHeight="false" outlineLevel="0" collapsed="false"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 customFormat="false" ht="15.75" hidden="false" customHeight="false" outlineLevel="0" collapsed="false"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customFormat="false" ht="15.75" hidden="false" customHeight="false" outlineLevel="0" collapsed="false"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 customFormat="false" ht="15.75" hidden="false" customHeight="false" outlineLevel="0" collapsed="false"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customFormat="false" ht="15.75" hidden="false" customHeight="false" outlineLevel="0" collapsed="false"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 customFormat="false" ht="15.75" hidden="false" customHeight="false" outlineLevel="0" collapsed="false"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customFormat="false" ht="15.75" hidden="false" customHeight="false" outlineLevel="0" collapsed="false"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customFormat="false" ht="15.75" hidden="false" customHeight="false" outlineLevel="0" collapsed="false"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customFormat="false" ht="15.75" hidden="false" customHeight="false" outlineLevel="0" collapsed="false"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 customFormat="false" ht="15.75" hidden="false" customHeight="false" outlineLevel="0" collapsed="false"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customFormat="false" ht="15.75" hidden="false" customHeight="false" outlineLevel="0" collapsed="false"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 customFormat="false" ht="15.75" hidden="false" customHeight="false" outlineLevel="0" collapsed="false"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customFormat="false" ht="15.75" hidden="false" customHeight="false" outlineLevel="0" collapsed="false"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customFormat="false" ht="15.75" hidden="false" customHeight="false" outlineLevel="0" collapsed="false"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customFormat="false" ht="15.75" hidden="false" customHeight="false" outlineLevel="0" collapsed="false"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 customFormat="false" ht="15.75" hidden="false" customHeight="false" outlineLevel="0" collapsed="false"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customFormat="false" ht="15.75" hidden="false" customHeight="false" outlineLevel="0" collapsed="false"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 customFormat="false" ht="15.75" hidden="false" customHeight="false" outlineLevel="0" collapsed="false"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customFormat="false" ht="15.75" hidden="false" customHeight="false" outlineLevel="0" collapsed="false"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 customFormat="false" ht="15.75" hidden="false" customHeight="false" outlineLevel="0" collapsed="false"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customFormat="false" ht="15.75" hidden="false" customHeight="false" outlineLevel="0" collapsed="false"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customFormat="false" ht="15.75" hidden="false" customHeight="false" outlineLevel="0" collapsed="false"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customFormat="false" ht="15.75" hidden="false" customHeight="false" outlineLevel="0" collapsed="false"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 customFormat="false" ht="15.75" hidden="false" customHeight="false" outlineLevel="0" collapsed="false"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customFormat="false" ht="15.75" hidden="false" customHeight="false" outlineLevel="0" collapsed="false"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 customFormat="false" ht="15.75" hidden="false" customHeight="false" outlineLevel="0" collapsed="false"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customFormat="false" ht="15.75" hidden="false" customHeight="false" outlineLevel="0" collapsed="false"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customFormat="false" ht="15.75" hidden="false" customHeight="false" outlineLevel="0" collapsed="false"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customFormat="false" ht="15.75" hidden="false" customHeight="false" outlineLevel="0" collapsed="false"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 customFormat="false" ht="15.75" hidden="false" customHeight="false" outlineLevel="0" collapsed="false"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customFormat="false" ht="15.75" hidden="false" customHeight="false" outlineLevel="0" collapsed="false"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 customFormat="false" ht="15.75" hidden="false" customHeight="false" outlineLevel="0" collapsed="false"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customFormat="false" ht="15.75" hidden="false" customHeight="false" outlineLevel="0" collapsed="false"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 customFormat="false" ht="15.75" hidden="false" customHeight="false" outlineLevel="0" collapsed="false"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customFormat="false" ht="15.75" hidden="false" customHeight="false" outlineLevel="0" collapsed="false"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 customFormat="false" ht="15.75" hidden="false" customHeight="false" outlineLevel="0" collapsed="false"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customFormat="false" ht="15.75" hidden="false" customHeight="false" outlineLevel="0" collapsed="false"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 customFormat="false" ht="15.75" hidden="false" customHeight="false" outlineLevel="0" collapsed="false"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customFormat="false" ht="15.75" hidden="false" customHeight="false" outlineLevel="0" collapsed="false"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 customFormat="false" ht="15.75" hidden="false" customHeight="false" outlineLevel="0" collapsed="false"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customFormat="false" ht="15.75" hidden="false" customHeight="false" outlineLevel="0" collapsed="false"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 customFormat="false" ht="15.75" hidden="false" customHeight="false" outlineLevel="0" collapsed="false"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customFormat="false" ht="15.75" hidden="false" customHeight="false" outlineLevel="0" collapsed="false"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 customFormat="false" ht="15.75" hidden="false" customHeight="false" outlineLevel="0" collapsed="false"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customFormat="false" ht="15.75" hidden="false" customHeight="false" outlineLevel="0" collapsed="false"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 customFormat="false" ht="15.75" hidden="false" customHeight="false" outlineLevel="0" collapsed="false"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customFormat="false" ht="15.75" hidden="false" customHeight="false" outlineLevel="0" collapsed="false"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 customFormat="false" ht="15.75" hidden="false" customHeight="false" outlineLevel="0" collapsed="false"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customFormat="false" ht="15.75" hidden="false" customHeight="false" outlineLevel="0" collapsed="false"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 customFormat="false" ht="15.75" hidden="false" customHeight="false" outlineLevel="0" collapsed="false"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customFormat="false" ht="15.75" hidden="false" customHeight="false" outlineLevel="0" collapsed="false"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 customFormat="false" ht="15.75" hidden="false" customHeight="false" outlineLevel="0" collapsed="false"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customFormat="false" ht="15.75" hidden="false" customHeight="false" outlineLevel="0" collapsed="false"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 customFormat="false" ht="15.75" hidden="false" customHeight="false" outlineLevel="0" collapsed="false"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customFormat="false" ht="15.75" hidden="false" customHeight="false" outlineLevel="0" collapsed="false"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 customFormat="false" ht="15.75" hidden="false" customHeight="false" outlineLevel="0" collapsed="false"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customFormat="false" ht="15.75" hidden="false" customHeight="false" outlineLevel="0" collapsed="false"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customFormat="false" ht="15.75" hidden="false" customHeight="false" outlineLevel="0" collapsed="false"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customFormat="false" ht="15.75" hidden="false" customHeight="false" outlineLevel="0" collapsed="false"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 customFormat="false" ht="15.75" hidden="false" customHeight="false" outlineLevel="0" collapsed="false"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customFormat="false" ht="15.75" hidden="false" customHeight="false" outlineLevel="0" collapsed="false"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customFormat="false" ht="15.75" hidden="false" customHeight="false" outlineLevel="0" collapsed="false"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customFormat="false" ht="15.75" hidden="false" customHeight="false" outlineLevel="0" collapsed="false"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 customFormat="false" ht="15.75" hidden="false" customHeight="false" outlineLevel="0" collapsed="false"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customFormat="false" ht="15.75" hidden="false" customHeight="false" outlineLevel="0" collapsed="false"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 customFormat="false" ht="15.75" hidden="false" customHeight="false" outlineLevel="0" collapsed="false"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customFormat="false" ht="15.75" hidden="false" customHeight="false" outlineLevel="0" collapsed="false"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customFormat="false" ht="15.75" hidden="false" customHeight="false" outlineLevel="0" collapsed="false"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customFormat="false" ht="15.75" hidden="false" customHeight="false" outlineLevel="0" collapsed="false"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 customFormat="false" ht="15.75" hidden="false" customHeight="false" outlineLevel="0" collapsed="false"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customFormat="false" ht="15.75" hidden="false" customHeight="false" outlineLevel="0" collapsed="false"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 customFormat="false" ht="15.75" hidden="false" customHeight="false" outlineLevel="0" collapsed="false"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customFormat="false" ht="15.75" hidden="false" customHeight="false" outlineLevel="0" collapsed="false"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customFormat="false" ht="15.75" hidden="false" customHeight="false" outlineLevel="0" collapsed="false"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customFormat="false" ht="15.75" hidden="false" customHeight="false" outlineLevel="0" collapsed="false"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 customFormat="false" ht="15.75" hidden="false" customHeight="false" outlineLevel="0" collapsed="false"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customFormat="false" ht="15.75" hidden="false" customHeight="false" outlineLevel="0" collapsed="false"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 customFormat="false" ht="15.75" hidden="false" customHeight="false" outlineLevel="0" collapsed="false"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customFormat="false" ht="15.75" hidden="false" customHeight="false" outlineLevel="0" collapsed="false"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 customFormat="false" ht="15.75" hidden="false" customHeight="false" outlineLevel="0" collapsed="false"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customFormat="false" ht="15.75" hidden="false" customHeight="false" outlineLevel="0" collapsed="false"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 customFormat="false" ht="15.75" hidden="false" customHeight="false" outlineLevel="0" collapsed="false"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customFormat="false" ht="15.75" hidden="false" customHeight="false" outlineLevel="0" collapsed="false"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 customFormat="false" ht="15.75" hidden="false" customHeight="false" outlineLevel="0" collapsed="false"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customFormat="false" ht="15.75" hidden="false" customHeight="false" outlineLevel="0" collapsed="false"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customFormat="false" ht="15.75" hidden="false" customHeight="false" outlineLevel="0" collapsed="false"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customFormat="false" ht="15.75" hidden="false" customHeight="false" outlineLevel="0" collapsed="false"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 customFormat="false" ht="15.75" hidden="false" customHeight="false" outlineLevel="0" collapsed="false"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customFormat="false" ht="15.75" hidden="false" customHeight="false" outlineLevel="0" collapsed="false"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 customFormat="false" ht="15.75" hidden="false" customHeight="false" outlineLevel="0" collapsed="false"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customFormat="false" ht="15.75" hidden="false" customHeight="false" outlineLevel="0" collapsed="false"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 customFormat="false" ht="15.75" hidden="false" customHeight="false" outlineLevel="0" collapsed="false"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customFormat="false" ht="15.75" hidden="false" customHeight="false" outlineLevel="0" collapsed="false"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 customFormat="false" ht="15.75" hidden="false" customHeight="false" outlineLevel="0" collapsed="false"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customFormat="false" ht="15.75" hidden="false" customHeight="false" outlineLevel="0" collapsed="false"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 customFormat="false" ht="15.75" hidden="false" customHeight="false" outlineLevel="0" collapsed="false"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customFormat="false" ht="15.75" hidden="false" customHeight="false" outlineLevel="0" collapsed="false"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customFormat="false" ht="15.75" hidden="false" customHeight="false" outlineLevel="0" collapsed="false"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customFormat="false" ht="15.75" hidden="false" customHeight="false" outlineLevel="0" collapsed="false"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 customFormat="false" ht="15.75" hidden="false" customHeight="false" outlineLevel="0" collapsed="false"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customFormat="false" ht="15.75" hidden="false" customHeight="false" outlineLevel="0" collapsed="false"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 customFormat="false" ht="15.75" hidden="false" customHeight="false" outlineLevel="0" collapsed="false"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customFormat="false" ht="15.75" hidden="false" customHeight="false" outlineLevel="0" collapsed="false"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customFormat="false" ht="15.75" hidden="false" customHeight="false" outlineLevel="0" collapsed="false"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customFormat="false" ht="15.75" hidden="false" customHeight="false" outlineLevel="0" collapsed="false"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 customFormat="false" ht="15.75" hidden="false" customHeight="false" outlineLevel="0" collapsed="false"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customFormat="false" ht="15.75" hidden="false" customHeight="false" outlineLevel="0" collapsed="false"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 customFormat="false" ht="15.75" hidden="false" customHeight="false" outlineLevel="0" collapsed="false"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customFormat="false" ht="15.75" hidden="false" customHeight="false" outlineLevel="0" collapsed="false"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 customFormat="false" ht="15.75" hidden="false" customHeight="false" outlineLevel="0" collapsed="false"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customFormat="false" ht="15.75" hidden="false" customHeight="false" outlineLevel="0" collapsed="false"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 customFormat="false" ht="15.75" hidden="false" customHeight="false" outlineLevel="0" collapsed="false"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customFormat="false" ht="15.75" hidden="false" customHeight="false" outlineLevel="0" collapsed="false"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 customFormat="false" ht="15.75" hidden="false" customHeight="false" outlineLevel="0" collapsed="false"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customFormat="false" ht="15.75" hidden="false" customHeight="false" outlineLevel="0" collapsed="false"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customFormat="false" ht="15.75" hidden="false" customHeight="false" outlineLevel="0" collapsed="false"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customFormat="false" ht="15.75" hidden="false" customHeight="false" outlineLevel="0" collapsed="false"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 customFormat="false" ht="15.75" hidden="false" customHeight="false" outlineLevel="0" collapsed="false"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customFormat="false" ht="15.75" hidden="false" customHeight="false" outlineLevel="0" collapsed="false"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customFormat="false" ht="15.75" hidden="false" customHeight="false" outlineLevel="0" collapsed="false"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customFormat="false" ht="15.75" hidden="false" customHeight="false" outlineLevel="0" collapsed="false"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 customFormat="false" ht="15.75" hidden="false" customHeight="false" outlineLevel="0" collapsed="false"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customFormat="false" ht="15.75" hidden="false" customHeight="false" outlineLevel="0" collapsed="false"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 customFormat="false" ht="15.75" hidden="false" customHeight="false" outlineLevel="0" collapsed="false"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customFormat="false" ht="15.75" hidden="false" customHeight="false" outlineLevel="0" collapsed="false"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 customFormat="false" ht="15.75" hidden="false" customHeight="false" outlineLevel="0" collapsed="false"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customFormat="false" ht="15.75" hidden="false" customHeight="false" outlineLevel="0" collapsed="false"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customFormat="false" ht="15.75" hidden="false" customHeight="false" outlineLevel="0" collapsed="false"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customFormat="false" ht="15.75" hidden="false" customHeight="false" outlineLevel="0" collapsed="false"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 customFormat="false" ht="15.75" hidden="false" customHeight="false" outlineLevel="0" collapsed="false"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customFormat="false" ht="15.75" hidden="false" customHeight="false" outlineLevel="0" collapsed="false"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 customFormat="false" ht="15.75" hidden="false" customHeight="false" outlineLevel="0" collapsed="false"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 customFormat="false" ht="15.75" hidden="false" customHeight="false" outlineLevel="0" collapsed="false"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 customFormat="false" ht="15.75" hidden="false" customHeight="false" outlineLevel="0" collapsed="false"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 customFormat="false" ht="15.75" hidden="false" customHeight="false" outlineLevel="0" collapsed="false"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 customFormat="false" ht="15.75" hidden="false" customHeight="false" outlineLevel="0" collapsed="false"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 customFormat="false" ht="15.75" hidden="false" customHeight="false" outlineLevel="0" collapsed="false"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 customFormat="false" ht="15.75" hidden="false" customHeight="false" outlineLevel="0" collapsed="false"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 customFormat="false" ht="15.75" hidden="false" customHeight="false" outlineLevel="0" collapsed="false">
      <c r="B998" s="7"/>
      <c r="C998" s="7"/>
      <c r="D998" s="7"/>
      <c r="E998" s="7"/>
      <c r="F998" s="7"/>
      <c r="G998" s="7"/>
      <c r="H998" s="7"/>
      <c r="I998" s="7"/>
      <c r="J998" s="7"/>
      <c r="K998" s="7"/>
    </row>
  </sheetData>
  <conditionalFormatting sqref="B2:B67">
    <cfRule type="cellIs" priority="2" operator="lessThan" aboveAverage="0" equalAverage="0" bottom="0" percent="0" rank="0" text="" dxfId="0">
      <formula>5</formula>
    </cfRule>
  </conditionalFormatting>
  <conditionalFormatting sqref="B2:B67">
    <cfRule type="cellIs" priority="3" operator="greaterThan" aboveAverage="0" equalAverage="0" bottom="0" percent="0" rank="0" text="" dxfId="1">
      <formula>5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" activeCellId="0" sqref="C1"/>
    </sheetView>
  </sheetViews>
  <sheetFormatPr defaultColWidth="14.48046875" defaultRowHeight="15.75" zeroHeight="false" outlineLevelRow="0" outlineLevelCol="0"/>
  <cols>
    <col collapsed="false" customWidth="true" hidden="false" outlineLevel="0" max="6" min="5" style="0" width="18.29"/>
    <col collapsed="false" customWidth="true" hidden="false" outlineLevel="0" max="7" min="7" style="0" width="14.86"/>
    <col collapsed="false" customWidth="true" hidden="false" outlineLevel="0" max="8" min="8" style="0" width="17.86"/>
    <col collapsed="false" customWidth="true" hidden="false" outlineLevel="0" max="9" min="9" style="0" width="22.01"/>
    <col collapsed="false" customWidth="true" hidden="false" outlineLevel="0" max="10" min="10" style="0" width="23.71"/>
    <col collapsed="false" customWidth="true" hidden="false" outlineLevel="0" max="11" min="11" style="0" width="24.71"/>
  </cols>
  <sheetData>
    <row r="1" customFormat="false" ht="15.7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6"/>
      <c r="M1" s="6"/>
      <c r="N1" s="6"/>
    </row>
    <row r="2" customFormat="false" ht="15.75" hidden="false" customHeight="false" outlineLevel="0" collapsed="false">
      <c r="A2" s="9"/>
      <c r="B2" s="10" t="n">
        <v>20</v>
      </c>
      <c r="C2" s="11" t="s">
        <v>14</v>
      </c>
      <c r="D2" s="11"/>
      <c r="E2" s="12" t="n">
        <v>2</v>
      </c>
      <c r="F2" s="12" t="n">
        <v>2</v>
      </c>
      <c r="G2" s="12" t="n">
        <v>2</v>
      </c>
      <c r="H2" s="12" t="n">
        <v>1.5</v>
      </c>
      <c r="I2" s="12" t="n">
        <v>1</v>
      </c>
      <c r="J2" s="12" t="n">
        <v>1</v>
      </c>
      <c r="K2" s="12" t="n">
        <v>3</v>
      </c>
      <c r="L2" s="6"/>
      <c r="M2" s="6"/>
      <c r="N2" s="6"/>
    </row>
    <row r="3" customFormat="false" ht="15.75" hidden="false" customHeight="false" outlineLevel="0" collapsed="false">
      <c r="A3" s="9"/>
      <c r="B3" s="10" t="n">
        <v>7.8</v>
      </c>
      <c r="C3" s="11" t="s">
        <v>22</v>
      </c>
      <c r="D3" s="11"/>
      <c r="E3" s="13" t="n">
        <v>0.38</v>
      </c>
      <c r="F3" s="13" t="n">
        <v>0.24</v>
      </c>
      <c r="G3" s="13" t="n">
        <v>0.25</v>
      </c>
      <c r="H3" s="13" t="n">
        <v>0.32</v>
      </c>
      <c r="I3" s="13" t="n">
        <v>0.2</v>
      </c>
      <c r="J3" s="13" t="n">
        <v>0.53</v>
      </c>
      <c r="K3" s="13" t="n">
        <v>0.69</v>
      </c>
      <c r="L3" s="14"/>
      <c r="M3" s="14"/>
      <c r="N3" s="14"/>
    </row>
    <row r="4" customFormat="false" ht="15.75" hidden="false" customHeight="false" outlineLevel="0" collapsed="false">
      <c r="A4" s="15" t="n">
        <v>698531</v>
      </c>
      <c r="B4" s="11" t="s">
        <v>23</v>
      </c>
      <c r="C4" s="16"/>
      <c r="D4" s="16"/>
      <c r="E4" s="16"/>
      <c r="F4" s="16"/>
      <c r="G4" s="16"/>
      <c r="H4" s="16"/>
      <c r="I4" s="16"/>
      <c r="J4" s="16"/>
      <c r="K4" s="16"/>
    </row>
    <row r="5" customFormat="false" ht="15.75" hidden="false" customHeight="false" outlineLevel="0" collapsed="false">
      <c r="A5" s="15" t="n">
        <v>9065750</v>
      </c>
      <c r="B5" s="11" t="s">
        <v>23</v>
      </c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.75" hidden="false" customHeight="false" outlineLevel="0" collapsed="false">
      <c r="A6" s="15" t="n">
        <v>9805320</v>
      </c>
      <c r="B6" s="11" t="s">
        <v>23</v>
      </c>
      <c r="C6" s="16"/>
      <c r="D6" s="16"/>
      <c r="E6" s="16"/>
      <c r="F6" s="16"/>
      <c r="G6" s="16"/>
      <c r="H6" s="16"/>
      <c r="I6" s="16"/>
      <c r="J6" s="16"/>
      <c r="K6" s="16"/>
    </row>
    <row r="7" customFormat="false" ht="15.75" hidden="false" customHeight="false" outlineLevel="0" collapsed="false">
      <c r="A7" s="15" t="n">
        <v>9755822</v>
      </c>
      <c r="B7" s="11" t="s">
        <v>23</v>
      </c>
      <c r="C7" s="16"/>
      <c r="D7" s="16"/>
      <c r="E7" s="16"/>
      <c r="F7" s="16"/>
      <c r="G7" s="16"/>
      <c r="H7" s="16"/>
      <c r="I7" s="16"/>
      <c r="J7" s="16"/>
      <c r="K7" s="16"/>
    </row>
    <row r="8" customFormat="false" ht="15.75" hidden="false" customHeight="false" outlineLevel="0" collapsed="false">
      <c r="A8" s="15" t="n">
        <v>10310676</v>
      </c>
      <c r="B8" s="11" t="s">
        <v>23</v>
      </c>
      <c r="C8" s="16"/>
      <c r="D8" s="16"/>
      <c r="E8" s="16"/>
      <c r="F8" s="16"/>
      <c r="G8" s="16"/>
      <c r="H8" s="16"/>
      <c r="I8" s="16"/>
      <c r="J8" s="16"/>
      <c r="K8" s="16"/>
    </row>
    <row r="9" customFormat="false" ht="15.75" hidden="false" customHeight="false" outlineLevel="0" collapsed="false">
      <c r="A9" s="15" t="n">
        <v>10310655</v>
      </c>
      <c r="B9" s="11" t="s">
        <v>23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5.75" hidden="false" customHeight="false" outlineLevel="0" collapsed="false">
      <c r="A10" s="15" t="n">
        <v>10310662</v>
      </c>
      <c r="B10" s="11" t="s">
        <v>23</v>
      </c>
      <c r="C10" s="16"/>
      <c r="D10" s="16"/>
      <c r="E10" s="16"/>
      <c r="F10" s="16"/>
      <c r="G10" s="16"/>
      <c r="H10" s="16"/>
      <c r="I10" s="16"/>
      <c r="J10" s="16"/>
      <c r="K10" s="16"/>
    </row>
    <row r="11" customFormat="false" ht="15.75" hidden="false" customHeight="false" outlineLevel="0" collapsed="false">
      <c r="A11" s="15" t="n">
        <v>9311643</v>
      </c>
      <c r="B11" s="11" t="s">
        <v>23</v>
      </c>
      <c r="C11" s="16"/>
      <c r="D11" s="16"/>
      <c r="E11" s="16"/>
      <c r="F11" s="16"/>
      <c r="G11" s="16"/>
      <c r="H11" s="16"/>
      <c r="I11" s="16"/>
      <c r="J11" s="16"/>
      <c r="K11" s="16"/>
    </row>
    <row r="12" customFormat="false" ht="15.75" hidden="false" customHeight="false" outlineLevel="0" collapsed="false">
      <c r="A12" s="15" t="n">
        <v>10277001</v>
      </c>
      <c r="B12" s="11" t="s">
        <v>23</v>
      </c>
      <c r="C12" s="16"/>
      <c r="D12" s="16"/>
      <c r="E12" s="16"/>
      <c r="F12" s="16"/>
      <c r="G12" s="16"/>
      <c r="H12" s="16"/>
      <c r="I12" s="16"/>
      <c r="J12" s="16"/>
      <c r="K12" s="16"/>
      <c r="L12" s="6"/>
      <c r="M12" s="6"/>
      <c r="N12" s="6"/>
    </row>
    <row r="13" customFormat="false" ht="15.75" hidden="false" customHeight="false" outlineLevel="0" collapsed="false">
      <c r="A13" s="15" t="n">
        <v>10276932</v>
      </c>
      <c r="B13" s="11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6"/>
      <c r="M13" s="6"/>
      <c r="N13" s="6"/>
    </row>
    <row r="14" customFormat="false" ht="15.75" hidden="false" customHeight="false" outlineLevel="0" collapsed="false">
      <c r="A14" s="15" t="n">
        <v>10351971</v>
      </c>
      <c r="B14" s="11" t="s">
        <v>23</v>
      </c>
      <c r="C14" s="16"/>
      <c r="D14" s="16"/>
      <c r="E14" s="16"/>
      <c r="F14" s="16"/>
      <c r="G14" s="16"/>
      <c r="H14" s="16"/>
      <c r="I14" s="16"/>
      <c r="J14" s="16"/>
      <c r="K14" s="16"/>
      <c r="L14" s="6"/>
      <c r="M14" s="6"/>
      <c r="N14" s="6"/>
    </row>
    <row r="15" customFormat="false" ht="15.75" hidden="false" customHeight="false" outlineLevel="0" collapsed="false">
      <c r="A15" s="15" t="n">
        <v>10276866</v>
      </c>
      <c r="B15" s="10" t="n">
        <v>9.5</v>
      </c>
      <c r="C15" s="12" t="n">
        <v>6</v>
      </c>
      <c r="D15" s="12" t="n">
        <v>12.5</v>
      </c>
      <c r="E15" s="12" t="n">
        <v>1</v>
      </c>
      <c r="F15" s="12" t="n">
        <v>0</v>
      </c>
      <c r="G15" s="12" t="n">
        <v>0</v>
      </c>
      <c r="H15" s="12" t="n">
        <v>1.5</v>
      </c>
      <c r="I15" s="12" t="n">
        <v>0</v>
      </c>
      <c r="J15" s="12" t="n">
        <v>1</v>
      </c>
      <c r="K15" s="12" t="n">
        <v>2.5</v>
      </c>
      <c r="L15" s="6"/>
      <c r="M15" s="6"/>
      <c r="N15" s="6"/>
    </row>
    <row r="16" customFormat="false" ht="15.75" hidden="false" customHeight="false" outlineLevel="0" collapsed="false">
      <c r="A16" s="15" t="n">
        <v>9424506</v>
      </c>
      <c r="B16" s="11" t="s">
        <v>23</v>
      </c>
      <c r="C16" s="16"/>
      <c r="D16" s="16"/>
      <c r="E16" s="16"/>
      <c r="F16" s="16"/>
      <c r="G16" s="16"/>
      <c r="H16" s="16"/>
      <c r="I16" s="16"/>
      <c r="J16" s="16"/>
      <c r="K16" s="16"/>
      <c r="L16" s="6"/>
      <c r="M16" s="6"/>
      <c r="N16" s="6"/>
    </row>
    <row r="17" customFormat="false" ht="15.75" hidden="false" customHeight="false" outlineLevel="0" collapsed="false">
      <c r="A17" s="15" t="n">
        <v>9292462</v>
      </c>
      <c r="B17" s="11" t="s">
        <v>23</v>
      </c>
      <c r="C17" s="16"/>
      <c r="D17" s="16"/>
      <c r="E17" s="16"/>
      <c r="F17" s="16"/>
      <c r="G17" s="16"/>
      <c r="H17" s="16"/>
      <c r="I17" s="16"/>
      <c r="J17" s="16"/>
      <c r="K17" s="16"/>
      <c r="L17" s="6"/>
      <c r="M17" s="6"/>
      <c r="N17" s="6"/>
    </row>
    <row r="18" customFormat="false" ht="15.75" hidden="false" customHeight="false" outlineLevel="0" collapsed="false">
      <c r="A18" s="15" t="n">
        <v>9846222</v>
      </c>
      <c r="B18" s="11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6"/>
      <c r="M18" s="6"/>
      <c r="N18" s="6"/>
    </row>
    <row r="19" customFormat="false" ht="15.75" hidden="false" customHeight="false" outlineLevel="0" collapsed="false">
      <c r="A19" s="15" t="n">
        <v>9368772</v>
      </c>
      <c r="B19" s="11" t="s">
        <v>23</v>
      </c>
      <c r="C19" s="16"/>
      <c r="D19" s="16"/>
      <c r="E19" s="16"/>
      <c r="F19" s="16"/>
      <c r="G19" s="16"/>
      <c r="H19" s="16"/>
      <c r="I19" s="16"/>
      <c r="J19" s="16"/>
      <c r="K19" s="16"/>
      <c r="L19" s="6"/>
      <c r="M19" s="6"/>
      <c r="N19" s="6"/>
    </row>
    <row r="20" customFormat="false" ht="15.75" hidden="false" customHeight="false" outlineLevel="0" collapsed="false">
      <c r="A20" s="15" t="n">
        <v>10276960</v>
      </c>
      <c r="B20" s="10" t="n">
        <v>1.5</v>
      </c>
      <c r="C20" s="12" t="n">
        <v>1</v>
      </c>
      <c r="D20" s="12" t="n">
        <v>12.5</v>
      </c>
      <c r="E20" s="17"/>
      <c r="F20" s="17"/>
      <c r="G20" s="17"/>
      <c r="H20" s="17"/>
      <c r="I20" s="17"/>
      <c r="J20" s="12" t="n">
        <v>1</v>
      </c>
      <c r="K20" s="17"/>
      <c r="L20" s="6"/>
      <c r="M20" s="6"/>
      <c r="N20" s="6"/>
    </row>
    <row r="21" customFormat="false" ht="15.75" hidden="false" customHeight="false" outlineLevel="0" collapsed="false">
      <c r="A21" s="15" t="n">
        <v>10276675</v>
      </c>
      <c r="B21" s="10" t="n">
        <v>1.5</v>
      </c>
      <c r="C21" s="12" t="n">
        <v>1</v>
      </c>
      <c r="D21" s="12" t="n">
        <v>12.5</v>
      </c>
      <c r="E21" s="17"/>
      <c r="F21" s="17"/>
      <c r="G21" s="17"/>
      <c r="H21" s="17"/>
      <c r="I21" s="17"/>
      <c r="J21" s="12" t="n">
        <v>1</v>
      </c>
      <c r="K21" s="17"/>
      <c r="L21" s="6"/>
      <c r="M21" s="6"/>
      <c r="N21" s="6"/>
    </row>
    <row r="22" customFormat="false" ht="15.75" hidden="false" customHeight="false" outlineLevel="0" collapsed="false">
      <c r="A22" s="15" t="n">
        <v>9921470</v>
      </c>
      <c r="B22" s="10" t="n">
        <v>3</v>
      </c>
      <c r="C22" s="12" t="n">
        <v>2</v>
      </c>
      <c r="D22" s="12" t="n">
        <v>12.5</v>
      </c>
      <c r="E22" s="17"/>
      <c r="F22" s="12" t="n">
        <v>0</v>
      </c>
      <c r="G22" s="12" t="n">
        <v>0</v>
      </c>
      <c r="H22" s="12" t="n">
        <v>0.5</v>
      </c>
      <c r="I22" s="17"/>
      <c r="J22" s="12" t="n">
        <v>0</v>
      </c>
      <c r="K22" s="12" t="n">
        <v>1.5</v>
      </c>
      <c r="L22" s="6"/>
      <c r="M22" s="6"/>
      <c r="N22" s="6"/>
    </row>
    <row r="23" customFormat="false" ht="15.75" hidden="false" customHeight="false" outlineLevel="0" collapsed="false">
      <c r="A23" s="15" t="n">
        <v>9790781</v>
      </c>
      <c r="B23" s="10" t="n">
        <v>3</v>
      </c>
      <c r="C23" s="12" t="n">
        <v>2.17</v>
      </c>
      <c r="D23" s="12" t="n">
        <v>12.5</v>
      </c>
      <c r="E23" s="12" t="n">
        <v>0.33</v>
      </c>
      <c r="F23" s="12" t="n">
        <v>0.33</v>
      </c>
      <c r="G23" s="12" t="n">
        <v>0</v>
      </c>
      <c r="H23" s="12" t="n">
        <v>0</v>
      </c>
      <c r="I23" s="12" t="n">
        <v>0</v>
      </c>
      <c r="J23" s="12" t="n">
        <v>1</v>
      </c>
      <c r="K23" s="12" t="n">
        <v>0.5</v>
      </c>
      <c r="L23" s="6"/>
      <c r="M23" s="6"/>
      <c r="N23" s="6"/>
    </row>
    <row r="24" customFormat="false" ht="15.75" hidden="false" customHeight="false" outlineLevel="0" collapsed="false">
      <c r="A24" s="15" t="n">
        <v>9082496</v>
      </c>
      <c r="B24" s="10" t="n">
        <v>3.5</v>
      </c>
      <c r="C24" s="12" t="n">
        <v>2.31</v>
      </c>
      <c r="D24" s="12" t="n">
        <v>12.5</v>
      </c>
      <c r="E24" s="12" t="n">
        <v>0</v>
      </c>
      <c r="F24" s="12" t="n">
        <v>0.67</v>
      </c>
      <c r="G24" s="12" t="n">
        <v>0</v>
      </c>
      <c r="H24" s="12" t="n">
        <v>0</v>
      </c>
      <c r="I24" s="12" t="n">
        <v>0</v>
      </c>
      <c r="J24" s="12" t="n">
        <v>0.14</v>
      </c>
      <c r="K24" s="12" t="n">
        <v>1.5</v>
      </c>
      <c r="L24" s="6"/>
      <c r="M24" s="6"/>
      <c r="N24" s="6"/>
    </row>
    <row r="25" customFormat="false" ht="15.75" hidden="false" customHeight="false" outlineLevel="0" collapsed="false">
      <c r="A25" s="15" t="n">
        <v>9274382</v>
      </c>
      <c r="B25" s="10" t="n">
        <v>4</v>
      </c>
      <c r="C25" s="12" t="n">
        <v>2.5</v>
      </c>
      <c r="D25" s="12" t="n">
        <v>12.5</v>
      </c>
      <c r="E25" s="12" t="n">
        <v>0</v>
      </c>
      <c r="F25" s="12" t="n">
        <v>0</v>
      </c>
      <c r="G25" s="18"/>
      <c r="H25" s="12" t="n">
        <v>0</v>
      </c>
      <c r="I25" s="12" t="n">
        <v>0</v>
      </c>
      <c r="J25" s="12" t="n">
        <v>0</v>
      </c>
      <c r="K25" s="12" t="n">
        <v>2.5</v>
      </c>
      <c r="L25" s="6"/>
      <c r="M25" s="6"/>
      <c r="N25" s="6"/>
    </row>
    <row r="26" customFormat="false" ht="15.75" hidden="false" customHeight="false" outlineLevel="0" collapsed="false">
      <c r="A26" s="15" t="n">
        <v>10351992</v>
      </c>
      <c r="B26" s="10" t="n">
        <v>4</v>
      </c>
      <c r="C26" s="12" t="n">
        <v>2.63</v>
      </c>
      <c r="D26" s="12" t="n">
        <v>12.5</v>
      </c>
      <c r="E26" s="12" t="n">
        <v>0</v>
      </c>
      <c r="F26" s="17"/>
      <c r="G26" s="12" t="n">
        <v>0.75</v>
      </c>
      <c r="H26" s="12" t="n">
        <v>0</v>
      </c>
      <c r="I26" s="12" t="n">
        <v>0.38</v>
      </c>
      <c r="J26" s="12" t="n">
        <v>0</v>
      </c>
      <c r="K26" s="12" t="n">
        <v>1.5</v>
      </c>
      <c r="L26" s="6"/>
      <c r="M26" s="6"/>
      <c r="N26" s="6"/>
    </row>
    <row r="27" customFormat="false" ht="15.75" hidden="false" customHeight="false" outlineLevel="0" collapsed="false">
      <c r="A27" s="15" t="n">
        <v>10310492</v>
      </c>
      <c r="B27" s="10" t="n">
        <v>4.5</v>
      </c>
      <c r="C27" s="12" t="n">
        <v>3</v>
      </c>
      <c r="D27" s="12" t="n">
        <v>12.5</v>
      </c>
      <c r="E27" s="12" t="n">
        <v>1</v>
      </c>
      <c r="F27" s="12" t="n">
        <v>0</v>
      </c>
      <c r="G27" s="12" t="n">
        <v>0</v>
      </c>
      <c r="H27" s="12" t="n">
        <v>0.5</v>
      </c>
      <c r="I27" s="12" t="n">
        <v>0</v>
      </c>
      <c r="J27" s="12" t="n">
        <v>0</v>
      </c>
      <c r="K27" s="12" t="n">
        <v>1.5</v>
      </c>
      <c r="L27" s="6"/>
      <c r="M27" s="6"/>
      <c r="N27" s="6"/>
    </row>
    <row r="28" customFormat="false" ht="15.75" hidden="false" customHeight="false" outlineLevel="0" collapsed="false">
      <c r="A28" s="15" t="n">
        <v>8656201</v>
      </c>
      <c r="B28" s="10" t="n">
        <v>5.5</v>
      </c>
      <c r="C28" s="12" t="n">
        <v>3.61</v>
      </c>
      <c r="D28" s="12" t="n">
        <v>12.5</v>
      </c>
      <c r="E28" s="12" t="n">
        <v>1.67</v>
      </c>
      <c r="F28" s="12" t="n">
        <v>0.33</v>
      </c>
      <c r="G28" s="12" t="n">
        <v>0</v>
      </c>
      <c r="H28" s="12" t="n">
        <v>0</v>
      </c>
      <c r="I28" s="12" t="n">
        <v>0.25</v>
      </c>
      <c r="J28" s="12" t="n">
        <v>0.86</v>
      </c>
      <c r="K28" s="12" t="n">
        <v>0.5</v>
      </c>
      <c r="L28" s="6"/>
      <c r="M28" s="6"/>
      <c r="N28" s="6"/>
    </row>
    <row r="29" customFormat="false" ht="15.75" hidden="false" customHeight="false" outlineLevel="0" collapsed="false">
      <c r="A29" s="15" t="n">
        <v>10276852</v>
      </c>
      <c r="B29" s="10" t="n">
        <v>5.5</v>
      </c>
      <c r="C29" s="12" t="n">
        <v>3.51</v>
      </c>
      <c r="D29" s="12" t="n">
        <v>12.5</v>
      </c>
      <c r="E29" s="12" t="n">
        <v>0</v>
      </c>
      <c r="F29" s="12" t="n">
        <v>1.33</v>
      </c>
      <c r="G29" s="12" t="n">
        <v>0</v>
      </c>
      <c r="H29" s="12" t="n">
        <v>0</v>
      </c>
      <c r="I29" s="12" t="n">
        <v>0</v>
      </c>
      <c r="J29" s="12" t="n">
        <v>0.43</v>
      </c>
      <c r="K29" s="12" t="n">
        <v>1.75</v>
      </c>
      <c r="L29" s="6"/>
      <c r="M29" s="6"/>
      <c r="N29" s="6"/>
    </row>
    <row r="30" customFormat="false" ht="15.75" hidden="false" customHeight="false" outlineLevel="0" collapsed="false">
      <c r="A30" s="15" t="n">
        <v>10276907</v>
      </c>
      <c r="B30" s="10" t="n">
        <v>5.5</v>
      </c>
      <c r="C30" s="12" t="n">
        <v>3.5</v>
      </c>
      <c r="D30" s="12" t="n">
        <v>12.5</v>
      </c>
      <c r="E30" s="12" t="n">
        <v>0</v>
      </c>
      <c r="F30" s="12" t="n">
        <v>1</v>
      </c>
      <c r="G30" s="12" t="n">
        <v>0</v>
      </c>
      <c r="H30" s="12" t="n">
        <v>0.5</v>
      </c>
      <c r="I30" s="12" t="n">
        <v>0</v>
      </c>
      <c r="J30" s="12" t="n">
        <v>0</v>
      </c>
      <c r="K30" s="12" t="n">
        <v>2</v>
      </c>
      <c r="L30" s="6"/>
      <c r="M30" s="6"/>
      <c r="N30" s="6"/>
    </row>
    <row r="31" customFormat="false" ht="15.75" hidden="false" customHeight="false" outlineLevel="0" collapsed="false">
      <c r="A31" s="15" t="n">
        <v>10377688</v>
      </c>
      <c r="B31" s="10" t="n">
        <v>6</v>
      </c>
      <c r="C31" s="12" t="n">
        <v>3.79</v>
      </c>
      <c r="D31" s="12" t="n">
        <v>12.5</v>
      </c>
      <c r="E31" s="12" t="n">
        <v>0.67</v>
      </c>
      <c r="F31" s="12" t="n">
        <v>0</v>
      </c>
      <c r="G31" s="12" t="n">
        <v>0.75</v>
      </c>
      <c r="H31" s="12" t="n">
        <v>0</v>
      </c>
      <c r="I31" s="12" t="n">
        <v>0.38</v>
      </c>
      <c r="J31" s="12" t="n">
        <v>1</v>
      </c>
      <c r="K31" s="12" t="n">
        <v>1</v>
      </c>
      <c r="L31" s="6"/>
      <c r="M31" s="6"/>
      <c r="N31" s="6"/>
    </row>
    <row r="32" customFormat="false" ht="15.75" hidden="false" customHeight="false" outlineLevel="0" collapsed="false">
      <c r="A32" s="15" t="n">
        <v>10310759</v>
      </c>
      <c r="B32" s="10" t="n">
        <v>6</v>
      </c>
      <c r="C32" s="12" t="n">
        <v>4.02</v>
      </c>
      <c r="D32" s="12" t="n">
        <v>12.5</v>
      </c>
      <c r="E32" s="12" t="n">
        <v>0</v>
      </c>
      <c r="F32" s="12" t="n">
        <v>0.67</v>
      </c>
      <c r="G32" s="12" t="n">
        <v>0</v>
      </c>
      <c r="H32" s="12" t="n">
        <v>0.5</v>
      </c>
      <c r="I32" s="12" t="n">
        <v>0</v>
      </c>
      <c r="J32" s="12" t="n">
        <v>0.86</v>
      </c>
      <c r="K32" s="12" t="n">
        <v>2</v>
      </c>
      <c r="L32" s="6"/>
      <c r="M32" s="6"/>
      <c r="N32" s="6"/>
    </row>
    <row r="33" customFormat="false" ht="15.75" hidden="false" customHeight="false" outlineLevel="0" collapsed="false">
      <c r="A33" s="15" t="n">
        <v>9363926</v>
      </c>
      <c r="B33" s="10" t="n">
        <v>6</v>
      </c>
      <c r="C33" s="12" t="n">
        <v>3.75</v>
      </c>
      <c r="D33" s="12" t="n">
        <v>12.5</v>
      </c>
      <c r="E33" s="12" t="n">
        <v>0</v>
      </c>
      <c r="F33" s="12" t="n">
        <v>0</v>
      </c>
      <c r="G33" s="12" t="n">
        <v>0</v>
      </c>
      <c r="H33" s="17"/>
      <c r="I33" s="12" t="n">
        <v>1</v>
      </c>
      <c r="J33" s="12" t="n">
        <v>0</v>
      </c>
      <c r="K33" s="12" t="n">
        <v>2.75</v>
      </c>
      <c r="L33" s="6"/>
      <c r="M33" s="6"/>
      <c r="N33" s="6"/>
    </row>
    <row r="34" customFormat="false" ht="15.75" hidden="false" customHeight="false" outlineLevel="0" collapsed="false">
      <c r="A34" s="15" t="n">
        <v>9842913</v>
      </c>
      <c r="B34" s="10" t="n">
        <v>6</v>
      </c>
      <c r="C34" s="12" t="n">
        <v>4</v>
      </c>
      <c r="D34" s="12" t="n">
        <v>12.5</v>
      </c>
      <c r="E34" s="12" t="n">
        <v>0</v>
      </c>
      <c r="F34" s="12" t="n">
        <v>0</v>
      </c>
      <c r="G34" s="12" t="n">
        <v>0</v>
      </c>
      <c r="H34" s="12" t="n">
        <v>0</v>
      </c>
      <c r="I34" s="12" t="n">
        <v>0</v>
      </c>
      <c r="J34" s="12" t="n">
        <v>1</v>
      </c>
      <c r="K34" s="12" t="n">
        <v>3</v>
      </c>
      <c r="L34" s="6"/>
      <c r="M34" s="6"/>
      <c r="N34" s="6"/>
    </row>
    <row r="35" customFormat="false" ht="15.75" hidden="false" customHeight="false" outlineLevel="0" collapsed="false">
      <c r="A35" s="15" t="n">
        <v>10352030</v>
      </c>
      <c r="B35" s="10" t="n">
        <v>6.5</v>
      </c>
      <c r="C35" s="12" t="n">
        <v>4.26</v>
      </c>
      <c r="D35" s="12" t="n">
        <v>12.5</v>
      </c>
      <c r="E35" s="12" t="n">
        <v>0.67</v>
      </c>
      <c r="F35" s="12" t="n">
        <v>0.67</v>
      </c>
      <c r="G35" s="12" t="n">
        <v>0</v>
      </c>
      <c r="H35" s="12" t="n">
        <v>0</v>
      </c>
      <c r="I35" s="12" t="n">
        <v>0</v>
      </c>
      <c r="J35" s="12" t="n">
        <v>0.43</v>
      </c>
      <c r="K35" s="12" t="n">
        <v>2.5</v>
      </c>
      <c r="L35" s="6"/>
      <c r="M35" s="6"/>
      <c r="N35" s="6"/>
    </row>
    <row r="36" customFormat="false" ht="15.75" hidden="false" customHeight="false" outlineLevel="0" collapsed="false">
      <c r="A36" s="15" t="n">
        <v>10276831</v>
      </c>
      <c r="B36" s="10" t="n">
        <v>6.5</v>
      </c>
      <c r="C36" s="12" t="n">
        <v>4.32</v>
      </c>
      <c r="D36" s="12" t="n">
        <v>12.5</v>
      </c>
      <c r="E36" s="12" t="n">
        <v>0</v>
      </c>
      <c r="F36" s="12" t="n">
        <v>0</v>
      </c>
      <c r="G36" s="12" t="n">
        <v>0.75</v>
      </c>
      <c r="H36" s="12" t="n">
        <v>1.5</v>
      </c>
      <c r="I36" s="12" t="n">
        <v>0</v>
      </c>
      <c r="J36" s="12" t="n">
        <v>0.57</v>
      </c>
      <c r="K36" s="12" t="n">
        <v>1.5</v>
      </c>
      <c r="L36" s="6"/>
      <c r="M36" s="6"/>
      <c r="N36" s="6"/>
    </row>
    <row r="37" customFormat="false" ht="15.75" hidden="false" customHeight="false" outlineLevel="0" collapsed="false">
      <c r="A37" s="15" t="n">
        <v>10260351</v>
      </c>
      <c r="B37" s="10" t="n">
        <v>6.5</v>
      </c>
      <c r="C37" s="12" t="n">
        <v>4.07</v>
      </c>
      <c r="D37" s="12" t="n">
        <v>12.5</v>
      </c>
      <c r="E37" s="12" t="n">
        <v>1</v>
      </c>
      <c r="F37" s="12" t="n">
        <v>0</v>
      </c>
      <c r="G37" s="12" t="n">
        <v>0.75</v>
      </c>
      <c r="H37" s="12" t="n">
        <v>0</v>
      </c>
      <c r="I37" s="12" t="n">
        <v>0</v>
      </c>
      <c r="J37" s="12" t="n">
        <v>0.57</v>
      </c>
      <c r="K37" s="12" t="n">
        <v>1.75</v>
      </c>
      <c r="L37" s="6"/>
      <c r="M37" s="6"/>
      <c r="N37" s="6"/>
    </row>
    <row r="38" customFormat="false" ht="15.75" hidden="false" customHeight="false" outlineLevel="0" collapsed="false">
      <c r="A38" s="15" t="n">
        <v>10276981</v>
      </c>
      <c r="B38" s="10" t="n">
        <v>6.5</v>
      </c>
      <c r="C38" s="12" t="n">
        <v>4.22</v>
      </c>
      <c r="D38" s="12" t="n">
        <v>12.5</v>
      </c>
      <c r="E38" s="12" t="n">
        <v>0</v>
      </c>
      <c r="F38" s="12" t="n">
        <v>0.67</v>
      </c>
      <c r="G38" s="12" t="n">
        <v>0</v>
      </c>
      <c r="H38" s="12" t="n">
        <v>0</v>
      </c>
      <c r="I38" s="12" t="n">
        <v>0.38</v>
      </c>
      <c r="J38" s="12" t="n">
        <v>0.43</v>
      </c>
      <c r="K38" s="12" t="n">
        <v>2.75</v>
      </c>
      <c r="L38" s="6"/>
      <c r="M38" s="6"/>
      <c r="N38" s="6"/>
    </row>
    <row r="39" customFormat="false" ht="15.75" hidden="false" customHeight="false" outlineLevel="0" collapsed="false">
      <c r="A39" s="15" t="n">
        <v>9760151</v>
      </c>
      <c r="B39" s="10" t="n">
        <v>6.5</v>
      </c>
      <c r="C39" s="12" t="n">
        <v>4.18</v>
      </c>
      <c r="D39" s="12" t="n">
        <v>12.5</v>
      </c>
      <c r="E39" s="12" t="n">
        <v>0</v>
      </c>
      <c r="F39" s="12" t="n">
        <v>2</v>
      </c>
      <c r="G39" s="12" t="n">
        <v>0</v>
      </c>
      <c r="H39" s="12" t="n">
        <v>0</v>
      </c>
      <c r="I39" s="12" t="n">
        <v>0.5</v>
      </c>
      <c r="J39" s="12" t="n">
        <v>0.43</v>
      </c>
      <c r="K39" s="12" t="n">
        <v>1.25</v>
      </c>
      <c r="L39" s="6"/>
      <c r="M39" s="6"/>
      <c r="N39" s="6"/>
    </row>
    <row r="40" customFormat="false" ht="15.75" hidden="false" customHeight="false" outlineLevel="0" collapsed="false">
      <c r="A40" s="15" t="n">
        <v>9436110</v>
      </c>
      <c r="B40" s="10" t="n">
        <v>6.5</v>
      </c>
      <c r="C40" s="12" t="n">
        <v>4.29</v>
      </c>
      <c r="D40" s="12" t="n">
        <v>12.5</v>
      </c>
      <c r="E40" s="12" t="n">
        <v>0.67</v>
      </c>
      <c r="F40" s="12" t="n">
        <v>0</v>
      </c>
      <c r="G40" s="12" t="n">
        <v>0</v>
      </c>
      <c r="H40" s="12" t="n">
        <v>0</v>
      </c>
      <c r="I40" s="12" t="n">
        <v>0.38</v>
      </c>
      <c r="J40" s="12" t="n">
        <v>1</v>
      </c>
      <c r="K40" s="12" t="n">
        <v>2.25</v>
      </c>
      <c r="L40" s="6"/>
      <c r="M40" s="6"/>
      <c r="N40" s="6"/>
    </row>
    <row r="41" customFormat="false" ht="15.75" hidden="false" customHeight="false" outlineLevel="0" collapsed="false">
      <c r="A41" s="15" t="n">
        <v>10310342</v>
      </c>
      <c r="B41" s="10" t="n">
        <v>7</v>
      </c>
      <c r="C41" s="12" t="n">
        <v>4.5</v>
      </c>
      <c r="D41" s="12" t="n">
        <v>12.5</v>
      </c>
      <c r="E41" s="12" t="n">
        <v>1</v>
      </c>
      <c r="F41" s="12" t="n">
        <v>1</v>
      </c>
      <c r="G41" s="12" t="n">
        <v>0</v>
      </c>
      <c r="H41" s="17"/>
      <c r="I41" s="17"/>
      <c r="J41" s="12" t="n">
        <v>1</v>
      </c>
      <c r="K41" s="12" t="n">
        <v>1.5</v>
      </c>
      <c r="L41" s="6"/>
      <c r="M41" s="6"/>
      <c r="N41" s="6"/>
    </row>
    <row r="42" customFormat="false" ht="15.75" hidden="false" customHeight="false" outlineLevel="0" collapsed="false">
      <c r="A42" s="15" t="n">
        <v>10276654</v>
      </c>
      <c r="B42" s="10" t="n">
        <v>7</v>
      </c>
      <c r="C42" s="12" t="n">
        <v>4.39</v>
      </c>
      <c r="D42" s="12" t="n">
        <v>12.5</v>
      </c>
      <c r="E42" s="12" t="n">
        <v>2</v>
      </c>
      <c r="F42" s="12" t="n">
        <v>0</v>
      </c>
      <c r="G42" s="12" t="n">
        <v>0</v>
      </c>
      <c r="H42" s="12" t="n">
        <v>0.5</v>
      </c>
      <c r="I42" s="12" t="n">
        <v>0</v>
      </c>
      <c r="J42" s="12" t="n">
        <v>0.14</v>
      </c>
      <c r="K42" s="12" t="n">
        <v>1.75</v>
      </c>
      <c r="L42" s="6"/>
      <c r="M42" s="6"/>
      <c r="N42" s="6"/>
    </row>
    <row r="43" customFormat="false" ht="15.75" hidden="false" customHeight="false" outlineLevel="0" collapsed="false">
      <c r="A43" s="15" t="n">
        <v>10273971</v>
      </c>
      <c r="B43" s="10" t="n">
        <v>7</v>
      </c>
      <c r="C43" s="12" t="n">
        <v>4.67</v>
      </c>
      <c r="D43" s="12" t="n">
        <v>12.5</v>
      </c>
      <c r="E43" s="12" t="n">
        <v>0.67</v>
      </c>
      <c r="F43" s="12" t="n">
        <v>0</v>
      </c>
      <c r="G43" s="12" t="n">
        <v>1</v>
      </c>
      <c r="H43" s="12" t="n">
        <v>0</v>
      </c>
      <c r="I43" s="12" t="n">
        <v>0</v>
      </c>
      <c r="J43" s="12" t="n">
        <v>0</v>
      </c>
      <c r="K43" s="12" t="n">
        <v>3</v>
      </c>
      <c r="L43" s="6"/>
      <c r="M43" s="6"/>
      <c r="N43" s="6"/>
    </row>
    <row r="44" customFormat="false" ht="15.75" hidden="false" customHeight="false" outlineLevel="0" collapsed="false">
      <c r="A44" s="15" t="n">
        <v>10276974</v>
      </c>
      <c r="B44" s="10" t="n">
        <v>7.5</v>
      </c>
      <c r="C44" s="12" t="n">
        <v>4.73</v>
      </c>
      <c r="D44" s="12" t="n">
        <v>12.5</v>
      </c>
      <c r="E44" s="12" t="n">
        <v>0.33</v>
      </c>
      <c r="F44" s="12" t="n">
        <v>0</v>
      </c>
      <c r="G44" s="12" t="n">
        <v>0.75</v>
      </c>
      <c r="H44" s="12" t="n">
        <v>0.5</v>
      </c>
      <c r="I44" s="12" t="n">
        <v>0</v>
      </c>
      <c r="J44" s="12" t="n">
        <v>0.14</v>
      </c>
      <c r="K44" s="12" t="n">
        <v>3</v>
      </c>
      <c r="L44" s="6"/>
      <c r="M44" s="6"/>
      <c r="N44" s="6"/>
    </row>
    <row r="45" customFormat="false" ht="15.75" hidden="false" customHeight="false" outlineLevel="0" collapsed="false">
      <c r="A45" s="15" t="n">
        <v>10310551</v>
      </c>
      <c r="B45" s="10" t="n">
        <v>7.5</v>
      </c>
      <c r="C45" s="12" t="n">
        <v>4.72</v>
      </c>
      <c r="D45" s="12" t="n">
        <v>12.5</v>
      </c>
      <c r="E45" s="12" t="n">
        <v>0</v>
      </c>
      <c r="F45" s="12" t="n">
        <v>0.67</v>
      </c>
      <c r="G45" s="12" t="n">
        <v>0.25</v>
      </c>
      <c r="H45" s="12" t="n">
        <v>1</v>
      </c>
      <c r="I45" s="12" t="n">
        <v>0.38</v>
      </c>
      <c r="J45" s="12" t="n">
        <v>0.43</v>
      </c>
      <c r="K45" s="12" t="n">
        <v>2</v>
      </c>
      <c r="L45" s="6"/>
      <c r="M45" s="6"/>
      <c r="N45" s="6"/>
    </row>
    <row r="46" customFormat="false" ht="15.75" hidden="false" customHeight="false" outlineLevel="0" collapsed="false">
      <c r="A46" s="15" t="n">
        <v>10276737</v>
      </c>
      <c r="B46" s="10" t="n">
        <v>7.5</v>
      </c>
      <c r="C46" s="12" t="n">
        <v>4.83</v>
      </c>
      <c r="D46" s="12" t="n">
        <v>12.5</v>
      </c>
      <c r="E46" s="12" t="n">
        <v>1.33</v>
      </c>
      <c r="F46" s="12" t="n">
        <v>0</v>
      </c>
      <c r="G46" s="17"/>
      <c r="H46" s="12" t="n">
        <v>0</v>
      </c>
      <c r="I46" s="17"/>
      <c r="J46" s="12" t="n">
        <v>1</v>
      </c>
      <c r="K46" s="12" t="n">
        <v>2.5</v>
      </c>
      <c r="L46" s="6"/>
      <c r="M46" s="6"/>
      <c r="N46" s="6"/>
    </row>
    <row r="47" customFormat="false" ht="15.75" hidden="false" customHeight="false" outlineLevel="0" collapsed="false">
      <c r="A47" s="15" t="n">
        <v>10277040</v>
      </c>
      <c r="B47" s="10" t="n">
        <v>7.5</v>
      </c>
      <c r="C47" s="12" t="n">
        <v>4.71</v>
      </c>
      <c r="D47" s="12" t="n">
        <v>12.5</v>
      </c>
      <c r="E47" s="12" t="n">
        <v>0</v>
      </c>
      <c r="F47" s="12" t="n">
        <v>0.33</v>
      </c>
      <c r="G47" s="12" t="n">
        <v>0</v>
      </c>
      <c r="H47" s="12" t="n">
        <v>0</v>
      </c>
      <c r="I47" s="12" t="n">
        <v>0.38</v>
      </c>
      <c r="J47" s="12" t="n">
        <v>1</v>
      </c>
      <c r="K47" s="12" t="n">
        <v>3</v>
      </c>
      <c r="L47" s="6"/>
      <c r="M47" s="6"/>
      <c r="N47" s="6"/>
    </row>
    <row r="48" customFormat="false" ht="15.75" hidden="false" customHeight="false" outlineLevel="0" collapsed="false">
      <c r="A48" s="15" t="n">
        <v>10276949</v>
      </c>
      <c r="B48" s="10" t="n">
        <v>8</v>
      </c>
      <c r="C48" s="12" t="n">
        <v>5.25</v>
      </c>
      <c r="D48" s="12" t="n">
        <v>12.5</v>
      </c>
      <c r="E48" s="12" t="n">
        <v>2</v>
      </c>
      <c r="F48" s="12" t="n">
        <v>0</v>
      </c>
      <c r="G48" s="12" t="n">
        <v>0.75</v>
      </c>
      <c r="H48" s="12" t="n">
        <v>0.5</v>
      </c>
      <c r="I48" s="12" t="n">
        <v>0</v>
      </c>
      <c r="J48" s="12" t="n">
        <v>0</v>
      </c>
      <c r="K48" s="12" t="n">
        <v>2</v>
      </c>
      <c r="L48" s="6"/>
      <c r="M48" s="6"/>
      <c r="N48" s="6"/>
    </row>
    <row r="49" customFormat="false" ht="15.75" hidden="false" customHeight="false" outlineLevel="0" collapsed="false">
      <c r="A49" s="15" t="n">
        <v>9795272</v>
      </c>
      <c r="B49" s="10" t="n">
        <v>8</v>
      </c>
      <c r="C49" s="12" t="n">
        <v>5.13</v>
      </c>
      <c r="D49" s="12" t="n">
        <v>12.5</v>
      </c>
      <c r="E49" s="12" t="n">
        <v>0</v>
      </c>
      <c r="F49" s="12" t="n">
        <v>0.67</v>
      </c>
      <c r="G49" s="12" t="n">
        <v>0.75</v>
      </c>
      <c r="H49" s="12" t="n">
        <v>0</v>
      </c>
      <c r="I49" s="12" t="n">
        <v>0</v>
      </c>
      <c r="J49" s="12" t="n">
        <v>0.71</v>
      </c>
      <c r="K49" s="12" t="n">
        <v>3</v>
      </c>
      <c r="L49" s="6"/>
      <c r="M49" s="6"/>
      <c r="N49" s="6"/>
    </row>
    <row r="50" customFormat="false" ht="15.75" hidden="false" customHeight="false" outlineLevel="0" collapsed="false">
      <c r="A50" s="15" t="n">
        <v>10276928</v>
      </c>
      <c r="B50" s="10" t="n">
        <v>8.5</v>
      </c>
      <c r="C50" s="12" t="n">
        <v>5.54</v>
      </c>
      <c r="D50" s="12" t="n">
        <v>12.5</v>
      </c>
      <c r="E50" s="12" t="n">
        <v>2</v>
      </c>
      <c r="F50" s="12" t="n">
        <v>0</v>
      </c>
      <c r="G50" s="12" t="n">
        <v>0.75</v>
      </c>
      <c r="H50" s="12" t="n">
        <v>0</v>
      </c>
      <c r="I50" s="12" t="n">
        <v>0</v>
      </c>
      <c r="J50" s="12" t="n">
        <v>0.29</v>
      </c>
      <c r="K50" s="12" t="n">
        <v>2.5</v>
      </c>
      <c r="L50" s="6"/>
      <c r="M50" s="6"/>
      <c r="N50" s="6"/>
    </row>
    <row r="51" customFormat="false" ht="15.75" hidden="false" customHeight="false" outlineLevel="0" collapsed="false">
      <c r="A51" s="15" t="n">
        <v>9285227</v>
      </c>
      <c r="B51" s="10" t="n">
        <v>8.5</v>
      </c>
      <c r="C51" s="12" t="n">
        <v>5.5</v>
      </c>
      <c r="D51" s="12" t="n">
        <v>12.5</v>
      </c>
      <c r="E51" s="12" t="n">
        <v>1</v>
      </c>
      <c r="F51" s="12" t="n">
        <v>0</v>
      </c>
      <c r="G51" s="12" t="n">
        <v>0</v>
      </c>
      <c r="H51" s="12" t="n">
        <v>1.5</v>
      </c>
      <c r="I51" s="12" t="n">
        <v>0</v>
      </c>
      <c r="J51" s="12" t="n">
        <v>0</v>
      </c>
      <c r="K51" s="12" t="n">
        <v>3</v>
      </c>
      <c r="L51" s="6"/>
      <c r="M51" s="6"/>
      <c r="N51" s="6"/>
    </row>
    <row r="52" customFormat="false" ht="15.75" hidden="false" customHeight="false" outlineLevel="0" collapsed="false">
      <c r="A52" s="15" t="n">
        <v>10276953</v>
      </c>
      <c r="B52" s="10" t="n">
        <v>8.5</v>
      </c>
      <c r="C52" s="12" t="n">
        <v>5.35</v>
      </c>
      <c r="D52" s="12" t="n">
        <v>12.5</v>
      </c>
      <c r="E52" s="12" t="n">
        <v>2</v>
      </c>
      <c r="F52" s="12" t="n">
        <v>0.67</v>
      </c>
      <c r="G52" s="12" t="n">
        <v>0</v>
      </c>
      <c r="H52" s="12" t="n">
        <v>0</v>
      </c>
      <c r="I52" s="12" t="n">
        <v>0</v>
      </c>
      <c r="J52" s="12" t="n">
        <v>0.43</v>
      </c>
      <c r="K52" s="12" t="n">
        <v>2.25</v>
      </c>
      <c r="L52" s="6"/>
      <c r="M52" s="6"/>
      <c r="N52" s="6"/>
    </row>
    <row r="53" customFormat="false" ht="15.75" hidden="false" customHeight="false" outlineLevel="0" collapsed="false">
      <c r="A53" s="15" t="n">
        <v>10276661</v>
      </c>
      <c r="B53" s="10" t="n">
        <v>8.5</v>
      </c>
      <c r="C53" s="12" t="n">
        <v>5.38</v>
      </c>
      <c r="D53" s="12" t="n">
        <v>12.5</v>
      </c>
      <c r="E53" s="12" t="n">
        <v>0</v>
      </c>
      <c r="F53" s="12" t="n">
        <v>0</v>
      </c>
      <c r="G53" s="12" t="n">
        <v>2</v>
      </c>
      <c r="H53" s="12" t="n">
        <v>0</v>
      </c>
      <c r="I53" s="12" t="n">
        <v>0.38</v>
      </c>
      <c r="J53" s="12" t="n">
        <v>0</v>
      </c>
      <c r="K53" s="12" t="n">
        <v>3</v>
      </c>
      <c r="L53" s="6"/>
      <c r="M53" s="6"/>
      <c r="N53" s="6"/>
    </row>
    <row r="54" customFormat="false" ht="15.75" hidden="false" customHeight="false" outlineLevel="0" collapsed="false">
      <c r="A54" s="15" t="n">
        <v>10276762</v>
      </c>
      <c r="B54" s="10" t="n">
        <v>9</v>
      </c>
      <c r="C54" s="12" t="n">
        <v>5.83</v>
      </c>
      <c r="D54" s="12" t="n">
        <v>12.5</v>
      </c>
      <c r="E54" s="12" t="n">
        <v>0</v>
      </c>
      <c r="F54" s="12" t="n">
        <v>1.33</v>
      </c>
      <c r="G54" s="12" t="n">
        <v>0</v>
      </c>
      <c r="H54" s="12" t="n">
        <v>1.5</v>
      </c>
      <c r="I54" s="12" t="n">
        <v>0.5</v>
      </c>
      <c r="J54" s="12" t="n">
        <v>0</v>
      </c>
      <c r="K54" s="12" t="n">
        <v>2.5</v>
      </c>
      <c r="L54" s="6"/>
      <c r="M54" s="6"/>
      <c r="N54" s="6"/>
    </row>
    <row r="55" customFormat="false" ht="15.75" hidden="false" customHeight="false" outlineLevel="0" collapsed="false">
      <c r="A55" s="15" t="n">
        <v>10310471</v>
      </c>
      <c r="B55" s="10" t="n">
        <v>9</v>
      </c>
      <c r="C55" s="12" t="n">
        <v>5.75</v>
      </c>
      <c r="D55" s="12" t="n">
        <v>12.5</v>
      </c>
      <c r="E55" s="12" t="n">
        <v>0</v>
      </c>
      <c r="F55" s="12" t="n">
        <v>2</v>
      </c>
      <c r="G55" s="12" t="n">
        <v>0.75</v>
      </c>
      <c r="H55" s="12" t="n">
        <v>0</v>
      </c>
      <c r="I55" s="12" t="n">
        <v>0</v>
      </c>
      <c r="J55" s="12" t="n">
        <v>1</v>
      </c>
      <c r="K55" s="12" t="n">
        <v>2</v>
      </c>
      <c r="L55" s="6"/>
      <c r="M55" s="6"/>
      <c r="N55" s="6"/>
    </row>
    <row r="56" customFormat="false" ht="15.75" hidden="false" customHeight="false" outlineLevel="0" collapsed="false">
      <c r="A56" s="15" t="n">
        <v>9795185</v>
      </c>
      <c r="B56" s="10" t="n">
        <v>9.5</v>
      </c>
      <c r="C56" s="12" t="n">
        <v>6.21</v>
      </c>
      <c r="D56" s="12" t="n">
        <v>12.5</v>
      </c>
      <c r="E56" s="12" t="n">
        <v>2</v>
      </c>
      <c r="F56" s="12" t="n">
        <v>1.33</v>
      </c>
      <c r="G56" s="12" t="n">
        <v>0</v>
      </c>
      <c r="H56" s="12" t="n">
        <v>0.5</v>
      </c>
      <c r="I56" s="12" t="n">
        <v>0.38</v>
      </c>
      <c r="J56" s="12" t="n">
        <v>0</v>
      </c>
      <c r="K56" s="12" t="n">
        <v>2</v>
      </c>
      <c r="L56" s="6"/>
      <c r="M56" s="6"/>
      <c r="N56" s="6"/>
    </row>
    <row r="57" customFormat="false" ht="15.75" hidden="false" customHeight="false" outlineLevel="0" collapsed="false">
      <c r="A57" s="15" t="n">
        <v>10277015</v>
      </c>
      <c r="B57" s="10" t="n">
        <v>10</v>
      </c>
      <c r="C57" s="12" t="n">
        <v>6.3</v>
      </c>
      <c r="D57" s="12" t="n">
        <v>12.5</v>
      </c>
      <c r="E57" s="12" t="n">
        <v>0.67</v>
      </c>
      <c r="F57" s="12" t="n">
        <v>0.67</v>
      </c>
      <c r="G57" s="12" t="n">
        <v>2</v>
      </c>
      <c r="H57" s="12" t="n">
        <v>0</v>
      </c>
      <c r="I57" s="12" t="n">
        <v>0</v>
      </c>
      <c r="J57" s="12" t="n">
        <v>0.71</v>
      </c>
      <c r="K57" s="12" t="n">
        <v>2.25</v>
      </c>
      <c r="L57" s="6"/>
      <c r="M57" s="6"/>
      <c r="N57" s="6"/>
    </row>
    <row r="58" customFormat="false" ht="15.75" hidden="false" customHeight="false" outlineLevel="0" collapsed="false">
      <c r="A58" s="15" t="n">
        <v>10377538</v>
      </c>
      <c r="B58" s="10" t="n">
        <v>10.5</v>
      </c>
      <c r="C58" s="12" t="n">
        <v>6.79</v>
      </c>
      <c r="D58" s="12" t="n">
        <v>12.5</v>
      </c>
      <c r="E58" s="12" t="n">
        <v>0.67</v>
      </c>
      <c r="F58" s="12" t="n">
        <v>0</v>
      </c>
      <c r="G58" s="12" t="n">
        <v>0.75</v>
      </c>
      <c r="H58" s="12" t="n">
        <v>1.5</v>
      </c>
      <c r="I58" s="12" t="n">
        <v>0.38</v>
      </c>
      <c r="J58" s="12" t="n">
        <v>1</v>
      </c>
      <c r="K58" s="12" t="n">
        <v>2.5</v>
      </c>
      <c r="L58" s="6"/>
      <c r="M58" s="6"/>
      <c r="N58" s="6"/>
    </row>
    <row r="59" customFormat="false" ht="15.75" hidden="false" customHeight="false" outlineLevel="0" collapsed="false">
      <c r="A59" s="15" t="n">
        <v>10310721</v>
      </c>
      <c r="B59" s="10" t="n">
        <v>10.5</v>
      </c>
      <c r="C59" s="12" t="n">
        <v>6.85</v>
      </c>
      <c r="D59" s="12" t="n">
        <v>12.5</v>
      </c>
      <c r="E59" s="12" t="n">
        <v>2</v>
      </c>
      <c r="F59" s="12" t="n">
        <v>0.67</v>
      </c>
      <c r="G59" s="12" t="n">
        <v>0.5</v>
      </c>
      <c r="H59" s="12" t="n">
        <v>0.5</v>
      </c>
      <c r="I59" s="12" t="n">
        <v>0</v>
      </c>
      <c r="J59" s="12" t="n">
        <v>0.43</v>
      </c>
      <c r="K59" s="12" t="n">
        <v>2.75</v>
      </c>
      <c r="L59" s="6"/>
      <c r="M59" s="6"/>
      <c r="N59" s="6"/>
    </row>
    <row r="60" customFormat="false" ht="15.75" hidden="false" customHeight="false" outlineLevel="0" collapsed="false">
      <c r="A60" s="15" t="n">
        <v>10310888</v>
      </c>
      <c r="B60" s="10" t="n">
        <v>11</v>
      </c>
      <c r="C60" s="12" t="n">
        <v>6.88</v>
      </c>
      <c r="D60" s="12" t="n">
        <v>12.5</v>
      </c>
      <c r="E60" s="12" t="n">
        <v>1</v>
      </c>
      <c r="F60" s="12" t="n">
        <v>0.67</v>
      </c>
      <c r="G60" s="12" t="n">
        <v>0.75</v>
      </c>
      <c r="H60" s="12" t="n">
        <v>1.5</v>
      </c>
      <c r="I60" s="12" t="n">
        <v>0</v>
      </c>
      <c r="J60" s="12" t="n">
        <v>0.71</v>
      </c>
      <c r="K60" s="12" t="n">
        <v>2.25</v>
      </c>
      <c r="L60" s="6"/>
      <c r="M60" s="6"/>
      <c r="N60" s="6"/>
    </row>
    <row r="61" customFormat="false" ht="15.75" hidden="false" customHeight="false" outlineLevel="0" collapsed="false">
      <c r="A61" s="15" t="n">
        <v>10277022</v>
      </c>
      <c r="B61" s="10" t="n">
        <v>12</v>
      </c>
      <c r="C61" s="12" t="n">
        <v>7.58</v>
      </c>
      <c r="D61" s="12" t="n">
        <v>12.5</v>
      </c>
      <c r="E61" s="12" t="n">
        <v>2</v>
      </c>
      <c r="F61" s="12" t="n">
        <v>1.33</v>
      </c>
      <c r="G61" s="12" t="n">
        <v>0.75</v>
      </c>
      <c r="H61" s="12" t="n">
        <v>1.5</v>
      </c>
      <c r="I61" s="12" t="n">
        <v>0</v>
      </c>
      <c r="J61" s="12" t="n">
        <v>0</v>
      </c>
      <c r="K61" s="12" t="n">
        <v>2</v>
      </c>
      <c r="L61" s="6"/>
      <c r="M61" s="6"/>
      <c r="N61" s="6"/>
    </row>
    <row r="62" customFormat="false" ht="15.75" hidden="false" customHeight="false" outlineLevel="0" collapsed="false">
      <c r="A62" s="15" t="n">
        <v>10276911</v>
      </c>
      <c r="B62" s="10" t="n">
        <v>12.5</v>
      </c>
      <c r="C62" s="12" t="n">
        <v>7.93</v>
      </c>
      <c r="D62" s="12" t="n">
        <v>12.5</v>
      </c>
      <c r="E62" s="12" t="n">
        <v>2</v>
      </c>
      <c r="F62" s="12" t="n">
        <v>0</v>
      </c>
      <c r="G62" s="12" t="n">
        <v>0</v>
      </c>
      <c r="H62" s="12" t="n">
        <v>1.5</v>
      </c>
      <c r="I62" s="12" t="n">
        <v>1</v>
      </c>
      <c r="J62" s="12" t="n">
        <v>0.43</v>
      </c>
      <c r="K62" s="12" t="n">
        <v>3</v>
      </c>
      <c r="L62" s="6"/>
      <c r="M62" s="6"/>
      <c r="N62" s="6"/>
    </row>
    <row r="63" customFormat="false" ht="15.75" hidden="false" customHeight="false" outlineLevel="0" collapsed="false">
      <c r="A63" s="15" t="n">
        <v>10276720</v>
      </c>
      <c r="B63" s="10" t="n">
        <v>12.5</v>
      </c>
      <c r="C63" s="12" t="n">
        <v>8</v>
      </c>
      <c r="D63" s="12" t="n">
        <v>12.5</v>
      </c>
      <c r="E63" s="12" t="n">
        <v>2</v>
      </c>
      <c r="F63" s="12" t="n">
        <v>2</v>
      </c>
      <c r="G63" s="12" t="n">
        <v>0</v>
      </c>
      <c r="H63" s="12" t="n">
        <v>0.5</v>
      </c>
      <c r="I63" s="12" t="n">
        <v>0</v>
      </c>
      <c r="J63" s="12" t="n">
        <v>1</v>
      </c>
      <c r="K63" s="12" t="n">
        <v>2.5</v>
      </c>
      <c r="L63" s="6"/>
      <c r="M63" s="6"/>
      <c r="N63" s="6"/>
    </row>
    <row r="64" customFormat="false" ht="15.75" hidden="false" customHeight="false" outlineLevel="0" collapsed="false">
      <c r="A64" s="15" t="n">
        <v>9805341</v>
      </c>
      <c r="B64" s="10" t="n">
        <v>13.5</v>
      </c>
      <c r="C64" s="12" t="n">
        <v>8.54</v>
      </c>
      <c r="D64" s="12" t="n">
        <v>12.5</v>
      </c>
      <c r="E64" s="12" t="n">
        <v>2</v>
      </c>
      <c r="F64" s="12" t="n">
        <v>0.67</v>
      </c>
      <c r="G64" s="12" t="n">
        <v>0.25</v>
      </c>
      <c r="H64" s="12" t="n">
        <v>1.5</v>
      </c>
      <c r="I64" s="12" t="n">
        <v>0.13</v>
      </c>
      <c r="J64" s="12" t="n">
        <v>1</v>
      </c>
      <c r="K64" s="12" t="n">
        <v>3</v>
      </c>
      <c r="L64" s="6"/>
      <c r="M64" s="6"/>
      <c r="N64" s="6"/>
    </row>
    <row r="65" customFormat="false" ht="15.75" hidden="false" customHeight="false" outlineLevel="0" collapsed="false">
      <c r="A65" s="15" t="n">
        <v>10277036</v>
      </c>
      <c r="B65" s="10" t="n">
        <v>13</v>
      </c>
      <c r="C65" s="12" t="n">
        <v>8.42</v>
      </c>
      <c r="D65" s="12" t="n">
        <v>12.5</v>
      </c>
      <c r="E65" s="12" t="n">
        <v>2</v>
      </c>
      <c r="F65" s="12" t="n">
        <v>0.67</v>
      </c>
      <c r="G65" s="12" t="n">
        <v>2</v>
      </c>
      <c r="H65" s="12" t="n">
        <v>0.5</v>
      </c>
      <c r="I65" s="12" t="n">
        <v>0</v>
      </c>
      <c r="J65" s="12" t="n">
        <v>1</v>
      </c>
      <c r="K65" s="12" t="n">
        <v>2.25</v>
      </c>
      <c r="L65" s="6"/>
      <c r="M65" s="6"/>
      <c r="N65" s="6"/>
    </row>
    <row r="66" customFormat="false" ht="15.75" hidden="false" customHeight="false" outlineLevel="0" collapsed="false">
      <c r="A66" s="15" t="n">
        <v>10276995</v>
      </c>
      <c r="B66" s="10" t="n">
        <v>13.5</v>
      </c>
      <c r="C66" s="12" t="n">
        <v>8.67</v>
      </c>
      <c r="D66" s="12" t="n">
        <v>12.5</v>
      </c>
      <c r="E66" s="12" t="n">
        <v>0</v>
      </c>
      <c r="F66" s="12" t="n">
        <v>0.67</v>
      </c>
      <c r="G66" s="12" t="n">
        <v>2</v>
      </c>
      <c r="H66" s="12" t="n">
        <v>1.5</v>
      </c>
      <c r="I66" s="12" t="n">
        <v>1</v>
      </c>
      <c r="J66" s="12" t="n">
        <v>1</v>
      </c>
      <c r="K66" s="12" t="n">
        <v>2.5</v>
      </c>
      <c r="L66" s="6"/>
      <c r="M66" s="6"/>
      <c r="N66" s="6"/>
    </row>
    <row r="67" customFormat="false" ht="15.75" hidden="false" customHeight="false" outlineLevel="0" collapsed="false">
      <c r="A67" s="15" t="n">
        <v>10276682</v>
      </c>
      <c r="B67" s="10" t="n">
        <v>14</v>
      </c>
      <c r="C67" s="12" t="n">
        <v>8.88</v>
      </c>
      <c r="D67" s="12" t="n">
        <v>12.5</v>
      </c>
      <c r="E67" s="12" t="n">
        <v>0</v>
      </c>
      <c r="F67" s="12" t="n">
        <v>0.67</v>
      </c>
      <c r="G67" s="12" t="n">
        <v>2</v>
      </c>
      <c r="H67" s="12" t="n">
        <v>1.5</v>
      </c>
      <c r="I67" s="12" t="n">
        <v>1</v>
      </c>
      <c r="J67" s="12" t="n">
        <v>0.71</v>
      </c>
      <c r="K67" s="12" t="n">
        <v>3</v>
      </c>
      <c r="L67" s="6"/>
      <c r="M67" s="6"/>
      <c r="N67" s="6"/>
    </row>
    <row r="68" customFormat="false" ht="15.75" hidden="false" customHeight="false" outlineLevel="0" collapsed="false">
      <c r="A68" s="15" t="n">
        <v>10262669</v>
      </c>
      <c r="B68" s="10" t="n">
        <v>16</v>
      </c>
      <c r="C68" s="12" t="n">
        <v>10.04</v>
      </c>
      <c r="D68" s="12" t="n">
        <v>12.5</v>
      </c>
      <c r="E68" s="12" t="n">
        <v>2</v>
      </c>
      <c r="F68" s="12" t="n">
        <v>0.67</v>
      </c>
      <c r="G68" s="12" t="n">
        <v>2</v>
      </c>
      <c r="H68" s="12" t="n">
        <v>1.5</v>
      </c>
      <c r="I68" s="12" t="n">
        <v>0.38</v>
      </c>
      <c r="J68" s="12" t="n">
        <v>1</v>
      </c>
      <c r="K68" s="12" t="n">
        <v>2.5</v>
      </c>
      <c r="L68" s="6"/>
      <c r="M68" s="6"/>
      <c r="N68" s="6"/>
    </row>
    <row r="69" customFormat="false" ht="15.75" hidden="false" customHeight="false" outlineLevel="0" collapsed="false">
      <c r="A69" s="15" t="n">
        <v>10310700</v>
      </c>
      <c r="B69" s="10" t="n">
        <v>16.5</v>
      </c>
      <c r="C69" s="12" t="n">
        <v>10.5</v>
      </c>
      <c r="D69" s="12" t="n">
        <v>12.5</v>
      </c>
      <c r="E69" s="12" t="n">
        <v>2</v>
      </c>
      <c r="F69" s="12" t="n">
        <v>0</v>
      </c>
      <c r="G69" s="12" t="n">
        <v>2</v>
      </c>
      <c r="H69" s="12" t="n">
        <v>1.5</v>
      </c>
      <c r="I69" s="12" t="n">
        <v>1</v>
      </c>
      <c r="J69" s="12" t="n">
        <v>1</v>
      </c>
      <c r="K69" s="12" t="n">
        <v>3</v>
      </c>
      <c r="L69" s="6"/>
      <c r="M69" s="6"/>
      <c r="N69" s="6"/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6" activeCellId="0" sqref="E16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2.57"/>
    <col collapsed="false" customWidth="true" hidden="false" outlineLevel="0" max="5" min="5" style="0" width="13.7"/>
    <col collapsed="false" customWidth="true" hidden="false" outlineLevel="0" max="8" min="7" style="0" width="18.29"/>
    <col collapsed="false" customWidth="true" hidden="false" outlineLevel="0" max="9" min="9" style="0" width="14.86"/>
    <col collapsed="false" customWidth="true" hidden="false" outlineLevel="0" max="10" min="10" style="0" width="17.86"/>
    <col collapsed="false" customWidth="true" hidden="false" outlineLevel="0" max="11" min="11" style="0" width="22.01"/>
    <col collapsed="false" customWidth="true" hidden="false" outlineLevel="0" max="12" min="12" style="0" width="23.71"/>
    <col collapsed="false" customWidth="true" hidden="false" outlineLevel="0" max="13" min="13" style="0" width="24.71"/>
  </cols>
  <sheetData>
    <row r="1" customFormat="false" ht="15.7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24</v>
      </c>
      <c r="E1" s="8" t="s">
        <v>25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customFormat="false" ht="15.75" hidden="false" customHeight="false" outlineLevel="0" collapsed="false">
      <c r="A2" s="9"/>
      <c r="B2" s="10" t="n">
        <v>20</v>
      </c>
      <c r="C2" s="19" t="s">
        <v>14</v>
      </c>
      <c r="D2" s="19"/>
      <c r="E2" s="19"/>
      <c r="F2" s="19"/>
      <c r="G2" s="12" t="n">
        <v>2</v>
      </c>
      <c r="H2" s="12" t="n">
        <v>2</v>
      </c>
      <c r="I2" s="12" t="n">
        <v>2</v>
      </c>
      <c r="J2" s="12" t="n">
        <v>1</v>
      </c>
      <c r="K2" s="12" t="n">
        <v>1.5</v>
      </c>
      <c r="L2" s="12" t="n">
        <v>1</v>
      </c>
      <c r="M2" s="12" t="n">
        <v>3</v>
      </c>
    </row>
    <row r="3" customFormat="false" ht="15.75" hidden="false" customHeight="false" outlineLevel="0" collapsed="false">
      <c r="A3" s="9"/>
      <c r="B3" s="10" t="n">
        <v>7.7</v>
      </c>
      <c r="C3" s="19" t="s">
        <v>22</v>
      </c>
      <c r="D3" s="19"/>
      <c r="E3" s="19"/>
      <c r="F3" s="19"/>
      <c r="G3" s="13" t="n">
        <v>0.43</v>
      </c>
      <c r="H3" s="13" t="n">
        <v>0.35</v>
      </c>
      <c r="I3" s="13" t="n">
        <v>0.43</v>
      </c>
      <c r="J3" s="13" t="n">
        <v>0.62</v>
      </c>
      <c r="K3" s="13" t="n">
        <v>0.22</v>
      </c>
      <c r="L3" s="13" t="n">
        <v>0.23</v>
      </c>
      <c r="M3" s="13" t="n">
        <v>0.44</v>
      </c>
      <c r="N3" s="6"/>
      <c r="O3" s="6"/>
      <c r="P3" s="6"/>
      <c r="Q3" s="6"/>
      <c r="R3" s="6"/>
    </row>
    <row r="4" customFormat="false" ht="15.75" hidden="false" customHeight="false" outlineLevel="0" collapsed="false">
      <c r="A4" s="15" t="n">
        <v>10276737</v>
      </c>
      <c r="B4" s="11" t="s">
        <v>23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customFormat="false" ht="15.75" hidden="false" customHeight="false" outlineLevel="0" collapsed="false">
      <c r="A5" s="15" t="n">
        <v>10310662</v>
      </c>
      <c r="B5" s="11" t="s">
        <v>23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customFormat="false" ht="15.75" hidden="false" customHeight="false" outlineLevel="0" collapsed="false">
      <c r="A6" s="15" t="n">
        <v>10277001</v>
      </c>
      <c r="B6" s="11" t="s">
        <v>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customFormat="false" ht="15.75" hidden="false" customHeight="false" outlineLevel="0" collapsed="false">
      <c r="A7" s="15" t="n">
        <v>10351971</v>
      </c>
      <c r="B7" s="11" t="s">
        <v>23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customFormat="false" ht="15.75" hidden="false" customHeight="false" outlineLevel="0" collapsed="false">
      <c r="A8" s="15" t="n">
        <v>9424506</v>
      </c>
      <c r="B8" s="11" t="s">
        <v>23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customFormat="false" ht="15.75" hidden="false" customHeight="false" outlineLevel="0" collapsed="false">
      <c r="A9" s="15" t="n">
        <v>9292462</v>
      </c>
      <c r="B9" s="11" t="s">
        <v>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customFormat="false" ht="15.75" hidden="false" customHeight="false" outlineLevel="0" collapsed="false">
      <c r="A10" s="15" t="n">
        <v>9436110</v>
      </c>
      <c r="B10" s="11" t="s">
        <v>23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customFormat="false" ht="15.75" hidden="false" customHeight="false" outlineLevel="0" collapsed="false">
      <c r="A11" s="15" t="n">
        <v>9846222</v>
      </c>
      <c r="B11" s="11" t="s">
        <v>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customFormat="false" ht="15.75" hidden="false" customHeight="false" outlineLevel="0" collapsed="false">
      <c r="A12" s="15" t="n">
        <v>10310551</v>
      </c>
      <c r="B12" s="10" t="n">
        <v>0.5</v>
      </c>
      <c r="C12" s="12" t="n">
        <f aca="false">D12+E12</f>
        <v>0.4</v>
      </c>
      <c r="D12" s="12" t="n">
        <v>0</v>
      </c>
      <c r="E12" s="12" t="n">
        <v>0.4</v>
      </c>
      <c r="F12" s="12" t="n">
        <v>12.5</v>
      </c>
      <c r="G12" s="12" t="n">
        <v>0</v>
      </c>
      <c r="H12" s="12" t="n">
        <v>0</v>
      </c>
      <c r="I12" s="12" t="n">
        <v>0</v>
      </c>
      <c r="J12" s="12" t="n">
        <v>0.4</v>
      </c>
      <c r="K12" s="17"/>
      <c r="L12" s="12" t="n">
        <v>0</v>
      </c>
      <c r="M12" s="12" t="n">
        <v>0</v>
      </c>
    </row>
    <row r="13" customFormat="false" ht="15.75" hidden="false" customHeight="false" outlineLevel="0" collapsed="false">
      <c r="A13" s="15" t="n">
        <v>10310492</v>
      </c>
      <c r="B13" s="10" t="n">
        <v>1</v>
      </c>
      <c r="C13" s="12" t="n">
        <f aca="false">D13+E13</f>
        <v>0.76</v>
      </c>
      <c r="D13" s="12" t="n">
        <v>0</v>
      </c>
      <c r="E13" s="12" t="n">
        <v>0.76</v>
      </c>
      <c r="F13" s="12" t="n">
        <v>12.5</v>
      </c>
      <c r="G13" s="12" t="n">
        <v>0</v>
      </c>
      <c r="H13" s="12" t="n">
        <v>0</v>
      </c>
      <c r="I13" s="12" t="n">
        <v>0</v>
      </c>
      <c r="J13" s="12" t="n">
        <v>0</v>
      </c>
      <c r="K13" s="12" t="n">
        <v>0.56</v>
      </c>
      <c r="L13" s="12" t="n">
        <v>0.14</v>
      </c>
      <c r="M13" s="12" t="n">
        <v>0</v>
      </c>
    </row>
    <row r="14" customFormat="false" ht="15.75" hidden="false" customHeight="false" outlineLevel="0" collapsed="false">
      <c r="A14" s="15" t="n">
        <v>10377538</v>
      </c>
      <c r="B14" s="10" t="n">
        <v>1.5</v>
      </c>
      <c r="C14" s="12" t="n">
        <f aca="false">D14+E14</f>
        <v>0.94</v>
      </c>
      <c r="D14" s="12" t="n">
        <v>0</v>
      </c>
      <c r="E14" s="12" t="n">
        <v>0.94</v>
      </c>
      <c r="F14" s="12" t="n">
        <v>12.5</v>
      </c>
      <c r="G14" s="17"/>
      <c r="H14" s="17"/>
      <c r="I14" s="12" t="n">
        <v>0.8</v>
      </c>
      <c r="J14" s="12" t="n">
        <v>0</v>
      </c>
      <c r="K14" s="17"/>
      <c r="L14" s="12" t="n">
        <v>0.14</v>
      </c>
      <c r="M14" s="12" t="n">
        <v>0</v>
      </c>
      <c r="N14" s="6"/>
      <c r="O14" s="6"/>
      <c r="P14" s="6"/>
      <c r="Q14" s="6"/>
      <c r="R14" s="6"/>
    </row>
    <row r="15" customFormat="false" ht="15.75" hidden="false" customHeight="false" outlineLevel="0" collapsed="false">
      <c r="A15" s="15" t="n">
        <v>9363926</v>
      </c>
      <c r="B15" s="10" t="n">
        <v>1.5</v>
      </c>
      <c r="C15" s="12" t="n">
        <f aca="false">D15+E15</f>
        <v>1.05</v>
      </c>
      <c r="D15" s="12" t="n">
        <v>0</v>
      </c>
      <c r="E15" s="12" t="n">
        <v>1.05</v>
      </c>
      <c r="F15" s="12" t="n">
        <v>12.5</v>
      </c>
      <c r="G15" s="12" t="n">
        <v>0.33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0.71</v>
      </c>
      <c r="M15" s="12" t="n">
        <v>0</v>
      </c>
      <c r="N15" s="6"/>
      <c r="O15" s="6"/>
      <c r="P15" s="6"/>
      <c r="Q15" s="6"/>
      <c r="R15" s="6"/>
    </row>
    <row r="16" customFormat="false" ht="15.75" hidden="false" customHeight="false" outlineLevel="0" collapsed="false">
      <c r="A16" s="15" t="n">
        <v>10277036</v>
      </c>
      <c r="B16" s="10" t="n">
        <v>1.5</v>
      </c>
      <c r="C16" s="12" t="n">
        <f aca="false">D16+E16</f>
        <v>1</v>
      </c>
      <c r="D16" s="12" t="n">
        <v>0.86</v>
      </c>
      <c r="E16" s="12" t="n">
        <v>0.14</v>
      </c>
      <c r="F16" s="12" t="n">
        <v>12.5</v>
      </c>
      <c r="G16" s="12" t="n">
        <v>0</v>
      </c>
      <c r="H16" s="17"/>
      <c r="I16" s="17"/>
      <c r="J16" s="12" t="n">
        <v>0</v>
      </c>
      <c r="K16" s="17"/>
      <c r="L16" s="12" t="n">
        <v>0.14</v>
      </c>
      <c r="M16" s="12" t="n">
        <v>0.86</v>
      </c>
      <c r="N16" s="6"/>
      <c r="O16" s="6"/>
      <c r="P16" s="6"/>
      <c r="Q16" s="6"/>
      <c r="R16" s="6"/>
    </row>
    <row r="17" customFormat="false" ht="15.75" hidden="false" customHeight="false" outlineLevel="0" collapsed="false">
      <c r="A17" s="15" t="n">
        <v>10277022</v>
      </c>
      <c r="B17" s="10" t="n">
        <v>2</v>
      </c>
      <c r="C17" s="12" t="n">
        <f aca="false">D17+E17</f>
        <v>1.47</v>
      </c>
      <c r="D17" s="12" t="n">
        <v>0</v>
      </c>
      <c r="E17" s="12" t="n">
        <v>1.47</v>
      </c>
      <c r="F17" s="12" t="n">
        <v>12.5</v>
      </c>
      <c r="G17" s="12" t="n">
        <v>0</v>
      </c>
      <c r="H17" s="12" t="n">
        <v>0.67</v>
      </c>
      <c r="I17" s="12" t="n">
        <v>0.8</v>
      </c>
      <c r="J17" s="12" t="n">
        <v>0</v>
      </c>
      <c r="K17" s="12" t="n">
        <v>0</v>
      </c>
      <c r="L17" s="12" t="n">
        <v>0</v>
      </c>
      <c r="M17" s="12" t="n">
        <v>0</v>
      </c>
      <c r="N17" s="6"/>
      <c r="O17" s="6"/>
      <c r="P17" s="6"/>
      <c r="Q17" s="6"/>
      <c r="R17" s="6"/>
    </row>
    <row r="18" customFormat="false" ht="15.75" hidden="false" customHeight="false" outlineLevel="0" collapsed="false">
      <c r="A18" s="15" t="n">
        <v>9755822</v>
      </c>
      <c r="B18" s="10" t="n">
        <v>2</v>
      </c>
      <c r="C18" s="12" t="n">
        <f aca="false">D18+E18</f>
        <v>1.36</v>
      </c>
      <c r="D18" s="12" t="n">
        <v>1.02</v>
      </c>
      <c r="E18" s="12" t="n">
        <v>0.34</v>
      </c>
      <c r="F18" s="12" t="n">
        <v>12.5</v>
      </c>
      <c r="G18" s="17"/>
      <c r="H18" s="17"/>
      <c r="I18" s="17"/>
      <c r="J18" s="12" t="n">
        <v>0</v>
      </c>
      <c r="K18" s="17"/>
      <c r="L18" s="12" t="n">
        <v>0.29</v>
      </c>
      <c r="M18" s="12" t="n">
        <v>1.07</v>
      </c>
      <c r="N18" s="6"/>
      <c r="O18" s="6"/>
      <c r="P18" s="6"/>
      <c r="Q18" s="6"/>
      <c r="R18" s="6"/>
    </row>
    <row r="19" customFormat="false" ht="15.75" hidden="false" customHeight="false" outlineLevel="0" collapsed="false">
      <c r="A19" s="15" t="n">
        <v>9082496</v>
      </c>
      <c r="B19" s="10" t="n">
        <v>3</v>
      </c>
      <c r="C19" s="12" t="n">
        <f aca="false">D19+E19</f>
        <v>1.99</v>
      </c>
      <c r="D19" s="12" t="n">
        <v>0.0800000000000001</v>
      </c>
      <c r="E19" s="12" t="n">
        <v>1.91</v>
      </c>
      <c r="F19" s="12" t="n">
        <v>12.5</v>
      </c>
      <c r="G19" s="12" t="n">
        <v>0</v>
      </c>
      <c r="H19" s="12" t="n">
        <v>0</v>
      </c>
      <c r="I19" s="12" t="n">
        <v>0</v>
      </c>
      <c r="J19" s="12" t="n">
        <v>0</v>
      </c>
      <c r="K19" s="12" t="n">
        <v>0.56</v>
      </c>
      <c r="L19" s="12" t="n">
        <v>0.14</v>
      </c>
      <c r="M19" s="12" t="n">
        <v>1.29</v>
      </c>
      <c r="N19" s="6"/>
      <c r="O19" s="6"/>
      <c r="P19" s="6"/>
      <c r="Q19" s="6"/>
      <c r="R19" s="6"/>
    </row>
    <row r="20" customFormat="false" ht="15.75" hidden="false" customHeight="false" outlineLevel="0" collapsed="false">
      <c r="A20" s="15" t="n">
        <v>10276866</v>
      </c>
      <c r="B20" s="10" t="n">
        <v>3</v>
      </c>
      <c r="C20" s="12" t="n">
        <f aca="false">D20+E20</f>
        <v>2</v>
      </c>
      <c r="D20" s="12" t="n">
        <v>0.2</v>
      </c>
      <c r="E20" s="12" t="n">
        <v>1.8</v>
      </c>
      <c r="F20" s="12" t="n">
        <v>12.5</v>
      </c>
      <c r="G20" s="12" t="n">
        <v>1</v>
      </c>
      <c r="H20" s="12" t="n">
        <v>0</v>
      </c>
      <c r="I20" s="12" t="n">
        <v>0</v>
      </c>
      <c r="J20" s="12" t="n">
        <v>0</v>
      </c>
      <c r="K20" s="12" t="n">
        <v>0</v>
      </c>
      <c r="L20" s="12" t="n">
        <v>0.14</v>
      </c>
      <c r="M20" s="12" t="n">
        <v>0.86</v>
      </c>
      <c r="N20" s="6"/>
      <c r="O20" s="6"/>
      <c r="P20" s="6"/>
      <c r="Q20" s="6"/>
      <c r="R20" s="6"/>
    </row>
    <row r="21" customFormat="false" ht="15.75" hidden="false" customHeight="false" outlineLevel="0" collapsed="false">
      <c r="A21" s="15" t="n">
        <v>10310342</v>
      </c>
      <c r="B21" s="10" t="n">
        <v>3.5</v>
      </c>
      <c r="C21" s="12" t="n">
        <f aca="false">D21+E21</f>
        <v>2.41</v>
      </c>
      <c r="D21" s="12" t="n">
        <v>0</v>
      </c>
      <c r="E21" s="12" t="n">
        <v>2.41</v>
      </c>
      <c r="F21" s="12" t="n">
        <v>12.5</v>
      </c>
      <c r="G21" s="12" t="n">
        <v>0.67</v>
      </c>
      <c r="H21" s="17"/>
      <c r="I21" s="12" t="n">
        <v>0.8</v>
      </c>
      <c r="J21" s="12" t="n">
        <v>0</v>
      </c>
      <c r="K21" s="12" t="n">
        <v>0.75</v>
      </c>
      <c r="L21" s="12" t="n">
        <v>0.14</v>
      </c>
      <c r="M21" s="12" t="n">
        <v>0</v>
      </c>
      <c r="N21" s="6"/>
      <c r="O21" s="6"/>
      <c r="P21" s="6"/>
      <c r="Q21" s="6"/>
      <c r="R21" s="6"/>
    </row>
    <row r="22" customFormat="false" ht="15.75" hidden="false" customHeight="false" outlineLevel="0" collapsed="false">
      <c r="A22" s="15" t="n">
        <v>9795272</v>
      </c>
      <c r="B22" s="10" t="n">
        <v>4</v>
      </c>
      <c r="C22" s="12" t="n">
        <f aca="false">D22+E22</f>
        <v>2.68</v>
      </c>
      <c r="D22" s="12" t="n">
        <v>1.02</v>
      </c>
      <c r="E22" s="12" t="n">
        <v>1.66</v>
      </c>
      <c r="F22" s="12" t="n">
        <v>12.5</v>
      </c>
      <c r="G22" s="12" t="n">
        <v>0.67</v>
      </c>
      <c r="H22" s="12" t="n">
        <v>0</v>
      </c>
      <c r="I22" s="12" t="n">
        <v>0.8</v>
      </c>
      <c r="J22" s="12" t="n">
        <v>0</v>
      </c>
      <c r="K22" s="12" t="n">
        <v>0</v>
      </c>
      <c r="L22" s="12" t="n">
        <v>0.14</v>
      </c>
      <c r="M22" s="12" t="n">
        <v>1.07</v>
      </c>
      <c r="N22" s="6"/>
      <c r="O22" s="6"/>
      <c r="P22" s="6"/>
      <c r="Q22" s="6"/>
      <c r="R22" s="6"/>
    </row>
    <row r="23" customFormat="false" ht="15.75" hidden="false" customHeight="false" outlineLevel="0" collapsed="false">
      <c r="A23" s="15" t="n">
        <v>10276907</v>
      </c>
      <c r="B23" s="10" t="n">
        <v>4</v>
      </c>
      <c r="C23" s="12" t="n">
        <f aca="false">D23+E23</f>
        <v>2.77</v>
      </c>
      <c r="D23" s="12" t="n">
        <v>0</v>
      </c>
      <c r="E23" s="12" t="n">
        <v>2.77</v>
      </c>
      <c r="F23" s="12" t="n">
        <v>12.5</v>
      </c>
      <c r="G23" s="12" t="n">
        <v>1</v>
      </c>
      <c r="H23" s="12" t="n">
        <v>0.67</v>
      </c>
      <c r="I23" s="12" t="n">
        <v>0</v>
      </c>
      <c r="J23" s="12" t="n">
        <v>0.4</v>
      </c>
      <c r="K23" s="12" t="n">
        <v>0.56</v>
      </c>
      <c r="L23" s="12" t="n">
        <v>0.14</v>
      </c>
      <c r="M23" s="12" t="n">
        <v>0</v>
      </c>
      <c r="N23" s="6"/>
      <c r="O23" s="6"/>
      <c r="P23" s="6"/>
      <c r="Q23" s="6"/>
      <c r="R23" s="6"/>
    </row>
    <row r="24" customFormat="false" ht="15.75" hidden="false" customHeight="false" outlineLevel="0" collapsed="false">
      <c r="A24" s="15" t="n">
        <v>10352030</v>
      </c>
      <c r="B24" s="10" t="n">
        <v>4.5</v>
      </c>
      <c r="C24" s="12" t="n">
        <f aca="false">D24+E24</f>
        <v>3</v>
      </c>
      <c r="D24" s="12" t="n">
        <v>0.86</v>
      </c>
      <c r="E24" s="12" t="n">
        <v>2.14</v>
      </c>
      <c r="F24" s="12" t="n">
        <v>12.5</v>
      </c>
      <c r="G24" s="12" t="n">
        <v>0</v>
      </c>
      <c r="H24" s="12" t="n">
        <v>0</v>
      </c>
      <c r="I24" s="12" t="n">
        <v>2</v>
      </c>
      <c r="J24" s="12" t="n">
        <v>0</v>
      </c>
      <c r="K24" s="12" t="n">
        <v>0</v>
      </c>
      <c r="L24" s="12" t="n">
        <v>0.14</v>
      </c>
      <c r="M24" s="12" t="n">
        <v>0.86</v>
      </c>
      <c r="N24" s="6"/>
      <c r="O24" s="6"/>
      <c r="P24" s="6"/>
      <c r="Q24" s="6"/>
      <c r="R24" s="6"/>
    </row>
    <row r="25" customFormat="false" ht="15.75" hidden="false" customHeight="false" outlineLevel="0" collapsed="false">
      <c r="A25" s="15" t="n">
        <v>9760151</v>
      </c>
      <c r="B25" s="10" t="n">
        <v>4.5</v>
      </c>
      <c r="C25" s="12" t="n">
        <f aca="false">D25+E25</f>
        <v>2.99</v>
      </c>
      <c r="D25" s="12" t="n">
        <v>0.96</v>
      </c>
      <c r="E25" s="12" t="n">
        <v>2.03</v>
      </c>
      <c r="F25" s="12" t="n">
        <v>12.5</v>
      </c>
      <c r="G25" s="17"/>
      <c r="H25" s="17"/>
      <c r="I25" s="17"/>
      <c r="J25" s="12" t="n">
        <v>1</v>
      </c>
      <c r="K25" s="12" t="n">
        <v>0.56</v>
      </c>
      <c r="L25" s="12" t="n">
        <v>0.14</v>
      </c>
      <c r="M25" s="12" t="n">
        <v>1.29</v>
      </c>
      <c r="N25" s="6"/>
      <c r="O25" s="6"/>
      <c r="P25" s="6"/>
      <c r="Q25" s="6"/>
      <c r="R25" s="6"/>
    </row>
    <row r="26" customFormat="false" ht="15.75" hidden="false" customHeight="false" outlineLevel="0" collapsed="false">
      <c r="A26" s="15" t="n">
        <v>8656201</v>
      </c>
      <c r="B26" s="10" t="n">
        <v>5</v>
      </c>
      <c r="C26" s="12" t="n">
        <f aca="false">D26+E26</f>
        <v>3.29</v>
      </c>
      <c r="D26" s="12" t="n">
        <v>0</v>
      </c>
      <c r="E26" s="12" t="n">
        <v>3.29</v>
      </c>
      <c r="F26" s="12" t="n">
        <v>12.5</v>
      </c>
      <c r="G26" s="12" t="n">
        <v>0</v>
      </c>
      <c r="H26" s="12" t="n">
        <v>0</v>
      </c>
      <c r="I26" s="12" t="n">
        <v>2</v>
      </c>
      <c r="J26" s="12" t="n">
        <v>1</v>
      </c>
      <c r="K26" s="12" t="n">
        <v>0</v>
      </c>
      <c r="L26" s="12" t="n">
        <v>0.29</v>
      </c>
      <c r="M26" s="12" t="n">
        <v>0</v>
      </c>
      <c r="N26" s="6"/>
      <c r="O26" s="6"/>
      <c r="P26" s="6"/>
      <c r="Q26" s="6"/>
      <c r="R26" s="6"/>
    </row>
    <row r="27" customFormat="false" ht="15.75" hidden="false" customHeight="false" outlineLevel="0" collapsed="false">
      <c r="A27" s="15" t="n">
        <v>9790781</v>
      </c>
      <c r="B27" s="10" t="n">
        <v>5</v>
      </c>
      <c r="C27" s="12" t="n">
        <f aca="false">D27+E27</f>
        <v>4.07</v>
      </c>
      <c r="D27" s="12" t="n">
        <v>0</v>
      </c>
      <c r="E27" s="12" t="n">
        <v>4.07</v>
      </c>
      <c r="F27" s="12" t="n">
        <v>12.5</v>
      </c>
      <c r="G27" s="12" t="n">
        <v>0</v>
      </c>
      <c r="H27" s="12" t="n">
        <v>0</v>
      </c>
      <c r="I27" s="12" t="n">
        <v>2</v>
      </c>
      <c r="J27" s="12" t="n">
        <v>1</v>
      </c>
      <c r="K27" s="12" t="n">
        <v>0</v>
      </c>
      <c r="L27" s="12" t="n">
        <v>0.14</v>
      </c>
      <c r="M27" s="12" t="n">
        <v>0</v>
      </c>
      <c r="N27" s="6"/>
      <c r="O27" s="6"/>
      <c r="P27" s="6"/>
      <c r="Q27" s="6"/>
      <c r="R27" s="6"/>
    </row>
    <row r="28" customFormat="false" ht="15.75" hidden="false" customHeight="false" outlineLevel="0" collapsed="false">
      <c r="A28" s="15" t="n">
        <v>10276762</v>
      </c>
      <c r="B28" s="10" t="n">
        <v>6</v>
      </c>
      <c r="C28" s="12" t="n">
        <f aca="false">D28+E28</f>
        <v>3.88</v>
      </c>
      <c r="D28" s="12" t="n">
        <v>1.02</v>
      </c>
      <c r="E28" s="12" t="n">
        <v>2.86</v>
      </c>
      <c r="F28" s="12" t="n">
        <v>12.5</v>
      </c>
      <c r="G28" s="12" t="n">
        <v>0.67</v>
      </c>
      <c r="H28" s="17"/>
      <c r="I28" s="12" t="n">
        <v>1</v>
      </c>
      <c r="J28" s="12" t="n">
        <v>1</v>
      </c>
      <c r="K28" s="17"/>
      <c r="L28" s="12" t="n">
        <v>0.14</v>
      </c>
      <c r="M28" s="12" t="n">
        <v>1.07</v>
      </c>
      <c r="N28" s="6"/>
      <c r="O28" s="6"/>
      <c r="P28" s="6"/>
      <c r="Q28" s="6"/>
      <c r="R28" s="6"/>
    </row>
    <row r="29" customFormat="false" ht="15.75" hidden="false" customHeight="false" outlineLevel="0" collapsed="false">
      <c r="A29" s="15" t="n">
        <v>10310888</v>
      </c>
      <c r="B29" s="10" t="n">
        <v>6</v>
      </c>
      <c r="C29" s="12" t="n">
        <f aca="false">D29+E29</f>
        <v>3.93</v>
      </c>
      <c r="D29" s="12" t="n">
        <v>1.86</v>
      </c>
      <c r="E29" s="12" t="n">
        <v>2.07</v>
      </c>
      <c r="F29" s="12" t="n">
        <v>12.5</v>
      </c>
      <c r="G29" s="12" t="n">
        <v>1</v>
      </c>
      <c r="H29" s="12" t="n">
        <v>0</v>
      </c>
      <c r="I29" s="12" t="n">
        <v>0</v>
      </c>
      <c r="J29" s="12" t="n">
        <v>0</v>
      </c>
      <c r="K29" s="12" t="n">
        <v>0</v>
      </c>
      <c r="L29" s="12" t="n">
        <v>0.14</v>
      </c>
      <c r="M29" s="12" t="n">
        <v>2.79</v>
      </c>
      <c r="N29" s="6"/>
      <c r="O29" s="6"/>
      <c r="P29" s="6"/>
      <c r="Q29" s="6"/>
      <c r="R29" s="6"/>
    </row>
    <row r="30" customFormat="false" ht="15.75" hidden="false" customHeight="false" outlineLevel="0" collapsed="false">
      <c r="A30" s="15" t="n">
        <v>10310471</v>
      </c>
      <c r="B30" s="10" t="n">
        <v>6</v>
      </c>
      <c r="C30" s="12" t="n">
        <f aca="false">D30+E30</f>
        <v>3.9</v>
      </c>
      <c r="D30" s="12" t="n">
        <v>0.0899999999999999</v>
      </c>
      <c r="E30" s="12" t="n">
        <v>3.81</v>
      </c>
      <c r="F30" s="12" t="n">
        <v>12.5</v>
      </c>
      <c r="G30" s="12" t="n">
        <v>1</v>
      </c>
      <c r="H30" s="12" t="n">
        <v>0.67</v>
      </c>
      <c r="I30" s="12" t="n">
        <v>0.8</v>
      </c>
      <c r="J30" s="12" t="n">
        <v>0</v>
      </c>
      <c r="K30" s="17"/>
      <c r="L30" s="12" t="n">
        <v>0.14</v>
      </c>
      <c r="M30" s="12" t="n">
        <v>1.29</v>
      </c>
      <c r="N30" s="6"/>
      <c r="O30" s="6"/>
      <c r="P30" s="6"/>
      <c r="Q30" s="6"/>
      <c r="R30" s="6"/>
    </row>
    <row r="31" customFormat="false" ht="15.75" hidden="false" customHeight="false" outlineLevel="0" collapsed="false">
      <c r="A31" s="15" t="n">
        <v>10276682</v>
      </c>
      <c r="B31" s="10" t="n">
        <v>6</v>
      </c>
      <c r="C31" s="12" t="n">
        <f aca="false">D31+E31</f>
        <v>3.79</v>
      </c>
      <c r="D31" s="12" t="n">
        <v>0.65</v>
      </c>
      <c r="E31" s="12" t="n">
        <v>3.14</v>
      </c>
      <c r="F31" s="12" t="n">
        <v>12.5</v>
      </c>
      <c r="G31" s="12" t="n">
        <v>0</v>
      </c>
      <c r="H31" s="12" t="n">
        <v>0</v>
      </c>
      <c r="I31" s="12" t="n">
        <v>2</v>
      </c>
      <c r="J31" s="12" t="n">
        <v>1</v>
      </c>
      <c r="K31" s="12" t="n">
        <v>0</v>
      </c>
      <c r="L31" s="12" t="n">
        <v>0.14</v>
      </c>
      <c r="M31" s="12" t="n">
        <v>0.64</v>
      </c>
      <c r="N31" s="6"/>
      <c r="O31" s="6"/>
      <c r="P31" s="6"/>
      <c r="Q31" s="6"/>
      <c r="R31" s="6"/>
    </row>
    <row r="32" customFormat="false" ht="15.75" hidden="false" customHeight="false" outlineLevel="0" collapsed="false">
      <c r="A32" s="15" t="n">
        <v>10273971</v>
      </c>
      <c r="B32" s="10" t="n">
        <v>6</v>
      </c>
      <c r="C32" s="12" t="n">
        <f aca="false">D32+E32</f>
        <v>4</v>
      </c>
      <c r="D32" s="12" t="n">
        <v>1.04</v>
      </c>
      <c r="E32" s="12" t="n">
        <v>2.96</v>
      </c>
      <c r="F32" s="12" t="n">
        <v>12.5</v>
      </c>
      <c r="G32" s="12" t="n">
        <v>1</v>
      </c>
      <c r="H32" s="12" t="n">
        <v>0</v>
      </c>
      <c r="I32" s="12" t="n">
        <v>0</v>
      </c>
      <c r="J32" s="12" t="n">
        <v>0</v>
      </c>
      <c r="K32" s="12" t="n">
        <v>0</v>
      </c>
      <c r="L32" s="12" t="n">
        <v>0.43</v>
      </c>
      <c r="M32" s="12" t="n">
        <v>2.57</v>
      </c>
      <c r="N32" s="6"/>
      <c r="O32" s="6"/>
      <c r="P32" s="6"/>
      <c r="Q32" s="6"/>
      <c r="R32" s="6"/>
    </row>
    <row r="33" customFormat="false" ht="15.75" hidden="false" customHeight="false" outlineLevel="0" collapsed="false">
      <c r="A33" s="15" t="n">
        <v>10377688</v>
      </c>
      <c r="B33" s="10" t="n">
        <v>6.5</v>
      </c>
      <c r="C33" s="12" t="n">
        <f aca="false">D33+E33</f>
        <v>4.21</v>
      </c>
      <c r="D33" s="12" t="n">
        <v>1.01</v>
      </c>
      <c r="E33" s="12" t="n">
        <v>3.2</v>
      </c>
      <c r="F33" s="12" t="n">
        <v>12.5</v>
      </c>
      <c r="G33" s="12" t="n">
        <v>2</v>
      </c>
      <c r="H33" s="17"/>
      <c r="I33" s="12" t="n">
        <v>0</v>
      </c>
      <c r="J33" s="12" t="n">
        <v>1</v>
      </c>
      <c r="K33" s="12" t="n">
        <v>0</v>
      </c>
      <c r="L33" s="12" t="n">
        <v>0.14</v>
      </c>
      <c r="M33" s="12" t="n">
        <v>1.07</v>
      </c>
      <c r="N33" s="6"/>
      <c r="O33" s="6"/>
      <c r="P33" s="6"/>
      <c r="Q33" s="6"/>
      <c r="R33" s="6"/>
    </row>
    <row r="34" customFormat="false" ht="15.75" hidden="false" customHeight="false" outlineLevel="0" collapsed="false">
      <c r="A34" s="15" t="n">
        <v>9368772</v>
      </c>
      <c r="B34" s="10" t="n">
        <v>6.5</v>
      </c>
      <c r="C34" s="12" t="n">
        <f aca="false">D34+E34</f>
        <v>4.36</v>
      </c>
      <c r="D34" s="12" t="n">
        <v>1.02</v>
      </c>
      <c r="E34" s="12" t="n">
        <v>3.34</v>
      </c>
      <c r="F34" s="12" t="n">
        <v>12.5</v>
      </c>
      <c r="G34" s="12" t="n">
        <v>0</v>
      </c>
      <c r="H34" s="12" t="n">
        <v>0</v>
      </c>
      <c r="I34" s="12" t="n">
        <v>2</v>
      </c>
      <c r="J34" s="12" t="n">
        <v>1</v>
      </c>
      <c r="K34" s="12" t="n">
        <v>0</v>
      </c>
      <c r="L34" s="12" t="n">
        <v>0.29</v>
      </c>
      <c r="M34" s="12" t="n">
        <v>1.07</v>
      </c>
      <c r="N34" s="6"/>
      <c r="O34" s="6"/>
      <c r="P34" s="6"/>
      <c r="Q34" s="6"/>
      <c r="R34" s="6"/>
    </row>
    <row r="35" customFormat="false" ht="15.75" hidden="false" customHeight="false" outlineLevel="0" collapsed="false">
      <c r="A35" s="15" t="n">
        <v>10277040</v>
      </c>
      <c r="B35" s="10" t="n">
        <v>7</v>
      </c>
      <c r="C35" s="12" t="n">
        <f aca="false">D35+E35</f>
        <v>4.57</v>
      </c>
      <c r="D35" s="12" t="n">
        <v>0.140000000000001</v>
      </c>
      <c r="E35" s="12" t="n">
        <v>4.43</v>
      </c>
      <c r="F35" s="12" t="n">
        <v>12.5</v>
      </c>
      <c r="G35" s="12" t="n">
        <v>0</v>
      </c>
      <c r="H35" s="12" t="n">
        <v>1</v>
      </c>
      <c r="I35" s="12" t="n">
        <v>0</v>
      </c>
      <c r="J35" s="12" t="n">
        <v>1</v>
      </c>
      <c r="K35" s="12" t="n">
        <v>1.5</v>
      </c>
      <c r="L35" s="12" t="n">
        <v>0</v>
      </c>
      <c r="M35" s="12" t="n">
        <v>1.07</v>
      </c>
      <c r="N35" s="6"/>
      <c r="O35" s="6"/>
      <c r="P35" s="6"/>
      <c r="Q35" s="6"/>
      <c r="R35" s="6"/>
    </row>
    <row r="36" customFormat="false" ht="15.75" hidden="false" customHeight="false" outlineLevel="0" collapsed="false">
      <c r="A36" s="15" t="n">
        <v>10276654</v>
      </c>
      <c r="B36" s="10" t="n">
        <v>7</v>
      </c>
      <c r="C36" s="12" t="n">
        <f aca="false">D36+E36</f>
        <v>4.6</v>
      </c>
      <c r="D36" s="12" t="n">
        <v>0.99</v>
      </c>
      <c r="E36" s="12" t="n">
        <v>3.61</v>
      </c>
      <c r="F36" s="12" t="n">
        <v>12.5</v>
      </c>
      <c r="G36" s="12" t="n">
        <v>0</v>
      </c>
      <c r="H36" s="12" t="n">
        <v>0.67</v>
      </c>
      <c r="I36" s="12" t="n">
        <v>0</v>
      </c>
      <c r="J36" s="12" t="n">
        <v>1</v>
      </c>
      <c r="K36" s="12" t="n">
        <v>0</v>
      </c>
      <c r="L36" s="12" t="n">
        <v>0.14</v>
      </c>
      <c r="M36" s="12" t="n">
        <v>2.79</v>
      </c>
      <c r="N36" s="6"/>
      <c r="O36" s="6"/>
      <c r="P36" s="6"/>
      <c r="Q36" s="6"/>
      <c r="R36" s="6"/>
    </row>
    <row r="37" customFormat="false" ht="15.75" hidden="false" customHeight="false" outlineLevel="0" collapsed="false">
      <c r="A37" s="15" t="n">
        <v>9842913</v>
      </c>
      <c r="B37" s="10" t="n">
        <v>7.5</v>
      </c>
      <c r="C37" s="12" t="n">
        <f aca="false">D37+E37</f>
        <v>4.99</v>
      </c>
      <c r="D37" s="12" t="n">
        <v>0.0800000000000001</v>
      </c>
      <c r="E37" s="12" t="n">
        <v>4.91</v>
      </c>
      <c r="F37" s="12" t="n">
        <v>12.5</v>
      </c>
      <c r="G37" s="12" t="n">
        <v>0</v>
      </c>
      <c r="H37" s="12" t="n">
        <v>0</v>
      </c>
      <c r="I37" s="12" t="n">
        <v>2</v>
      </c>
      <c r="J37" s="12" t="n">
        <v>1</v>
      </c>
      <c r="K37" s="12" t="n">
        <v>0.56</v>
      </c>
      <c r="L37" s="12" t="n">
        <v>0.14</v>
      </c>
      <c r="M37" s="12" t="n">
        <v>1.29</v>
      </c>
      <c r="N37" s="6"/>
      <c r="O37" s="6"/>
      <c r="P37" s="6"/>
      <c r="Q37" s="6"/>
      <c r="R37" s="6"/>
    </row>
    <row r="38" customFormat="false" ht="15.75" hidden="false" customHeight="false" outlineLevel="0" collapsed="false">
      <c r="A38" s="15" t="n">
        <v>10276974</v>
      </c>
      <c r="B38" s="10" t="n">
        <v>8</v>
      </c>
      <c r="C38" s="12" t="n">
        <f aca="false">D38+E38</f>
        <v>5.26</v>
      </c>
      <c r="D38" s="12" t="n">
        <v>1.02</v>
      </c>
      <c r="E38" s="12" t="n">
        <v>4.24</v>
      </c>
      <c r="F38" s="12" t="n">
        <v>12.5</v>
      </c>
      <c r="G38" s="12" t="n">
        <v>0</v>
      </c>
      <c r="H38" s="12" t="n">
        <v>0.67</v>
      </c>
      <c r="I38" s="12" t="n">
        <v>2</v>
      </c>
      <c r="J38" s="12" t="n">
        <v>1</v>
      </c>
      <c r="K38" s="12" t="n">
        <v>0.38</v>
      </c>
      <c r="L38" s="12" t="n">
        <v>0.14</v>
      </c>
      <c r="M38" s="12" t="n">
        <v>1.07</v>
      </c>
      <c r="N38" s="6"/>
      <c r="O38" s="6"/>
      <c r="P38" s="6"/>
      <c r="Q38" s="6"/>
      <c r="R38" s="6"/>
    </row>
    <row r="39" customFormat="false" ht="15.75" hidden="false" customHeight="false" outlineLevel="0" collapsed="false">
      <c r="A39" s="15" t="n">
        <v>9795185</v>
      </c>
      <c r="B39" s="10" t="n">
        <v>8</v>
      </c>
      <c r="C39" s="12" t="n">
        <f aca="false">D39+E39</f>
        <v>5.14</v>
      </c>
      <c r="D39" s="12" t="n">
        <v>0</v>
      </c>
      <c r="E39" s="12" t="n">
        <v>5.14</v>
      </c>
      <c r="F39" s="12" t="n">
        <v>12.5</v>
      </c>
      <c r="G39" s="12" t="n">
        <v>2</v>
      </c>
      <c r="H39" s="12" t="n">
        <v>2</v>
      </c>
      <c r="I39" s="12" t="n">
        <v>0</v>
      </c>
      <c r="J39" s="12" t="n">
        <v>1</v>
      </c>
      <c r="K39" s="12" t="n">
        <v>0</v>
      </c>
      <c r="L39" s="12" t="n">
        <v>0.14</v>
      </c>
      <c r="M39" s="12" t="n">
        <v>0</v>
      </c>
      <c r="N39" s="6"/>
      <c r="O39" s="6"/>
      <c r="P39" s="6"/>
      <c r="Q39" s="6"/>
      <c r="R39" s="6"/>
    </row>
    <row r="40" customFormat="false" ht="15.75" hidden="false" customHeight="false" outlineLevel="0" collapsed="false">
      <c r="A40" s="15" t="n">
        <v>10260351</v>
      </c>
      <c r="B40" s="10" t="n">
        <v>8.5</v>
      </c>
      <c r="C40" s="12" t="n">
        <f aca="false">D40+E40</f>
        <v>5.37</v>
      </c>
      <c r="D40" s="12" t="n">
        <v>0.14</v>
      </c>
      <c r="E40" s="12" t="n">
        <v>5.23</v>
      </c>
      <c r="F40" s="12" t="n">
        <v>12.5</v>
      </c>
      <c r="G40" s="12" t="n">
        <v>0</v>
      </c>
      <c r="H40" s="12" t="n">
        <v>1</v>
      </c>
      <c r="I40" s="12" t="n">
        <v>0.8</v>
      </c>
      <c r="J40" s="12" t="n">
        <v>1</v>
      </c>
      <c r="K40" s="12" t="n">
        <v>1.5</v>
      </c>
      <c r="L40" s="12" t="n">
        <v>0</v>
      </c>
      <c r="M40" s="12" t="n">
        <v>1.07</v>
      </c>
      <c r="N40" s="6"/>
      <c r="O40" s="6"/>
      <c r="P40" s="6"/>
      <c r="Q40" s="6"/>
      <c r="R40" s="6"/>
    </row>
    <row r="41" customFormat="false" ht="15.75" hidden="false" customHeight="false" outlineLevel="0" collapsed="false">
      <c r="A41" s="15" t="n">
        <v>10310721</v>
      </c>
      <c r="B41" s="10" t="n">
        <v>8.5</v>
      </c>
      <c r="C41" s="12" t="n">
        <f aca="false">D41+E41</f>
        <v>5.61</v>
      </c>
      <c r="D41" s="12" t="n">
        <v>1.02</v>
      </c>
      <c r="E41" s="12" t="n">
        <v>4.59</v>
      </c>
      <c r="F41" s="12" t="n">
        <v>12.5</v>
      </c>
      <c r="G41" s="12" t="n">
        <v>1.67</v>
      </c>
      <c r="H41" s="12" t="n">
        <v>0</v>
      </c>
      <c r="I41" s="12" t="n">
        <v>0.8</v>
      </c>
      <c r="J41" s="12" t="n">
        <v>0</v>
      </c>
      <c r="K41" s="12" t="n">
        <v>1.5</v>
      </c>
      <c r="L41" s="12" t="n">
        <v>0.57</v>
      </c>
      <c r="M41" s="12" t="n">
        <v>1.07</v>
      </c>
      <c r="N41" s="6"/>
      <c r="O41" s="6"/>
      <c r="P41" s="6"/>
      <c r="Q41" s="6"/>
      <c r="R41" s="6"/>
    </row>
    <row r="42" customFormat="false" ht="15.75" hidden="false" customHeight="false" outlineLevel="0" collapsed="false">
      <c r="A42" s="15" t="n">
        <v>10351992</v>
      </c>
      <c r="B42" s="10" t="n">
        <v>8.5</v>
      </c>
      <c r="C42" s="12" t="n">
        <f aca="false">D42+E42</f>
        <v>5.47</v>
      </c>
      <c r="D42" s="12" t="n">
        <v>0.319999999999999</v>
      </c>
      <c r="E42" s="12" t="n">
        <v>5.15</v>
      </c>
      <c r="F42" s="12" t="n">
        <v>12.5</v>
      </c>
      <c r="G42" s="12" t="n">
        <v>1.33</v>
      </c>
      <c r="H42" s="12" t="n">
        <v>0</v>
      </c>
      <c r="I42" s="12" t="n">
        <v>2</v>
      </c>
      <c r="J42" s="12" t="n">
        <v>1</v>
      </c>
      <c r="K42" s="12" t="n">
        <v>0.56</v>
      </c>
      <c r="L42" s="12" t="n">
        <v>0.14</v>
      </c>
      <c r="M42" s="12" t="n">
        <v>0.43</v>
      </c>
      <c r="N42" s="6"/>
      <c r="O42" s="6"/>
      <c r="P42" s="6"/>
      <c r="Q42" s="6"/>
      <c r="R42" s="6"/>
    </row>
    <row r="43" customFormat="false" ht="15.75" hidden="false" customHeight="false" outlineLevel="0" collapsed="false">
      <c r="A43" s="15" t="n">
        <v>9805341</v>
      </c>
      <c r="B43" s="10" t="n">
        <v>8.5</v>
      </c>
      <c r="C43" s="12" t="n">
        <f aca="false">D43+E43</f>
        <v>5.5</v>
      </c>
      <c r="D43" s="12" t="n">
        <v>0.86</v>
      </c>
      <c r="E43" s="12" t="n">
        <v>4.64</v>
      </c>
      <c r="F43" s="12" t="n">
        <v>12.5</v>
      </c>
      <c r="G43" s="12" t="n">
        <v>2</v>
      </c>
      <c r="H43" s="12" t="n">
        <v>0</v>
      </c>
      <c r="I43" s="12" t="n">
        <v>0</v>
      </c>
      <c r="J43" s="12" t="n">
        <v>1</v>
      </c>
      <c r="K43" s="12" t="n">
        <v>1.5</v>
      </c>
      <c r="L43" s="12" t="n">
        <v>0.14</v>
      </c>
      <c r="M43" s="12" t="n">
        <v>0.86</v>
      </c>
      <c r="N43" s="6"/>
      <c r="O43" s="6"/>
      <c r="P43" s="6"/>
      <c r="Q43" s="6"/>
      <c r="R43" s="6"/>
    </row>
    <row r="44" customFormat="false" ht="15.75" hidden="false" customHeight="false" outlineLevel="0" collapsed="false">
      <c r="A44" s="15" t="n">
        <v>10276953</v>
      </c>
      <c r="B44" s="10" t="n">
        <v>8.5</v>
      </c>
      <c r="C44" s="12" t="n">
        <f aca="false">D44+E44</f>
        <v>5.56</v>
      </c>
      <c r="D44" s="12" t="n">
        <v>0</v>
      </c>
      <c r="E44" s="12" t="n">
        <v>5.56</v>
      </c>
      <c r="F44" s="12" t="n">
        <v>12.5</v>
      </c>
      <c r="G44" s="12" t="n">
        <v>2</v>
      </c>
      <c r="H44" s="12" t="n">
        <v>0</v>
      </c>
      <c r="I44" s="12" t="n">
        <v>2</v>
      </c>
      <c r="J44" s="12" t="n">
        <v>0</v>
      </c>
      <c r="K44" s="12" t="n">
        <v>0.56</v>
      </c>
      <c r="L44" s="12" t="n">
        <v>1</v>
      </c>
      <c r="M44" s="12" t="n">
        <v>0</v>
      </c>
      <c r="N44" s="6"/>
      <c r="O44" s="6"/>
      <c r="P44" s="6"/>
      <c r="Q44" s="6"/>
      <c r="R44" s="6"/>
    </row>
    <row r="45" customFormat="false" ht="15.75" hidden="false" customHeight="false" outlineLevel="0" collapsed="false">
      <c r="A45" s="15" t="n">
        <v>9921470</v>
      </c>
      <c r="B45" s="10" t="n">
        <v>9</v>
      </c>
      <c r="C45" s="12" t="n">
        <f aca="false">D45+E45</f>
        <v>5.63</v>
      </c>
      <c r="D45" s="12" t="n">
        <v>1.85</v>
      </c>
      <c r="E45" s="12" t="n">
        <v>3.78</v>
      </c>
      <c r="F45" s="12" t="n">
        <v>12.5</v>
      </c>
      <c r="G45" s="12" t="n">
        <v>0</v>
      </c>
      <c r="H45" s="17"/>
      <c r="I45" s="12" t="n">
        <v>2</v>
      </c>
      <c r="J45" s="12" t="n">
        <v>0</v>
      </c>
      <c r="K45" s="12" t="n">
        <v>0.56</v>
      </c>
      <c r="L45" s="12" t="n">
        <v>0.29</v>
      </c>
      <c r="M45" s="12" t="n">
        <v>2.79</v>
      </c>
      <c r="N45" s="6"/>
      <c r="O45" s="6"/>
      <c r="P45" s="6"/>
      <c r="Q45" s="6"/>
      <c r="R45" s="6"/>
    </row>
    <row r="46" customFormat="false" ht="15.75" hidden="false" customHeight="false" outlineLevel="0" collapsed="false">
      <c r="A46" s="15" t="n">
        <v>10277015</v>
      </c>
      <c r="B46" s="10" t="n">
        <v>9</v>
      </c>
      <c r="C46" s="12" t="n">
        <f aca="false">D46+E46</f>
        <v>5.64</v>
      </c>
      <c r="D46" s="12" t="n">
        <v>1.97</v>
      </c>
      <c r="E46" s="12" t="n">
        <v>3.67</v>
      </c>
      <c r="F46" s="12" t="n">
        <v>12.5</v>
      </c>
      <c r="G46" s="12" t="n">
        <v>0.67</v>
      </c>
      <c r="H46" s="12" t="n">
        <v>1.33</v>
      </c>
      <c r="I46" s="12" t="n">
        <v>1</v>
      </c>
      <c r="J46" s="12" t="n">
        <v>0</v>
      </c>
      <c r="K46" s="12" t="n">
        <v>0</v>
      </c>
      <c r="L46" s="12" t="n">
        <v>0.29</v>
      </c>
      <c r="M46" s="12" t="n">
        <v>2.36</v>
      </c>
      <c r="N46" s="6"/>
      <c r="O46" s="6"/>
      <c r="P46" s="6"/>
      <c r="Q46" s="6"/>
      <c r="R46" s="6"/>
    </row>
    <row r="47" customFormat="false" ht="15.75" hidden="false" customHeight="false" outlineLevel="0" collapsed="false">
      <c r="A47" s="15" t="n">
        <v>10262669</v>
      </c>
      <c r="B47" s="10" t="n">
        <v>9</v>
      </c>
      <c r="C47" s="12" t="n">
        <f aca="false">D47+E47</f>
        <v>5.79</v>
      </c>
      <c r="D47" s="12" t="n">
        <v>0.96</v>
      </c>
      <c r="E47" s="12" t="n">
        <v>4.83</v>
      </c>
      <c r="F47" s="12" t="n">
        <v>12.5</v>
      </c>
      <c r="G47" s="12" t="n">
        <v>0</v>
      </c>
      <c r="H47" s="12" t="n">
        <v>2</v>
      </c>
      <c r="I47" s="12" t="n">
        <v>0.8</v>
      </c>
      <c r="J47" s="12" t="n">
        <v>1</v>
      </c>
      <c r="K47" s="12" t="n">
        <v>0.56</v>
      </c>
      <c r="L47" s="12" t="n">
        <v>0.14</v>
      </c>
      <c r="M47" s="12" t="n">
        <v>1.29</v>
      </c>
      <c r="N47" s="6"/>
      <c r="O47" s="6"/>
      <c r="P47" s="6"/>
      <c r="Q47" s="6"/>
      <c r="R47" s="6"/>
    </row>
    <row r="48" customFormat="false" ht="15.75" hidden="false" customHeight="false" outlineLevel="0" collapsed="false">
      <c r="A48" s="15" t="n">
        <v>10276675</v>
      </c>
      <c r="B48" s="10" t="n">
        <v>9</v>
      </c>
      <c r="C48" s="12" t="n">
        <f aca="false">D48+E48</f>
        <v>5.93</v>
      </c>
      <c r="D48" s="12" t="n">
        <v>0.96</v>
      </c>
      <c r="E48" s="12" t="n">
        <v>4.97</v>
      </c>
      <c r="F48" s="12" t="n">
        <v>12.5</v>
      </c>
      <c r="G48" s="12" t="n">
        <v>1</v>
      </c>
      <c r="H48" s="12" t="n">
        <v>0</v>
      </c>
      <c r="I48" s="12" t="n">
        <v>1</v>
      </c>
      <c r="J48" s="12" t="n">
        <v>1</v>
      </c>
      <c r="K48" s="12" t="n">
        <v>1.5</v>
      </c>
      <c r="L48" s="12" t="n">
        <v>0.14</v>
      </c>
      <c r="M48" s="12" t="n">
        <v>1.29</v>
      </c>
      <c r="N48" s="6"/>
      <c r="O48" s="6"/>
      <c r="P48" s="6"/>
      <c r="Q48" s="6"/>
      <c r="R48" s="6"/>
    </row>
    <row r="49" customFormat="false" ht="15.75" hidden="false" customHeight="false" outlineLevel="0" collapsed="false">
      <c r="A49" s="15" t="n">
        <v>10276928</v>
      </c>
      <c r="B49" s="10" t="n">
        <v>9.5</v>
      </c>
      <c r="C49" s="12" t="n">
        <f aca="false">D49+E49</f>
        <v>6.21</v>
      </c>
      <c r="D49" s="12" t="n">
        <v>1.01</v>
      </c>
      <c r="E49" s="12" t="n">
        <v>5.2</v>
      </c>
      <c r="F49" s="12" t="n">
        <v>12.5</v>
      </c>
      <c r="G49" s="12" t="n">
        <v>2</v>
      </c>
      <c r="H49" s="12" t="n">
        <v>2</v>
      </c>
      <c r="I49" s="12" t="n">
        <v>0</v>
      </c>
      <c r="J49" s="12" t="n">
        <v>1</v>
      </c>
      <c r="K49" s="12" t="n">
        <v>0</v>
      </c>
      <c r="L49" s="12" t="n">
        <v>0.14</v>
      </c>
      <c r="M49" s="12" t="n">
        <v>1.07</v>
      </c>
      <c r="N49" s="6"/>
      <c r="O49" s="6"/>
      <c r="P49" s="6"/>
      <c r="Q49" s="6"/>
      <c r="R49" s="6"/>
    </row>
    <row r="50" customFormat="false" ht="15.75" hidden="false" customHeight="false" outlineLevel="0" collapsed="false">
      <c r="A50" s="15" t="n">
        <v>10310700</v>
      </c>
      <c r="B50" s="10" t="n">
        <v>10</v>
      </c>
      <c r="C50" s="12" t="n">
        <f aca="false">D50+E50</f>
        <v>6.33</v>
      </c>
      <c r="D50" s="12" t="n">
        <v>0.96</v>
      </c>
      <c r="E50" s="12" t="n">
        <v>5.37</v>
      </c>
      <c r="F50" s="12" t="n">
        <v>12.5</v>
      </c>
      <c r="G50" s="12" t="n">
        <v>1</v>
      </c>
      <c r="H50" s="12" t="n">
        <v>2</v>
      </c>
      <c r="I50" s="12" t="n">
        <v>0</v>
      </c>
      <c r="J50" s="12" t="n">
        <v>0.4</v>
      </c>
      <c r="K50" s="12" t="n">
        <v>1.5</v>
      </c>
      <c r="L50" s="12" t="n">
        <v>0.14</v>
      </c>
      <c r="M50" s="12" t="n">
        <v>1.29</v>
      </c>
      <c r="N50" s="6"/>
      <c r="O50" s="6"/>
      <c r="P50" s="6"/>
      <c r="Q50" s="6"/>
      <c r="R50" s="6"/>
    </row>
    <row r="51" customFormat="false" ht="15.75" hidden="false" customHeight="false" outlineLevel="0" collapsed="false">
      <c r="A51" s="15" t="n">
        <v>10276960</v>
      </c>
      <c r="B51" s="10" t="n">
        <v>10</v>
      </c>
      <c r="C51" s="12" t="n">
        <f aca="false">D51+E51</f>
        <v>6.5</v>
      </c>
      <c r="D51" s="12" t="n">
        <v>1.86</v>
      </c>
      <c r="E51" s="12" t="n">
        <v>4.64</v>
      </c>
      <c r="F51" s="12" t="n">
        <v>12.5</v>
      </c>
      <c r="G51" s="12" t="n">
        <v>1</v>
      </c>
      <c r="H51" s="12" t="n">
        <v>0</v>
      </c>
      <c r="I51" s="12" t="n">
        <v>2</v>
      </c>
      <c r="J51" s="12" t="n">
        <v>0</v>
      </c>
      <c r="K51" s="12" t="n">
        <v>0</v>
      </c>
      <c r="L51" s="12" t="n">
        <v>0.71</v>
      </c>
      <c r="M51" s="12" t="n">
        <v>2.79</v>
      </c>
      <c r="N51" s="6"/>
      <c r="O51" s="6"/>
      <c r="P51" s="6"/>
      <c r="Q51" s="6"/>
      <c r="R51" s="6"/>
    </row>
    <row r="52" customFormat="false" ht="15.75" hidden="false" customHeight="false" outlineLevel="0" collapsed="false">
      <c r="A52" s="15" t="n">
        <v>9311643</v>
      </c>
      <c r="B52" s="10" t="n">
        <v>10</v>
      </c>
      <c r="C52" s="12" t="n">
        <f aca="false">D52+E52</f>
        <v>6.48</v>
      </c>
      <c r="D52" s="12" t="n">
        <v>0</v>
      </c>
      <c r="E52" s="12" t="n">
        <v>6.48</v>
      </c>
      <c r="F52" s="12" t="n">
        <v>12.5</v>
      </c>
      <c r="G52" s="12" t="n">
        <v>1.33</v>
      </c>
      <c r="H52" s="12" t="n">
        <v>2</v>
      </c>
      <c r="I52" s="12" t="n">
        <v>2</v>
      </c>
      <c r="J52" s="12" t="n">
        <v>1</v>
      </c>
      <c r="K52" s="12" t="n">
        <v>0</v>
      </c>
      <c r="L52" s="12" t="n">
        <v>0.14</v>
      </c>
      <c r="M52" s="12" t="n">
        <v>0</v>
      </c>
      <c r="N52" s="6"/>
      <c r="O52" s="6"/>
      <c r="P52" s="6"/>
      <c r="Q52" s="6"/>
      <c r="R52" s="6"/>
    </row>
    <row r="53" customFormat="false" ht="15.75" hidden="false" customHeight="false" outlineLevel="0" collapsed="false">
      <c r="A53" s="15" t="n">
        <v>10276661</v>
      </c>
      <c r="B53" s="10" t="n">
        <v>10</v>
      </c>
      <c r="C53" s="12" t="n">
        <f aca="false">D53+E53</f>
        <v>6.37</v>
      </c>
      <c r="D53" s="12" t="n">
        <v>1.8</v>
      </c>
      <c r="E53" s="12" t="n">
        <v>4.57</v>
      </c>
      <c r="F53" s="12" t="n">
        <v>12.5</v>
      </c>
      <c r="G53" s="12" t="n">
        <v>1.67</v>
      </c>
      <c r="H53" s="12" t="n">
        <v>0</v>
      </c>
      <c r="I53" s="12" t="n">
        <v>0</v>
      </c>
      <c r="J53" s="12" t="n">
        <v>1</v>
      </c>
      <c r="K53" s="12" t="n">
        <v>0.56</v>
      </c>
      <c r="L53" s="12" t="n">
        <v>0.14</v>
      </c>
      <c r="M53" s="12" t="n">
        <v>3</v>
      </c>
      <c r="N53" s="6"/>
      <c r="O53" s="6"/>
      <c r="P53" s="6"/>
      <c r="Q53" s="6"/>
      <c r="R53" s="6"/>
    </row>
    <row r="54" customFormat="false" ht="15.75" hidden="false" customHeight="false" outlineLevel="0" collapsed="false">
      <c r="A54" s="15" t="n">
        <v>10276995</v>
      </c>
      <c r="B54" s="10" t="n">
        <v>10.5</v>
      </c>
      <c r="C54" s="12" t="n">
        <f aca="false">D54+E54</f>
        <v>6.79</v>
      </c>
      <c r="D54" s="12" t="n">
        <v>0.9</v>
      </c>
      <c r="E54" s="12" t="n">
        <v>5.89</v>
      </c>
      <c r="F54" s="12" t="n">
        <v>12.5</v>
      </c>
      <c r="G54" s="12" t="n">
        <v>2</v>
      </c>
      <c r="H54" s="12" t="n">
        <v>2</v>
      </c>
      <c r="I54" s="12" t="n">
        <v>0</v>
      </c>
      <c r="J54" s="12" t="n">
        <v>1</v>
      </c>
      <c r="K54" s="12" t="n">
        <v>0</v>
      </c>
      <c r="L54" s="12" t="n">
        <v>0.29</v>
      </c>
      <c r="M54" s="12" t="n">
        <v>1.5</v>
      </c>
      <c r="N54" s="6"/>
      <c r="O54" s="6"/>
      <c r="P54" s="6"/>
      <c r="Q54" s="6"/>
      <c r="R54" s="6"/>
    </row>
    <row r="55" customFormat="false" ht="15.75" hidden="false" customHeight="false" outlineLevel="0" collapsed="false">
      <c r="A55" s="15" t="n">
        <v>9274382</v>
      </c>
      <c r="B55" s="10" t="n">
        <v>10.5</v>
      </c>
      <c r="C55" s="12" t="n">
        <f aca="false">D55+E55</f>
        <v>6.6</v>
      </c>
      <c r="D55" s="12" t="n">
        <v>0.9</v>
      </c>
      <c r="E55" s="12" t="n">
        <v>5.7</v>
      </c>
      <c r="F55" s="12" t="n">
        <v>12.5</v>
      </c>
      <c r="G55" s="12" t="n">
        <v>0.67</v>
      </c>
      <c r="H55" s="12" t="n">
        <v>2</v>
      </c>
      <c r="I55" s="12" t="n">
        <v>1</v>
      </c>
      <c r="J55" s="12" t="n">
        <v>1</v>
      </c>
      <c r="K55" s="17"/>
      <c r="L55" s="12" t="n">
        <v>0.43</v>
      </c>
      <c r="M55" s="12" t="n">
        <v>1.5</v>
      </c>
      <c r="N55" s="6"/>
      <c r="O55" s="6"/>
      <c r="P55" s="6"/>
      <c r="Q55" s="6"/>
      <c r="R55" s="6"/>
    </row>
    <row r="56" customFormat="false" ht="15.75" hidden="false" customHeight="false" outlineLevel="0" collapsed="false">
      <c r="A56" s="15" t="n">
        <v>10310676</v>
      </c>
      <c r="B56" s="10" t="n">
        <v>10.5</v>
      </c>
      <c r="C56" s="12" t="n">
        <f aca="false">D56+E56</f>
        <v>6.6</v>
      </c>
      <c r="D56" s="12" t="n">
        <v>0.989999999999999</v>
      </c>
      <c r="E56" s="12" t="n">
        <v>5.61</v>
      </c>
      <c r="F56" s="12" t="n">
        <v>12.5</v>
      </c>
      <c r="G56" s="12" t="n">
        <v>1</v>
      </c>
      <c r="H56" s="12" t="n">
        <v>0.67</v>
      </c>
      <c r="I56" s="12" t="n">
        <v>1</v>
      </c>
      <c r="J56" s="12" t="n">
        <v>1</v>
      </c>
      <c r="K56" s="12" t="n">
        <v>0</v>
      </c>
      <c r="L56" s="12" t="n">
        <v>0.14</v>
      </c>
      <c r="M56" s="12" t="n">
        <v>2.79</v>
      </c>
      <c r="N56" s="6"/>
      <c r="O56" s="6"/>
      <c r="P56" s="6"/>
      <c r="Q56" s="6"/>
      <c r="R56" s="6"/>
    </row>
    <row r="57" customFormat="false" ht="15.75" hidden="false" customHeight="false" outlineLevel="0" collapsed="false">
      <c r="A57" s="15" t="n">
        <v>10276831</v>
      </c>
      <c r="B57" s="10" t="n">
        <v>10.5</v>
      </c>
      <c r="C57" s="12" t="n">
        <f aca="false">D57+E57</f>
        <v>6.59</v>
      </c>
      <c r="D57" s="12" t="n">
        <v>0.99</v>
      </c>
      <c r="E57" s="12" t="n">
        <v>5.6</v>
      </c>
      <c r="F57" s="12" t="n">
        <v>12.5</v>
      </c>
      <c r="G57" s="12" t="n">
        <v>2</v>
      </c>
      <c r="H57" s="12" t="n">
        <v>0</v>
      </c>
      <c r="I57" s="12" t="n">
        <v>0.8</v>
      </c>
      <c r="J57" s="12" t="n">
        <v>1</v>
      </c>
      <c r="K57" s="12" t="n">
        <v>0</v>
      </c>
      <c r="L57" s="12" t="n">
        <v>0</v>
      </c>
      <c r="M57" s="12" t="n">
        <v>2.79</v>
      </c>
      <c r="N57" s="6"/>
      <c r="O57" s="6"/>
      <c r="P57" s="6"/>
      <c r="Q57" s="6"/>
      <c r="R57" s="6"/>
    </row>
    <row r="58" customFormat="false" ht="15.75" hidden="false" customHeight="false" outlineLevel="0" collapsed="false">
      <c r="A58" s="15" t="n">
        <v>9065750</v>
      </c>
      <c r="B58" s="10" t="n">
        <v>11</v>
      </c>
      <c r="C58" s="12" t="n">
        <f aca="false">D58+E58</f>
        <v>7.15</v>
      </c>
      <c r="D58" s="12" t="n">
        <v>0.640000000000001</v>
      </c>
      <c r="E58" s="12" t="n">
        <v>6.51</v>
      </c>
      <c r="F58" s="12" t="n">
        <v>12.5</v>
      </c>
      <c r="G58" s="12" t="n">
        <v>2</v>
      </c>
      <c r="H58" s="12" t="n">
        <v>2</v>
      </c>
      <c r="I58" s="12" t="n">
        <v>0.8</v>
      </c>
      <c r="J58" s="12" t="n">
        <v>1</v>
      </c>
      <c r="K58" s="12" t="n">
        <v>0.56</v>
      </c>
      <c r="L58" s="12" t="n">
        <v>0.14</v>
      </c>
      <c r="M58" s="12" t="n">
        <v>0.64</v>
      </c>
      <c r="N58" s="6"/>
      <c r="O58" s="6"/>
      <c r="P58" s="6"/>
      <c r="Q58" s="6"/>
      <c r="R58" s="6"/>
    </row>
    <row r="59" customFormat="false" ht="15.75" hidden="false" customHeight="false" outlineLevel="0" collapsed="false">
      <c r="A59" s="15" t="n">
        <v>9805320</v>
      </c>
      <c r="B59" s="10" t="n">
        <v>11</v>
      </c>
      <c r="C59" s="12" t="n">
        <f aca="false">D59+E59</f>
        <v>7.05</v>
      </c>
      <c r="D59" s="12" t="n">
        <v>1.05</v>
      </c>
      <c r="E59" s="12" t="n">
        <v>6</v>
      </c>
      <c r="F59" s="12" t="n">
        <v>12.5</v>
      </c>
      <c r="G59" s="12" t="n">
        <v>1.67</v>
      </c>
      <c r="H59" s="12" t="n">
        <v>1.67</v>
      </c>
      <c r="I59" s="12" t="n">
        <v>0</v>
      </c>
      <c r="J59" s="12" t="n">
        <v>1</v>
      </c>
      <c r="K59" s="12" t="n">
        <v>0</v>
      </c>
      <c r="L59" s="12" t="n">
        <v>0.14</v>
      </c>
      <c r="M59" s="12" t="n">
        <v>2.57</v>
      </c>
      <c r="N59" s="6"/>
      <c r="O59" s="6"/>
      <c r="P59" s="6"/>
      <c r="Q59" s="6"/>
      <c r="R59" s="6"/>
    </row>
    <row r="60" customFormat="false" ht="15.75" hidden="false" customHeight="false" outlineLevel="0" collapsed="false">
      <c r="A60" s="15" t="n">
        <v>9285227</v>
      </c>
      <c r="B60" s="10" t="n">
        <v>11</v>
      </c>
      <c r="C60" s="12" t="n">
        <f aca="false">D60+E60</f>
        <v>7.11</v>
      </c>
      <c r="D60" s="12" t="n">
        <v>1.8</v>
      </c>
      <c r="E60" s="12" t="n">
        <v>5.31</v>
      </c>
      <c r="F60" s="12" t="n">
        <v>12.5</v>
      </c>
      <c r="G60" s="12" t="n">
        <v>1</v>
      </c>
      <c r="H60" s="12" t="n">
        <v>0</v>
      </c>
      <c r="I60" s="12" t="n">
        <v>2</v>
      </c>
      <c r="J60" s="12" t="n">
        <v>0.4</v>
      </c>
      <c r="K60" s="12" t="n">
        <v>0.56</v>
      </c>
      <c r="L60" s="12" t="n">
        <v>0.14</v>
      </c>
      <c r="M60" s="12" t="n">
        <v>3</v>
      </c>
      <c r="N60" s="6"/>
      <c r="O60" s="6"/>
      <c r="P60" s="6"/>
      <c r="Q60" s="6"/>
      <c r="R60" s="6"/>
    </row>
    <row r="61" customFormat="false" ht="15.75" hidden="false" customHeight="false" outlineLevel="0" collapsed="false">
      <c r="A61" s="15" t="n">
        <v>10276720</v>
      </c>
      <c r="B61" s="10" t="n">
        <v>11</v>
      </c>
      <c r="C61" s="12" t="n">
        <f aca="false">D61+E61</f>
        <v>6.94</v>
      </c>
      <c r="D61" s="12" t="n">
        <v>1.8</v>
      </c>
      <c r="E61" s="12" t="n">
        <v>5.14</v>
      </c>
      <c r="F61" s="12" t="n">
        <v>12.5</v>
      </c>
      <c r="G61" s="12" t="n">
        <v>1</v>
      </c>
      <c r="H61" s="12" t="n">
        <v>1</v>
      </c>
      <c r="I61" s="12" t="n">
        <v>0.8</v>
      </c>
      <c r="J61" s="12" t="n">
        <v>1</v>
      </c>
      <c r="K61" s="12" t="n">
        <v>0</v>
      </c>
      <c r="L61" s="12" t="n">
        <v>0.14</v>
      </c>
      <c r="M61" s="12" t="n">
        <v>3</v>
      </c>
      <c r="N61" s="6"/>
      <c r="O61" s="6"/>
      <c r="P61" s="6"/>
      <c r="Q61" s="6"/>
      <c r="R61" s="6"/>
    </row>
    <row r="62" customFormat="false" ht="15.75" hidden="false" customHeight="false" outlineLevel="0" collapsed="false">
      <c r="A62" s="15" t="n">
        <v>10276852</v>
      </c>
      <c r="B62" s="10" t="n">
        <v>11</v>
      </c>
      <c r="C62" s="12" t="n">
        <f aca="false">D62+E62</f>
        <v>6.96</v>
      </c>
      <c r="D62" s="12" t="n">
        <v>0.9</v>
      </c>
      <c r="E62" s="12" t="n">
        <v>6.06</v>
      </c>
      <c r="F62" s="12" t="n">
        <v>12.5</v>
      </c>
      <c r="G62" s="12" t="n">
        <v>0.67</v>
      </c>
      <c r="H62" s="12" t="n">
        <v>2</v>
      </c>
      <c r="I62" s="12" t="n">
        <v>0.8</v>
      </c>
      <c r="J62" s="12" t="n">
        <v>1</v>
      </c>
      <c r="K62" s="12" t="n">
        <v>0.56</v>
      </c>
      <c r="L62" s="12" t="n">
        <v>0.43</v>
      </c>
      <c r="M62" s="12" t="n">
        <v>1.5</v>
      </c>
      <c r="N62" s="6"/>
      <c r="O62" s="6"/>
      <c r="P62" s="6"/>
      <c r="Q62" s="6"/>
      <c r="R62" s="6"/>
    </row>
    <row r="63" customFormat="false" ht="15.75" hidden="false" customHeight="false" outlineLevel="0" collapsed="false">
      <c r="A63" s="15" t="n">
        <v>10276981</v>
      </c>
      <c r="B63" s="10" t="n">
        <v>11.5</v>
      </c>
      <c r="C63" s="12" t="n">
        <f aca="false">D63+E63</f>
        <v>7.38</v>
      </c>
      <c r="D63" s="12" t="n">
        <v>1.92</v>
      </c>
      <c r="E63" s="12" t="n">
        <v>5.46</v>
      </c>
      <c r="F63" s="12" t="n">
        <v>12.5</v>
      </c>
      <c r="G63" s="12" t="n">
        <v>0</v>
      </c>
      <c r="H63" s="12" t="n">
        <v>1.67</v>
      </c>
      <c r="I63" s="12" t="n">
        <v>2</v>
      </c>
      <c r="J63" s="12" t="n">
        <v>1</v>
      </c>
      <c r="K63" s="17"/>
      <c r="L63" s="12" t="n">
        <v>0.14</v>
      </c>
      <c r="M63" s="12" t="n">
        <v>2.57</v>
      </c>
      <c r="N63" s="6"/>
      <c r="O63" s="6"/>
      <c r="P63" s="6"/>
      <c r="Q63" s="6"/>
      <c r="R63" s="6"/>
    </row>
    <row r="64" customFormat="false" ht="15.75" hidden="false" customHeight="false" outlineLevel="0" collapsed="false">
      <c r="A64" s="15" t="n">
        <v>10276949</v>
      </c>
      <c r="B64" s="10" t="n">
        <v>12.5</v>
      </c>
      <c r="C64" s="12" t="n">
        <f aca="false">D64+E64</f>
        <v>7.81</v>
      </c>
      <c r="D64" s="12" t="n">
        <v>1.01</v>
      </c>
      <c r="E64" s="12" t="n">
        <v>6.8</v>
      </c>
      <c r="F64" s="12" t="n">
        <v>12.5</v>
      </c>
      <c r="G64" s="12" t="n">
        <v>2</v>
      </c>
      <c r="H64" s="12" t="n">
        <v>2</v>
      </c>
      <c r="I64" s="12" t="n">
        <v>2</v>
      </c>
      <c r="J64" s="12" t="n">
        <v>0.6</v>
      </c>
      <c r="K64" s="12" t="n">
        <v>0</v>
      </c>
      <c r="L64" s="12" t="n">
        <v>0.14</v>
      </c>
      <c r="M64" s="12" t="n">
        <v>1.07</v>
      </c>
      <c r="N64" s="6"/>
      <c r="O64" s="6"/>
      <c r="P64" s="6"/>
      <c r="Q64" s="6"/>
      <c r="R64" s="6"/>
    </row>
    <row r="65" customFormat="false" ht="15.75" hidden="false" customHeight="false" outlineLevel="0" collapsed="false">
      <c r="A65" s="15" t="n">
        <v>698531</v>
      </c>
      <c r="B65" s="10" t="n">
        <v>12.5</v>
      </c>
      <c r="C65" s="12" t="n">
        <f aca="false">D65+E65</f>
        <v>8</v>
      </c>
      <c r="D65" s="12" t="n">
        <v>0</v>
      </c>
      <c r="E65" s="12" t="n">
        <v>8</v>
      </c>
      <c r="F65" s="12" t="n">
        <v>12.5</v>
      </c>
      <c r="G65" s="12" t="n">
        <v>2</v>
      </c>
      <c r="H65" s="12" t="n">
        <v>2</v>
      </c>
      <c r="I65" s="12" t="n">
        <v>2</v>
      </c>
      <c r="J65" s="12" t="n">
        <v>1</v>
      </c>
      <c r="K65" s="17"/>
      <c r="L65" s="12" t="n">
        <v>1</v>
      </c>
      <c r="M65" s="17"/>
      <c r="N65" s="6"/>
      <c r="O65" s="6"/>
      <c r="P65" s="6"/>
      <c r="Q65" s="6"/>
      <c r="R65" s="6"/>
    </row>
    <row r="66" customFormat="false" ht="15.75" hidden="false" customHeight="false" outlineLevel="0" collapsed="false">
      <c r="A66" s="15" t="n">
        <v>10276911</v>
      </c>
      <c r="B66" s="10" t="n">
        <v>13.5</v>
      </c>
      <c r="C66" s="12" t="n">
        <f aca="false">D66+E66</f>
        <v>8.49</v>
      </c>
      <c r="D66" s="12" t="n">
        <v>1.86</v>
      </c>
      <c r="E66" s="12" t="n">
        <v>6.63</v>
      </c>
      <c r="F66" s="12" t="n">
        <v>12.5</v>
      </c>
      <c r="G66" s="12" t="n">
        <v>2</v>
      </c>
      <c r="H66" s="12" t="n">
        <v>2</v>
      </c>
      <c r="I66" s="12" t="n">
        <v>0</v>
      </c>
      <c r="J66" s="12" t="n">
        <v>1</v>
      </c>
      <c r="K66" s="12" t="n">
        <v>0.56</v>
      </c>
      <c r="L66" s="12" t="n">
        <v>0.14</v>
      </c>
      <c r="M66" s="12" t="n">
        <v>2.79</v>
      </c>
      <c r="N66" s="6"/>
      <c r="O66" s="6"/>
      <c r="P66" s="6"/>
      <c r="Q66" s="6"/>
      <c r="R66" s="6"/>
    </row>
    <row r="67" customFormat="false" ht="15.75" hidden="false" customHeight="false" outlineLevel="0" collapsed="false">
      <c r="A67" s="15" t="n">
        <v>10310655</v>
      </c>
      <c r="B67" s="10" t="n">
        <v>13.5</v>
      </c>
      <c r="C67" s="12" t="n">
        <f aca="false">D67+E67</f>
        <v>8.59</v>
      </c>
      <c r="D67" s="12" t="n">
        <v>1.86</v>
      </c>
      <c r="E67" s="12" t="n">
        <v>6.73</v>
      </c>
      <c r="F67" s="12" t="n">
        <v>12.5</v>
      </c>
      <c r="G67" s="12" t="n">
        <v>2</v>
      </c>
      <c r="H67" s="12" t="n">
        <v>2</v>
      </c>
      <c r="I67" s="12" t="n">
        <v>0.8</v>
      </c>
      <c r="J67" s="12" t="n">
        <v>1</v>
      </c>
      <c r="K67" s="12" t="n">
        <v>0</v>
      </c>
      <c r="L67" s="12" t="n">
        <v>0</v>
      </c>
      <c r="M67" s="12" t="n">
        <v>2.79</v>
      </c>
      <c r="N67" s="6"/>
      <c r="O67" s="6"/>
      <c r="P67" s="6"/>
      <c r="Q67" s="6"/>
      <c r="R67" s="6"/>
    </row>
    <row r="68" customFormat="false" ht="15.75" hidden="false" customHeight="false" outlineLevel="0" collapsed="false">
      <c r="A68" s="15" t="n">
        <v>10310759</v>
      </c>
      <c r="B68" s="10" t="n">
        <v>13.5</v>
      </c>
      <c r="C68" s="12" t="n">
        <f aca="false">D68+E68</f>
        <v>8.54</v>
      </c>
      <c r="D68" s="12" t="n">
        <v>1.86</v>
      </c>
      <c r="E68" s="12" t="n">
        <v>6.68</v>
      </c>
      <c r="F68" s="12" t="n">
        <v>12.5</v>
      </c>
      <c r="G68" s="12" t="n">
        <v>0.67</v>
      </c>
      <c r="H68" s="12" t="n">
        <v>0.67</v>
      </c>
      <c r="I68" s="12" t="n">
        <v>2</v>
      </c>
      <c r="J68" s="12" t="n">
        <v>1</v>
      </c>
      <c r="K68" s="12" t="n">
        <v>0.56</v>
      </c>
      <c r="L68" s="12" t="n">
        <v>0.86</v>
      </c>
      <c r="M68" s="12" t="n">
        <v>2.79</v>
      </c>
      <c r="N68" s="6"/>
      <c r="O68" s="6"/>
      <c r="P68" s="6"/>
      <c r="Q68" s="6"/>
      <c r="R68" s="6"/>
    </row>
    <row r="69" customFormat="false" ht="15.75" hidden="false" customHeight="false" outlineLevel="0" collapsed="false">
      <c r="A69" s="15" t="n">
        <v>10276932</v>
      </c>
      <c r="B69" s="10" t="n">
        <v>15</v>
      </c>
      <c r="C69" s="12" t="n">
        <f aca="false">D69+E69</f>
        <v>9.43</v>
      </c>
      <c r="D69" s="12" t="n">
        <v>1.85</v>
      </c>
      <c r="E69" s="12" t="n">
        <v>7.58</v>
      </c>
      <c r="F69" s="12" t="n">
        <v>12.5</v>
      </c>
      <c r="G69" s="12" t="n">
        <v>2</v>
      </c>
      <c r="H69" s="12" t="n">
        <v>2</v>
      </c>
      <c r="I69" s="12" t="n">
        <v>0.8</v>
      </c>
      <c r="J69" s="12" t="n">
        <v>1</v>
      </c>
      <c r="K69" s="12" t="n">
        <v>0.56</v>
      </c>
      <c r="L69" s="12" t="n">
        <v>0.29</v>
      </c>
      <c r="M69" s="12" t="n">
        <v>2.79</v>
      </c>
      <c r="N69" s="6"/>
      <c r="O69" s="6"/>
      <c r="P69" s="6"/>
      <c r="Q69" s="6"/>
      <c r="R69" s="6"/>
    </row>
    <row r="70" customFormat="false" ht="15.75" hidden="false" customHeight="false" outlineLevel="0" collapsed="false">
      <c r="N70" s="6"/>
      <c r="O70" s="6"/>
      <c r="P70" s="6"/>
      <c r="Q70" s="6"/>
      <c r="R70" s="6"/>
    </row>
    <row r="71" customFormat="false" ht="15.75" hidden="false" customHeight="false" outlineLevel="0" collapsed="false">
      <c r="N71" s="6"/>
      <c r="O71" s="6"/>
      <c r="P71" s="6"/>
      <c r="Q71" s="6"/>
      <c r="R71" s="6"/>
    </row>
  </sheetData>
  <mergeCells count="2">
    <mergeCell ref="C2:F2"/>
    <mergeCell ref="C3:F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ColWidth="14.48046875" defaultRowHeight="15.75" zeroHeight="false" outlineLevelRow="0" outlineLevelCol="0"/>
  <cols>
    <col collapsed="false" customWidth="true" hidden="false" outlineLevel="0" max="6" min="5" style="0" width="18.29"/>
    <col collapsed="false" customWidth="true" hidden="false" outlineLevel="0" max="8" min="7" style="0" width="21.14"/>
    <col collapsed="false" customWidth="true" hidden="false" outlineLevel="0" max="10" min="9" style="0" width="22.01"/>
    <col collapsed="false" customWidth="true" hidden="false" outlineLevel="0" max="11" min="11" style="0" width="19.99"/>
  </cols>
  <sheetData>
    <row r="1" customFormat="false" ht="15.7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26</v>
      </c>
      <c r="H1" s="8" t="s">
        <v>27</v>
      </c>
      <c r="I1" s="8" t="s">
        <v>19</v>
      </c>
      <c r="J1" s="8" t="s">
        <v>28</v>
      </c>
      <c r="K1" s="8" t="s">
        <v>29</v>
      </c>
    </row>
    <row r="2" customFormat="false" ht="15.75" hidden="false" customHeight="false" outlineLevel="0" collapsed="false">
      <c r="A2" s="9"/>
      <c r="B2" s="10" t="n">
        <v>20</v>
      </c>
      <c r="C2" s="11" t="s">
        <v>14</v>
      </c>
      <c r="D2" s="11"/>
      <c r="E2" s="12" t="n">
        <v>1.5</v>
      </c>
      <c r="F2" s="12" t="n">
        <v>2</v>
      </c>
      <c r="G2" s="12" t="n">
        <v>1</v>
      </c>
      <c r="H2" s="12" t="n">
        <v>1.5</v>
      </c>
      <c r="I2" s="12" t="n">
        <v>1.5</v>
      </c>
      <c r="J2" s="12" t="n">
        <v>0.5</v>
      </c>
      <c r="K2" s="12" t="n">
        <v>2</v>
      </c>
    </row>
    <row r="3" customFormat="false" ht="15.75" hidden="false" customHeight="false" outlineLevel="0" collapsed="false">
      <c r="A3" s="9"/>
      <c r="B3" s="10" t="n">
        <v>13.9</v>
      </c>
      <c r="C3" s="11" t="s">
        <v>22</v>
      </c>
      <c r="D3" s="11"/>
      <c r="E3" s="13" t="n">
        <v>0.64</v>
      </c>
      <c r="F3" s="13" t="n">
        <v>0.52</v>
      </c>
      <c r="G3" s="13" t="n">
        <v>0.9</v>
      </c>
      <c r="H3" s="13" t="n">
        <v>0.63</v>
      </c>
      <c r="I3" s="13" t="n">
        <v>0.75</v>
      </c>
      <c r="J3" s="13" t="n">
        <v>0.82</v>
      </c>
      <c r="K3" s="13" t="n">
        <v>0.84</v>
      </c>
    </row>
    <row r="4" customFormat="false" ht="15.75" hidden="false" customHeight="false" outlineLevel="0" collapsed="false">
      <c r="A4" s="15" t="n">
        <v>698531</v>
      </c>
      <c r="B4" s="11" t="s">
        <v>23</v>
      </c>
      <c r="C4" s="16"/>
      <c r="D4" s="16"/>
      <c r="E4" s="16"/>
      <c r="F4" s="16"/>
      <c r="G4" s="16"/>
      <c r="H4" s="16"/>
      <c r="I4" s="16"/>
      <c r="J4" s="16"/>
      <c r="K4" s="16"/>
    </row>
    <row r="5" customFormat="false" ht="15.75" hidden="false" customHeight="false" outlineLevel="0" collapsed="false">
      <c r="A5" s="15" t="n">
        <v>9805320</v>
      </c>
      <c r="B5" s="11" t="s">
        <v>23</v>
      </c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.75" hidden="false" customHeight="false" outlineLevel="0" collapsed="false">
      <c r="A6" s="15" t="n">
        <v>10276762</v>
      </c>
      <c r="B6" s="11" t="s">
        <v>23</v>
      </c>
      <c r="C6" s="16"/>
      <c r="D6" s="16"/>
      <c r="E6" s="16"/>
      <c r="F6" s="16"/>
      <c r="G6" s="16"/>
      <c r="H6" s="16"/>
      <c r="I6" s="16"/>
      <c r="J6" s="16"/>
      <c r="K6" s="16"/>
    </row>
    <row r="7" customFormat="false" ht="15.75" hidden="false" customHeight="false" outlineLevel="0" collapsed="false">
      <c r="A7" s="15" t="n">
        <v>10310676</v>
      </c>
      <c r="B7" s="11" t="s">
        <v>23</v>
      </c>
      <c r="C7" s="16"/>
      <c r="D7" s="16"/>
      <c r="E7" s="16"/>
      <c r="F7" s="16"/>
      <c r="G7" s="16"/>
      <c r="H7" s="16"/>
      <c r="I7" s="16"/>
      <c r="J7" s="16"/>
      <c r="K7" s="16"/>
    </row>
    <row r="8" customFormat="false" ht="15.75" hidden="false" customHeight="false" outlineLevel="0" collapsed="false">
      <c r="A8" s="15" t="n">
        <v>10262669</v>
      </c>
      <c r="B8" s="11" t="s">
        <v>23</v>
      </c>
      <c r="C8" s="16"/>
      <c r="D8" s="16"/>
      <c r="E8" s="16"/>
      <c r="F8" s="16"/>
      <c r="G8" s="16"/>
      <c r="H8" s="16"/>
      <c r="I8" s="16"/>
      <c r="J8" s="16"/>
      <c r="K8" s="16"/>
    </row>
    <row r="9" customFormat="false" ht="15.75" hidden="false" customHeight="false" outlineLevel="0" collapsed="false">
      <c r="A9" s="15" t="n">
        <v>10310662</v>
      </c>
      <c r="B9" s="11" t="s">
        <v>23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5.75" hidden="false" customHeight="false" outlineLevel="0" collapsed="false">
      <c r="A10" s="15" t="n">
        <v>9795185</v>
      </c>
      <c r="B10" s="11" t="s">
        <v>23</v>
      </c>
      <c r="C10" s="16"/>
      <c r="D10" s="16"/>
      <c r="E10" s="16"/>
      <c r="F10" s="16"/>
      <c r="G10" s="16"/>
      <c r="H10" s="16"/>
      <c r="I10" s="16"/>
      <c r="J10" s="16"/>
      <c r="K10" s="16"/>
    </row>
    <row r="11" customFormat="false" ht="15.75" hidden="false" customHeight="false" outlineLevel="0" collapsed="false">
      <c r="A11" s="15" t="n">
        <v>9311643</v>
      </c>
      <c r="B11" s="11" t="s">
        <v>23</v>
      </c>
      <c r="C11" s="16"/>
      <c r="D11" s="16"/>
      <c r="E11" s="16"/>
      <c r="F11" s="16"/>
      <c r="G11" s="16"/>
      <c r="H11" s="16"/>
      <c r="I11" s="16"/>
      <c r="J11" s="16"/>
      <c r="K11" s="16"/>
    </row>
    <row r="12" customFormat="false" ht="15.75" hidden="false" customHeight="false" outlineLevel="0" collapsed="false">
      <c r="A12" s="15" t="n">
        <v>10277001</v>
      </c>
      <c r="B12" s="11" t="s">
        <v>23</v>
      </c>
      <c r="C12" s="16"/>
      <c r="D12" s="16"/>
      <c r="E12" s="16"/>
      <c r="F12" s="16"/>
      <c r="G12" s="16"/>
      <c r="H12" s="16"/>
      <c r="I12" s="16"/>
      <c r="J12" s="16"/>
      <c r="K12" s="16"/>
    </row>
    <row r="13" customFormat="false" ht="15.75" hidden="false" customHeight="false" outlineLevel="0" collapsed="false">
      <c r="A13" s="15" t="n">
        <v>10351971</v>
      </c>
      <c r="B13" s="11" t="s">
        <v>23</v>
      </c>
      <c r="C13" s="16"/>
      <c r="D13" s="16"/>
      <c r="E13" s="16"/>
      <c r="F13" s="16"/>
      <c r="G13" s="16"/>
      <c r="H13" s="16"/>
      <c r="I13" s="16"/>
      <c r="J13" s="16"/>
      <c r="K13" s="16"/>
    </row>
    <row r="14" customFormat="false" ht="15.75" hidden="false" customHeight="false" outlineLevel="0" collapsed="false">
      <c r="A14" s="15" t="n">
        <v>10276720</v>
      </c>
      <c r="B14" s="11" t="s">
        <v>23</v>
      </c>
      <c r="C14" s="16"/>
      <c r="D14" s="16"/>
      <c r="E14" s="16"/>
      <c r="F14" s="16"/>
      <c r="G14" s="16"/>
      <c r="H14" s="16"/>
      <c r="I14" s="16"/>
      <c r="J14" s="16"/>
      <c r="K14" s="16"/>
    </row>
    <row r="15" customFormat="false" ht="15.75" hidden="false" customHeight="false" outlineLevel="0" collapsed="false">
      <c r="A15" s="15" t="n">
        <v>9424506</v>
      </c>
      <c r="B15" s="11" t="s">
        <v>23</v>
      </c>
      <c r="C15" s="16"/>
      <c r="D15" s="16"/>
      <c r="E15" s="16"/>
      <c r="F15" s="16"/>
      <c r="G15" s="16"/>
      <c r="H15" s="16"/>
      <c r="I15" s="16"/>
      <c r="J15" s="16"/>
      <c r="K15" s="16"/>
    </row>
    <row r="16" customFormat="false" ht="15.75" hidden="false" customHeight="false" outlineLevel="0" collapsed="false">
      <c r="A16" s="15" t="n">
        <v>9292462</v>
      </c>
      <c r="B16" s="11" t="s">
        <v>23</v>
      </c>
      <c r="C16" s="16"/>
      <c r="D16" s="16"/>
      <c r="E16" s="16"/>
      <c r="F16" s="16"/>
      <c r="G16" s="16"/>
      <c r="H16" s="16"/>
      <c r="I16" s="16"/>
      <c r="J16" s="16"/>
      <c r="K16" s="16"/>
    </row>
    <row r="17" customFormat="false" ht="15.75" hidden="false" customHeight="false" outlineLevel="0" collapsed="false">
      <c r="A17" s="15" t="n">
        <v>9846222</v>
      </c>
      <c r="B17" s="11" t="s">
        <v>23</v>
      </c>
      <c r="C17" s="16"/>
      <c r="D17" s="16"/>
      <c r="E17" s="16"/>
      <c r="F17" s="16"/>
      <c r="G17" s="16"/>
      <c r="H17" s="16"/>
      <c r="I17" s="16"/>
      <c r="J17" s="16"/>
      <c r="K17" s="16"/>
    </row>
    <row r="18" customFormat="false" ht="15.75" hidden="false" customHeight="false" outlineLevel="0" collapsed="false">
      <c r="A18" s="15" t="n">
        <v>9921470</v>
      </c>
      <c r="B18" s="10" t="n">
        <v>1</v>
      </c>
      <c r="C18" s="12" t="n">
        <v>0.75</v>
      </c>
      <c r="D18" s="12" t="n">
        <v>10</v>
      </c>
      <c r="E18" s="17"/>
      <c r="F18" s="12" t="n">
        <v>0</v>
      </c>
      <c r="G18" s="12" t="n">
        <v>0</v>
      </c>
      <c r="H18" s="12" t="n">
        <v>0</v>
      </c>
      <c r="I18" s="12" t="n">
        <v>0.38</v>
      </c>
      <c r="J18" s="12" t="n">
        <v>0.37</v>
      </c>
      <c r="K18" s="12" t="n">
        <v>0</v>
      </c>
    </row>
    <row r="19" customFormat="false" ht="15.75" hidden="false" customHeight="false" outlineLevel="0" collapsed="false">
      <c r="A19" s="15" t="n">
        <v>9795272</v>
      </c>
      <c r="B19" s="10" t="n">
        <v>5</v>
      </c>
      <c r="C19" s="12" t="n">
        <v>2.72</v>
      </c>
      <c r="D19" s="12" t="n">
        <v>10</v>
      </c>
      <c r="E19" s="12" t="n">
        <v>0.2</v>
      </c>
      <c r="F19" s="12" t="n">
        <v>0</v>
      </c>
      <c r="G19" s="12" t="n">
        <v>0</v>
      </c>
      <c r="H19" s="12" t="n">
        <v>0.5</v>
      </c>
      <c r="I19" s="12" t="n">
        <v>0.94</v>
      </c>
      <c r="J19" s="12" t="n">
        <v>0.42</v>
      </c>
      <c r="K19" s="12" t="n">
        <v>0.67</v>
      </c>
    </row>
    <row r="20" customFormat="false" ht="15.75" hidden="false" customHeight="false" outlineLevel="0" collapsed="false">
      <c r="A20" s="15" t="n">
        <v>10276852</v>
      </c>
      <c r="B20" s="10" t="n">
        <v>5</v>
      </c>
      <c r="C20" s="12" t="n">
        <v>2.68</v>
      </c>
      <c r="D20" s="12" t="n">
        <v>10</v>
      </c>
      <c r="E20" s="12" t="n">
        <v>1</v>
      </c>
      <c r="F20" s="12" t="n">
        <v>0.27</v>
      </c>
      <c r="G20" s="12" t="n">
        <v>1</v>
      </c>
      <c r="H20" s="12" t="n">
        <v>0</v>
      </c>
      <c r="I20" s="12" t="n">
        <v>0</v>
      </c>
      <c r="J20" s="12" t="n">
        <v>0.42</v>
      </c>
      <c r="K20" s="12" t="n">
        <v>0</v>
      </c>
    </row>
    <row r="21" customFormat="false" ht="15.75" hidden="false" customHeight="false" outlineLevel="0" collapsed="false">
      <c r="A21" s="15" t="n">
        <v>9082496</v>
      </c>
      <c r="B21" s="10" t="n">
        <v>5.5</v>
      </c>
      <c r="C21" s="12" t="n">
        <v>2.85</v>
      </c>
      <c r="D21" s="12" t="n">
        <v>10</v>
      </c>
      <c r="E21" s="12" t="n">
        <v>0.5</v>
      </c>
      <c r="F21" s="12" t="n">
        <v>0.67</v>
      </c>
      <c r="G21" s="12" t="n">
        <v>0</v>
      </c>
      <c r="H21" s="12" t="n">
        <v>0</v>
      </c>
      <c r="I21" s="12" t="n">
        <v>0.94</v>
      </c>
      <c r="J21" s="12" t="n">
        <v>0.41</v>
      </c>
      <c r="K21" s="12" t="n">
        <v>0.33</v>
      </c>
    </row>
    <row r="22" customFormat="false" ht="15.75" hidden="false" customHeight="false" outlineLevel="0" collapsed="false">
      <c r="A22" s="15" t="n">
        <v>9436110</v>
      </c>
      <c r="B22" s="10" t="n">
        <v>6.5</v>
      </c>
      <c r="C22" s="12" t="n">
        <v>3.46</v>
      </c>
      <c r="D22" s="12" t="n">
        <v>10</v>
      </c>
      <c r="E22" s="12" t="n">
        <v>1</v>
      </c>
      <c r="F22" s="12" t="n">
        <v>0.67</v>
      </c>
      <c r="G22" s="12" t="n">
        <v>1</v>
      </c>
      <c r="H22" s="12" t="n">
        <v>0</v>
      </c>
      <c r="I22" s="12" t="n">
        <v>0.38</v>
      </c>
      <c r="J22" s="12" t="n">
        <v>0.42</v>
      </c>
      <c r="K22" s="12" t="n">
        <v>0</v>
      </c>
    </row>
    <row r="23" customFormat="false" ht="15.75" hidden="false" customHeight="false" outlineLevel="0" collapsed="false">
      <c r="A23" s="15" t="n">
        <v>10377538</v>
      </c>
      <c r="B23" s="10" t="n">
        <v>8.5</v>
      </c>
      <c r="C23" s="12" t="n">
        <v>4.33</v>
      </c>
      <c r="D23" s="12" t="n">
        <v>10</v>
      </c>
      <c r="E23" s="17"/>
      <c r="F23" s="12" t="n">
        <v>0.67</v>
      </c>
      <c r="G23" s="12" t="n">
        <v>0</v>
      </c>
      <c r="H23" s="12" t="n">
        <v>0.75</v>
      </c>
      <c r="I23" s="12" t="n">
        <v>1.5</v>
      </c>
      <c r="J23" s="12" t="n">
        <v>0.42</v>
      </c>
      <c r="K23" s="12" t="n">
        <v>1</v>
      </c>
    </row>
    <row r="24" customFormat="false" ht="15.75" hidden="false" customHeight="false" outlineLevel="0" collapsed="false">
      <c r="A24" s="15" t="n">
        <v>9755822</v>
      </c>
      <c r="B24" s="10" t="n">
        <v>8.5</v>
      </c>
      <c r="C24" s="12" t="n">
        <v>4.49</v>
      </c>
      <c r="D24" s="12" t="n">
        <v>10</v>
      </c>
      <c r="E24" s="12" t="n">
        <v>0</v>
      </c>
      <c r="F24" s="12" t="n">
        <v>1.33</v>
      </c>
      <c r="G24" s="12" t="n">
        <v>1</v>
      </c>
      <c r="H24" s="12" t="n">
        <v>0</v>
      </c>
      <c r="I24" s="17"/>
      <c r="J24" s="12" t="n">
        <v>0.16</v>
      </c>
      <c r="K24" s="12" t="n">
        <v>2</v>
      </c>
    </row>
    <row r="25" customFormat="false" ht="15.75" hidden="false" customHeight="false" outlineLevel="0" collapsed="false">
      <c r="A25" s="15" t="n">
        <v>10352030</v>
      </c>
      <c r="B25" s="10" t="n">
        <v>9</v>
      </c>
      <c r="C25" s="12" t="n">
        <v>4.62</v>
      </c>
      <c r="D25" s="12" t="n">
        <v>10</v>
      </c>
      <c r="E25" s="12" t="n">
        <v>0.7</v>
      </c>
      <c r="F25" s="12" t="n">
        <v>0</v>
      </c>
      <c r="G25" s="12" t="n">
        <v>1</v>
      </c>
      <c r="H25" s="12" t="n">
        <v>0.5</v>
      </c>
      <c r="I25" s="12" t="n">
        <v>0</v>
      </c>
      <c r="J25" s="12" t="n">
        <v>0.42</v>
      </c>
      <c r="K25" s="12" t="n">
        <v>2</v>
      </c>
    </row>
    <row r="26" customFormat="false" ht="15.75" hidden="false" customHeight="false" outlineLevel="0" collapsed="false">
      <c r="A26" s="15" t="n">
        <v>10277036</v>
      </c>
      <c r="B26" s="10" t="n">
        <v>9</v>
      </c>
      <c r="C26" s="12" t="n">
        <v>4.53</v>
      </c>
      <c r="D26" s="12" t="n">
        <v>10</v>
      </c>
      <c r="E26" s="12" t="n">
        <v>1.2</v>
      </c>
      <c r="F26" s="12" t="n">
        <v>0.67</v>
      </c>
      <c r="G26" s="12" t="n">
        <v>1</v>
      </c>
      <c r="H26" s="12" t="n">
        <v>0.5</v>
      </c>
      <c r="I26" s="12" t="n">
        <v>0</v>
      </c>
      <c r="J26" s="12" t="n">
        <v>0.5</v>
      </c>
      <c r="K26" s="12" t="n">
        <v>0.67</v>
      </c>
    </row>
    <row r="27" customFormat="false" ht="15.75" hidden="false" customHeight="false" outlineLevel="0" collapsed="false">
      <c r="A27" s="15" t="n">
        <v>9842913</v>
      </c>
      <c r="B27" s="10" t="n">
        <v>10</v>
      </c>
      <c r="C27" s="12" t="n">
        <v>5.21</v>
      </c>
      <c r="D27" s="12" t="n">
        <v>10</v>
      </c>
      <c r="E27" s="12" t="n">
        <v>0</v>
      </c>
      <c r="F27" s="12" t="n">
        <v>1.33</v>
      </c>
      <c r="G27" s="12" t="n">
        <v>1</v>
      </c>
      <c r="H27" s="12" t="n">
        <v>0</v>
      </c>
      <c r="I27" s="12" t="n">
        <v>0.38</v>
      </c>
      <c r="J27" s="12" t="n">
        <v>0.5</v>
      </c>
      <c r="K27" s="12" t="n">
        <v>2</v>
      </c>
    </row>
    <row r="28" customFormat="false" ht="15.75" hidden="false" customHeight="false" outlineLevel="0" collapsed="false">
      <c r="A28" s="15" t="n">
        <v>10260351</v>
      </c>
      <c r="B28" s="10" t="n">
        <v>11</v>
      </c>
      <c r="C28" s="12" t="n">
        <v>5.53</v>
      </c>
      <c r="D28" s="12" t="n">
        <v>10</v>
      </c>
      <c r="E28" s="12" t="n">
        <v>0.2</v>
      </c>
      <c r="F28" s="12" t="n">
        <v>1.33</v>
      </c>
      <c r="G28" s="12" t="n">
        <v>0</v>
      </c>
      <c r="H28" s="12" t="n">
        <v>0</v>
      </c>
      <c r="I28" s="12" t="n">
        <v>1.5</v>
      </c>
      <c r="J28" s="12" t="n">
        <v>0.5</v>
      </c>
      <c r="K28" s="12" t="n">
        <v>2</v>
      </c>
    </row>
    <row r="29" customFormat="false" ht="15.75" hidden="false" customHeight="false" outlineLevel="0" collapsed="false">
      <c r="A29" s="15" t="n">
        <v>8656201</v>
      </c>
      <c r="B29" s="10" t="n">
        <v>11.5</v>
      </c>
      <c r="C29" s="12" t="n">
        <v>5.81</v>
      </c>
      <c r="D29" s="12" t="n">
        <v>10</v>
      </c>
      <c r="E29" s="12" t="n">
        <v>1</v>
      </c>
      <c r="F29" s="12" t="n">
        <v>0.93</v>
      </c>
      <c r="G29" s="12" t="n">
        <v>1</v>
      </c>
      <c r="H29" s="12" t="n">
        <v>0</v>
      </c>
      <c r="I29" s="12" t="n">
        <v>0.38</v>
      </c>
      <c r="J29" s="12" t="n">
        <v>0.5</v>
      </c>
      <c r="K29" s="12" t="n">
        <v>2</v>
      </c>
    </row>
    <row r="30" customFormat="false" ht="15.75" hidden="false" customHeight="false" outlineLevel="0" collapsed="false">
      <c r="A30" s="15" t="n">
        <v>9790781</v>
      </c>
      <c r="B30" s="10" t="n">
        <v>11.5</v>
      </c>
      <c r="C30" s="12" t="n">
        <v>5.77</v>
      </c>
      <c r="D30" s="12" t="n">
        <v>10</v>
      </c>
      <c r="E30" s="12" t="n">
        <v>1</v>
      </c>
      <c r="F30" s="12" t="n">
        <v>0.93</v>
      </c>
      <c r="G30" s="12" t="n">
        <v>1</v>
      </c>
      <c r="H30" s="12" t="n">
        <v>0.5</v>
      </c>
      <c r="I30" s="12" t="n">
        <v>0</v>
      </c>
      <c r="J30" s="12" t="n">
        <v>0.33</v>
      </c>
      <c r="K30" s="12" t="n">
        <v>2</v>
      </c>
    </row>
    <row r="31" customFormat="false" ht="15.75" hidden="false" customHeight="false" outlineLevel="0" collapsed="false">
      <c r="A31" s="15" t="n">
        <v>9363926</v>
      </c>
      <c r="B31" s="10" t="n">
        <v>11.5</v>
      </c>
      <c r="C31" s="12" t="n">
        <v>5.93</v>
      </c>
      <c r="D31" s="12" t="n">
        <v>10</v>
      </c>
      <c r="E31" s="12" t="n">
        <v>0.5</v>
      </c>
      <c r="F31" s="12" t="n">
        <v>0.67</v>
      </c>
      <c r="G31" s="12" t="n">
        <v>1</v>
      </c>
      <c r="H31" s="12" t="n">
        <v>0.5</v>
      </c>
      <c r="I31" s="12" t="n">
        <v>0.94</v>
      </c>
      <c r="J31" s="12" t="n">
        <v>0.33</v>
      </c>
      <c r="K31" s="12" t="n">
        <v>2</v>
      </c>
    </row>
    <row r="32" customFormat="false" ht="15.75" hidden="false" customHeight="false" outlineLevel="0" collapsed="false">
      <c r="A32" s="15" t="n">
        <v>10310551</v>
      </c>
      <c r="B32" s="10" t="n">
        <v>12</v>
      </c>
      <c r="C32" s="12" t="n">
        <v>6.18</v>
      </c>
      <c r="D32" s="12" t="n">
        <v>10</v>
      </c>
      <c r="E32" s="12" t="n">
        <v>1</v>
      </c>
      <c r="F32" s="12" t="n">
        <v>0.27</v>
      </c>
      <c r="G32" s="12" t="n">
        <v>1</v>
      </c>
      <c r="H32" s="12" t="n">
        <v>0</v>
      </c>
      <c r="I32" s="12" t="n">
        <v>1.5</v>
      </c>
      <c r="J32" s="12" t="n">
        <v>0.42</v>
      </c>
      <c r="K32" s="12" t="n">
        <v>2</v>
      </c>
    </row>
    <row r="33" customFormat="false" ht="15.75" hidden="false" customHeight="false" outlineLevel="0" collapsed="false">
      <c r="A33" s="15" t="n">
        <v>10310492</v>
      </c>
      <c r="B33" s="10" t="n">
        <v>12.5</v>
      </c>
      <c r="C33" s="12" t="n">
        <v>6.35</v>
      </c>
      <c r="D33" s="12" t="n">
        <v>10</v>
      </c>
      <c r="E33" s="12" t="n">
        <v>0.5</v>
      </c>
      <c r="F33" s="12" t="n">
        <v>0</v>
      </c>
      <c r="G33" s="12" t="n">
        <v>1</v>
      </c>
      <c r="H33" s="12" t="n">
        <v>1.5</v>
      </c>
      <c r="I33" s="12" t="n">
        <v>0.94</v>
      </c>
      <c r="J33" s="12" t="n">
        <v>0.41</v>
      </c>
      <c r="K33" s="12" t="n">
        <v>2</v>
      </c>
    </row>
    <row r="34" customFormat="false" ht="15.75" hidden="false" customHeight="false" outlineLevel="0" collapsed="false">
      <c r="A34" s="15" t="n">
        <v>10276974</v>
      </c>
      <c r="B34" s="10" t="n">
        <v>13</v>
      </c>
      <c r="C34" s="12" t="n">
        <v>6.52</v>
      </c>
      <c r="D34" s="12" t="n">
        <v>10</v>
      </c>
      <c r="E34" s="12" t="n">
        <v>1.5</v>
      </c>
      <c r="F34" s="12" t="n">
        <v>0.27</v>
      </c>
      <c r="G34" s="12" t="n">
        <v>1</v>
      </c>
      <c r="H34" s="12" t="n">
        <v>0.5</v>
      </c>
      <c r="I34" s="12" t="n">
        <v>0.75</v>
      </c>
      <c r="J34" s="12" t="n">
        <v>0.5</v>
      </c>
      <c r="K34" s="12" t="n">
        <v>2</v>
      </c>
    </row>
    <row r="35" customFormat="false" ht="15.75" hidden="false" customHeight="false" outlineLevel="0" collapsed="false">
      <c r="A35" s="15" t="n">
        <v>10310721</v>
      </c>
      <c r="B35" s="10" t="n">
        <v>13.5</v>
      </c>
      <c r="C35" s="12" t="n">
        <v>6.87</v>
      </c>
      <c r="D35" s="12" t="n">
        <v>10</v>
      </c>
      <c r="E35" s="12" t="n">
        <v>1.5</v>
      </c>
      <c r="F35" s="12" t="n">
        <v>0</v>
      </c>
      <c r="G35" s="12" t="n">
        <v>1</v>
      </c>
      <c r="H35" s="12" t="n">
        <v>0.5</v>
      </c>
      <c r="I35" s="12" t="n">
        <v>1.5</v>
      </c>
      <c r="J35" s="12" t="n">
        <v>0.37</v>
      </c>
      <c r="K35" s="12" t="n">
        <v>2</v>
      </c>
    </row>
    <row r="36" customFormat="false" ht="15.75" hidden="false" customHeight="false" outlineLevel="0" collapsed="false">
      <c r="A36" s="15" t="n">
        <v>10276682</v>
      </c>
      <c r="B36" s="10" t="n">
        <v>13.5</v>
      </c>
      <c r="C36" s="12" t="n">
        <v>6.85</v>
      </c>
      <c r="D36" s="12" t="n">
        <v>10</v>
      </c>
      <c r="E36" s="12" t="n">
        <v>1</v>
      </c>
      <c r="F36" s="12" t="n">
        <v>0.93</v>
      </c>
      <c r="G36" s="12" t="n">
        <v>1</v>
      </c>
      <c r="H36" s="12" t="n">
        <v>0</v>
      </c>
      <c r="I36" s="12" t="n">
        <v>1.5</v>
      </c>
      <c r="J36" s="12" t="n">
        <v>0.42</v>
      </c>
      <c r="K36" s="12" t="n">
        <v>2</v>
      </c>
    </row>
    <row r="37" customFormat="false" ht="15.75" hidden="false" customHeight="false" outlineLevel="0" collapsed="false">
      <c r="A37" s="15" t="n">
        <v>10276654</v>
      </c>
      <c r="B37" s="10" t="n">
        <v>13.5</v>
      </c>
      <c r="C37" s="12" t="n">
        <v>6.77</v>
      </c>
      <c r="D37" s="12" t="n">
        <v>10</v>
      </c>
      <c r="E37" s="12" t="n">
        <v>1</v>
      </c>
      <c r="F37" s="12" t="n">
        <v>0.27</v>
      </c>
      <c r="G37" s="12" t="n">
        <v>1</v>
      </c>
      <c r="H37" s="12" t="n">
        <v>0.5</v>
      </c>
      <c r="I37" s="12" t="n">
        <v>1.5</v>
      </c>
      <c r="J37" s="12" t="n">
        <v>0.5</v>
      </c>
      <c r="K37" s="12" t="n">
        <v>2</v>
      </c>
    </row>
    <row r="38" customFormat="false" ht="15.75" hidden="false" customHeight="false" outlineLevel="0" collapsed="false">
      <c r="A38" s="15" t="n">
        <v>10276949</v>
      </c>
      <c r="B38" s="10" t="n">
        <v>14</v>
      </c>
      <c r="C38" s="12" t="n">
        <v>7.08</v>
      </c>
      <c r="D38" s="12" t="n">
        <v>10</v>
      </c>
      <c r="E38" s="12" t="n">
        <v>0.5</v>
      </c>
      <c r="F38" s="12" t="n">
        <v>2</v>
      </c>
      <c r="G38" s="12" t="n">
        <v>1</v>
      </c>
      <c r="H38" s="12" t="n">
        <v>0.5</v>
      </c>
      <c r="I38" s="12" t="n">
        <v>0.75</v>
      </c>
      <c r="J38" s="12" t="n">
        <v>0.33</v>
      </c>
      <c r="K38" s="12" t="n">
        <v>2</v>
      </c>
    </row>
    <row r="39" customFormat="false" ht="15.75" hidden="false" customHeight="false" outlineLevel="0" collapsed="false">
      <c r="A39" s="15" t="n">
        <v>9274382</v>
      </c>
      <c r="B39" s="10" t="n">
        <v>14</v>
      </c>
      <c r="C39" s="12" t="n">
        <v>7.1</v>
      </c>
      <c r="D39" s="12" t="n">
        <v>10</v>
      </c>
      <c r="E39" s="12" t="n">
        <v>1</v>
      </c>
      <c r="F39" s="12" t="n">
        <v>2</v>
      </c>
      <c r="G39" s="12" t="n">
        <v>1</v>
      </c>
      <c r="H39" s="12" t="n">
        <v>0.5</v>
      </c>
      <c r="I39" s="12" t="n">
        <v>0.94</v>
      </c>
      <c r="J39" s="12" t="n">
        <v>0.33</v>
      </c>
      <c r="K39" s="12" t="n">
        <v>1.33</v>
      </c>
    </row>
    <row r="40" customFormat="false" ht="15.75" hidden="false" customHeight="false" outlineLevel="0" collapsed="false">
      <c r="A40" s="15" t="n">
        <v>10276953</v>
      </c>
      <c r="B40" s="10" t="n">
        <v>14</v>
      </c>
      <c r="C40" s="12" t="n">
        <v>7.25</v>
      </c>
      <c r="D40" s="12" t="n">
        <v>10</v>
      </c>
      <c r="E40" s="12" t="n">
        <v>1</v>
      </c>
      <c r="F40" s="12" t="n">
        <v>2</v>
      </c>
      <c r="G40" s="12" t="n">
        <v>1</v>
      </c>
      <c r="H40" s="12" t="n">
        <v>0.5</v>
      </c>
      <c r="I40" s="12" t="n">
        <v>0.38</v>
      </c>
      <c r="J40" s="12" t="n">
        <v>0.37</v>
      </c>
      <c r="K40" s="12" t="n">
        <v>2</v>
      </c>
    </row>
    <row r="41" customFormat="false" ht="15.75" hidden="false" customHeight="false" outlineLevel="0" collapsed="false">
      <c r="A41" s="15" t="n">
        <v>10276907</v>
      </c>
      <c r="B41" s="10" t="n">
        <v>14</v>
      </c>
      <c r="C41" s="12" t="n">
        <v>7.12</v>
      </c>
      <c r="D41" s="12" t="n">
        <v>10</v>
      </c>
      <c r="E41" s="12" t="n">
        <v>0.7</v>
      </c>
      <c r="F41" s="12" t="n">
        <v>1.33</v>
      </c>
      <c r="G41" s="12" t="n">
        <v>1</v>
      </c>
      <c r="H41" s="12" t="n">
        <v>1.5</v>
      </c>
      <c r="I41" s="12" t="n">
        <v>1.5</v>
      </c>
      <c r="J41" s="12" t="n">
        <v>0.42</v>
      </c>
      <c r="K41" s="12" t="n">
        <v>0.67</v>
      </c>
    </row>
    <row r="42" customFormat="false" ht="15.75" hidden="false" customHeight="false" outlineLevel="0" collapsed="false">
      <c r="A42" s="15" t="n">
        <v>9368772</v>
      </c>
      <c r="B42" s="10" t="n">
        <v>14</v>
      </c>
      <c r="C42" s="12" t="n">
        <v>7.25</v>
      </c>
      <c r="D42" s="12" t="n">
        <v>10</v>
      </c>
      <c r="E42" s="12" t="n">
        <v>0.2</v>
      </c>
      <c r="F42" s="12" t="n">
        <v>0.93</v>
      </c>
      <c r="G42" s="12" t="n">
        <v>1</v>
      </c>
      <c r="H42" s="12" t="n">
        <v>1.5</v>
      </c>
      <c r="I42" s="12" t="n">
        <v>1.5</v>
      </c>
      <c r="J42" s="12" t="n">
        <v>0.11</v>
      </c>
      <c r="K42" s="12" t="n">
        <v>2</v>
      </c>
    </row>
    <row r="43" customFormat="false" ht="15.75" hidden="false" customHeight="false" outlineLevel="0" collapsed="false">
      <c r="A43" s="15" t="n">
        <v>10310342</v>
      </c>
      <c r="B43" s="10" t="n">
        <v>14.5</v>
      </c>
      <c r="C43" s="12" t="n">
        <v>7.25</v>
      </c>
      <c r="D43" s="12" t="n">
        <v>10</v>
      </c>
      <c r="E43" s="12" t="n">
        <v>1.5</v>
      </c>
      <c r="F43" s="12" t="n">
        <v>1.33</v>
      </c>
      <c r="G43" s="12" t="n">
        <v>1</v>
      </c>
      <c r="H43" s="12" t="n">
        <v>1.5</v>
      </c>
      <c r="I43" s="12" t="n">
        <v>1.5</v>
      </c>
      <c r="J43" s="12" t="n">
        <v>0.42</v>
      </c>
      <c r="K43" s="12" t="n">
        <v>0</v>
      </c>
    </row>
    <row r="44" customFormat="false" ht="15.75" hidden="false" customHeight="false" outlineLevel="0" collapsed="false">
      <c r="A44" s="15" t="n">
        <v>9065750</v>
      </c>
      <c r="B44" s="10" t="n">
        <v>14.5</v>
      </c>
      <c r="C44" s="12" t="n">
        <v>7.42</v>
      </c>
      <c r="D44" s="12" t="n">
        <v>10</v>
      </c>
      <c r="E44" s="12" t="n">
        <v>1.5</v>
      </c>
      <c r="F44" s="12" t="n">
        <v>0.67</v>
      </c>
      <c r="G44" s="12" t="n">
        <v>1</v>
      </c>
      <c r="H44" s="12" t="n">
        <v>0.75</v>
      </c>
      <c r="I44" s="12" t="n">
        <v>1.5</v>
      </c>
      <c r="J44" s="12" t="n">
        <v>0.33</v>
      </c>
      <c r="K44" s="12" t="n">
        <v>1.67</v>
      </c>
    </row>
    <row r="45" customFormat="false" ht="15.75" hidden="false" customHeight="false" outlineLevel="0" collapsed="false">
      <c r="A45" s="15" t="n">
        <v>10276866</v>
      </c>
      <c r="B45" s="10" t="n">
        <v>14.5</v>
      </c>
      <c r="C45" s="12" t="n">
        <v>7.48</v>
      </c>
      <c r="D45" s="12" t="n">
        <v>10</v>
      </c>
      <c r="E45" s="12" t="n">
        <v>0.4</v>
      </c>
      <c r="F45" s="12" t="n">
        <v>0.93</v>
      </c>
      <c r="G45" s="12" t="n">
        <v>1</v>
      </c>
      <c r="H45" s="12" t="n">
        <v>1.5</v>
      </c>
      <c r="I45" s="12" t="n">
        <v>1.5</v>
      </c>
      <c r="J45" s="12" t="n">
        <v>0.15</v>
      </c>
      <c r="K45" s="12" t="n">
        <v>2</v>
      </c>
    </row>
    <row r="46" customFormat="false" ht="15.75" hidden="false" customHeight="false" outlineLevel="0" collapsed="false">
      <c r="A46" s="15" t="n">
        <v>10277015</v>
      </c>
      <c r="B46" s="10" t="n">
        <v>15</v>
      </c>
      <c r="C46" s="12" t="n">
        <v>7.52</v>
      </c>
      <c r="D46" s="12" t="n">
        <v>10</v>
      </c>
      <c r="E46" s="12" t="n">
        <v>1.5</v>
      </c>
      <c r="F46" s="12" t="n">
        <v>0.27</v>
      </c>
      <c r="G46" s="12" t="n">
        <v>1</v>
      </c>
      <c r="H46" s="12" t="n">
        <v>0.75</v>
      </c>
      <c r="I46" s="12" t="n">
        <v>1.5</v>
      </c>
      <c r="J46" s="12" t="n">
        <v>0.5</v>
      </c>
      <c r="K46" s="12" t="n">
        <v>2</v>
      </c>
    </row>
    <row r="47" customFormat="false" ht="15.75" hidden="false" customHeight="false" outlineLevel="0" collapsed="false">
      <c r="A47" s="15" t="n">
        <v>10276995</v>
      </c>
      <c r="B47" s="10" t="n">
        <v>15</v>
      </c>
      <c r="C47" s="12" t="n">
        <v>7.7</v>
      </c>
      <c r="D47" s="12" t="n">
        <v>10</v>
      </c>
      <c r="E47" s="12" t="n">
        <v>0.7</v>
      </c>
      <c r="F47" s="12" t="n">
        <v>0.67</v>
      </c>
      <c r="G47" s="12" t="n">
        <v>1</v>
      </c>
      <c r="H47" s="12" t="n">
        <v>1.5</v>
      </c>
      <c r="I47" s="12" t="n">
        <v>1.5</v>
      </c>
      <c r="J47" s="12" t="n">
        <v>0.33</v>
      </c>
      <c r="K47" s="12" t="n">
        <v>2</v>
      </c>
    </row>
    <row r="48" customFormat="false" ht="15.75" hidden="false" customHeight="false" outlineLevel="0" collapsed="false">
      <c r="A48" s="15" t="n">
        <v>10276831</v>
      </c>
      <c r="B48" s="10" t="n">
        <v>15</v>
      </c>
      <c r="C48" s="12" t="n">
        <v>7.5</v>
      </c>
      <c r="D48" s="12" t="n">
        <v>10</v>
      </c>
      <c r="E48" s="12" t="n">
        <v>1</v>
      </c>
      <c r="F48" s="12" t="n">
        <v>1.33</v>
      </c>
      <c r="G48" s="12" t="n">
        <v>1</v>
      </c>
      <c r="H48" s="12" t="n">
        <v>1.5</v>
      </c>
      <c r="I48" s="12" t="n">
        <v>1.5</v>
      </c>
      <c r="J48" s="12" t="n">
        <v>0.5</v>
      </c>
      <c r="K48" s="12" t="n">
        <v>0.67</v>
      </c>
    </row>
    <row r="49" customFormat="false" ht="15.75" hidden="false" customHeight="false" outlineLevel="0" collapsed="false">
      <c r="A49" s="15" t="n">
        <v>10310888</v>
      </c>
      <c r="B49" s="10" t="n">
        <v>15.5</v>
      </c>
      <c r="C49" s="12" t="n">
        <v>7.93</v>
      </c>
      <c r="D49" s="12" t="n">
        <v>10</v>
      </c>
      <c r="E49" s="12" t="n">
        <v>0.5</v>
      </c>
      <c r="F49" s="12" t="n">
        <v>0.93</v>
      </c>
      <c r="G49" s="12" t="n">
        <v>1</v>
      </c>
      <c r="H49" s="12" t="n">
        <v>1.5</v>
      </c>
      <c r="I49" s="12" t="n">
        <v>1.5</v>
      </c>
      <c r="J49" s="12" t="n">
        <v>0.5</v>
      </c>
      <c r="K49" s="12" t="n">
        <v>2</v>
      </c>
    </row>
    <row r="50" customFormat="false" ht="15.75" hidden="false" customHeight="false" outlineLevel="0" collapsed="false">
      <c r="A50" s="15" t="n">
        <v>10277022</v>
      </c>
      <c r="B50" s="10" t="n">
        <v>16</v>
      </c>
      <c r="C50" s="12" t="n">
        <v>8</v>
      </c>
      <c r="D50" s="12" t="n">
        <v>10</v>
      </c>
      <c r="E50" s="12" t="n">
        <v>1</v>
      </c>
      <c r="F50" s="12" t="n">
        <v>0.67</v>
      </c>
      <c r="G50" s="12" t="n">
        <v>1</v>
      </c>
      <c r="H50" s="12" t="n">
        <v>1.5</v>
      </c>
      <c r="I50" s="12" t="n">
        <v>1.5</v>
      </c>
      <c r="J50" s="12" t="n">
        <v>0.33</v>
      </c>
      <c r="K50" s="12" t="n">
        <v>2</v>
      </c>
    </row>
    <row r="51" customFormat="false" ht="15.75" hidden="false" customHeight="false" outlineLevel="0" collapsed="false">
      <c r="A51" s="15" t="n">
        <v>10276661</v>
      </c>
      <c r="B51" s="10" t="n">
        <v>16</v>
      </c>
      <c r="C51" s="12" t="n">
        <v>8.04</v>
      </c>
      <c r="D51" s="12" t="n">
        <v>10</v>
      </c>
      <c r="E51" s="12" t="n">
        <v>1</v>
      </c>
      <c r="F51" s="12" t="n">
        <v>1.33</v>
      </c>
      <c r="G51" s="12" t="n">
        <v>1</v>
      </c>
      <c r="H51" s="12" t="n">
        <v>0.75</v>
      </c>
      <c r="I51" s="12" t="n">
        <v>1.5</v>
      </c>
      <c r="J51" s="12" t="n">
        <v>0.45</v>
      </c>
      <c r="K51" s="12" t="n">
        <v>2</v>
      </c>
    </row>
    <row r="52" customFormat="false" ht="15.75" hidden="false" customHeight="false" outlineLevel="0" collapsed="false">
      <c r="A52" s="15" t="n">
        <v>10310759</v>
      </c>
      <c r="B52" s="10" t="n">
        <v>16.5</v>
      </c>
      <c r="C52" s="12" t="n">
        <v>8.43</v>
      </c>
      <c r="D52" s="12" t="n">
        <v>10</v>
      </c>
      <c r="E52" s="12" t="n">
        <v>1</v>
      </c>
      <c r="F52" s="12" t="n">
        <v>0.93</v>
      </c>
      <c r="G52" s="12" t="n">
        <v>1</v>
      </c>
      <c r="H52" s="12" t="n">
        <v>1.5</v>
      </c>
      <c r="I52" s="12" t="n">
        <v>1.5</v>
      </c>
      <c r="J52" s="12" t="n">
        <v>0.5</v>
      </c>
      <c r="K52" s="12" t="n">
        <v>2</v>
      </c>
    </row>
    <row r="53" customFormat="false" ht="15.75" hidden="false" customHeight="false" outlineLevel="0" collapsed="false">
      <c r="A53" s="15" t="n">
        <v>10276675</v>
      </c>
      <c r="B53" s="10" t="n">
        <v>16.5</v>
      </c>
      <c r="C53" s="12" t="n">
        <v>8.27</v>
      </c>
      <c r="D53" s="12" t="n">
        <v>10</v>
      </c>
      <c r="E53" s="12" t="n">
        <v>1.5</v>
      </c>
      <c r="F53" s="12" t="n">
        <v>0.27</v>
      </c>
      <c r="G53" s="12" t="n">
        <v>1</v>
      </c>
      <c r="H53" s="12" t="n">
        <v>1.5</v>
      </c>
      <c r="I53" s="12" t="n">
        <v>1.5</v>
      </c>
      <c r="J53" s="12" t="n">
        <v>0.5</v>
      </c>
      <c r="K53" s="12" t="n">
        <v>2</v>
      </c>
    </row>
    <row r="54" customFormat="false" ht="15.75" hidden="false" customHeight="false" outlineLevel="0" collapsed="false">
      <c r="A54" s="15" t="n">
        <v>10276928</v>
      </c>
      <c r="B54" s="10" t="n">
        <v>17</v>
      </c>
      <c r="C54" s="12" t="n">
        <v>8.7</v>
      </c>
      <c r="D54" s="12" t="n">
        <v>10</v>
      </c>
      <c r="E54" s="12" t="n">
        <v>0.2</v>
      </c>
      <c r="F54" s="12" t="n">
        <v>2</v>
      </c>
      <c r="G54" s="12" t="n">
        <v>1</v>
      </c>
      <c r="H54" s="12" t="n">
        <v>1.5</v>
      </c>
      <c r="I54" s="12" t="n">
        <v>1.5</v>
      </c>
      <c r="J54" s="12" t="n">
        <v>0.5</v>
      </c>
      <c r="K54" s="12" t="n">
        <v>2</v>
      </c>
    </row>
    <row r="55" customFormat="false" ht="15.75" hidden="false" customHeight="false" outlineLevel="0" collapsed="false">
      <c r="A55" s="15" t="n">
        <v>9760151</v>
      </c>
      <c r="B55" s="10" t="n">
        <v>17</v>
      </c>
      <c r="C55" s="12" t="n">
        <v>8.69</v>
      </c>
      <c r="D55" s="12" t="n">
        <v>10</v>
      </c>
      <c r="E55" s="12" t="n">
        <v>1.5</v>
      </c>
      <c r="F55" s="12" t="n">
        <v>1.33</v>
      </c>
      <c r="G55" s="12" t="n">
        <v>1</v>
      </c>
      <c r="H55" s="12" t="n">
        <v>1.5</v>
      </c>
      <c r="I55" s="12" t="n">
        <v>0.94</v>
      </c>
      <c r="J55" s="12" t="n">
        <v>0.42</v>
      </c>
      <c r="K55" s="12" t="n">
        <v>2</v>
      </c>
    </row>
    <row r="56" customFormat="false" ht="15.75" hidden="false" customHeight="false" outlineLevel="0" collapsed="false">
      <c r="A56" s="15" t="n">
        <v>10310655</v>
      </c>
      <c r="B56" s="10" t="n">
        <v>17</v>
      </c>
      <c r="C56" s="12" t="n">
        <v>8.7</v>
      </c>
      <c r="D56" s="12" t="n">
        <v>10</v>
      </c>
      <c r="E56" s="12" t="n">
        <v>1</v>
      </c>
      <c r="F56" s="12" t="n">
        <v>1.33</v>
      </c>
      <c r="G56" s="12" t="n">
        <v>1</v>
      </c>
      <c r="H56" s="12" t="n">
        <v>1.5</v>
      </c>
      <c r="I56" s="12" t="n">
        <v>1.5</v>
      </c>
      <c r="J56" s="12" t="n">
        <v>0.37</v>
      </c>
      <c r="K56" s="12" t="n">
        <v>2</v>
      </c>
    </row>
    <row r="57" customFormat="false" ht="15.75" hidden="false" customHeight="false" outlineLevel="0" collapsed="false">
      <c r="A57" s="15" t="n">
        <v>10277040</v>
      </c>
      <c r="B57" s="10" t="n">
        <v>17</v>
      </c>
      <c r="C57" s="12" t="n">
        <v>8.58</v>
      </c>
      <c r="D57" s="12" t="n">
        <v>10</v>
      </c>
      <c r="E57" s="12" t="n">
        <v>1.5</v>
      </c>
      <c r="F57" s="12" t="n">
        <v>0.67</v>
      </c>
      <c r="G57" s="12" t="n">
        <v>1</v>
      </c>
      <c r="H57" s="12" t="n">
        <v>1.5</v>
      </c>
      <c r="I57" s="12" t="n">
        <v>1.5</v>
      </c>
      <c r="J57" s="12" t="n">
        <v>0.42</v>
      </c>
      <c r="K57" s="12" t="n">
        <v>2</v>
      </c>
    </row>
    <row r="58" customFormat="false" ht="15.75" hidden="false" customHeight="false" outlineLevel="0" collapsed="false">
      <c r="A58" s="15" t="n">
        <v>9805341</v>
      </c>
      <c r="B58" s="10" t="n">
        <v>17</v>
      </c>
      <c r="C58" s="12" t="n">
        <v>8.67</v>
      </c>
      <c r="D58" s="12" t="n">
        <v>10</v>
      </c>
      <c r="E58" s="12" t="n">
        <v>1.5</v>
      </c>
      <c r="F58" s="12" t="n">
        <v>0.67</v>
      </c>
      <c r="G58" s="12" t="n">
        <v>1</v>
      </c>
      <c r="H58" s="12" t="n">
        <v>1.5</v>
      </c>
      <c r="I58" s="12" t="n">
        <v>1.5</v>
      </c>
      <c r="J58" s="12" t="n">
        <v>0.5</v>
      </c>
      <c r="K58" s="12" t="n">
        <v>2</v>
      </c>
    </row>
    <row r="59" customFormat="false" ht="15.75" hidden="false" customHeight="false" outlineLevel="0" collapsed="false">
      <c r="A59" s="15" t="n">
        <v>10310471</v>
      </c>
      <c r="B59" s="10" t="n">
        <v>17.5</v>
      </c>
      <c r="C59" s="12" t="n">
        <v>8.93</v>
      </c>
      <c r="D59" s="12" t="n">
        <v>10</v>
      </c>
      <c r="E59" s="12" t="n">
        <v>1.5</v>
      </c>
      <c r="F59" s="12" t="n">
        <v>0.93</v>
      </c>
      <c r="G59" s="12" t="n">
        <v>1</v>
      </c>
      <c r="H59" s="12" t="n">
        <v>1.5</v>
      </c>
      <c r="I59" s="12" t="n">
        <v>1.5</v>
      </c>
      <c r="J59" s="12" t="n">
        <v>0.5</v>
      </c>
      <c r="K59" s="12" t="n">
        <v>2</v>
      </c>
    </row>
    <row r="60" customFormat="false" ht="15.75" hidden="false" customHeight="false" outlineLevel="0" collapsed="false">
      <c r="A60" s="15" t="n">
        <v>10351992</v>
      </c>
      <c r="B60" s="10" t="n">
        <v>18</v>
      </c>
      <c r="C60" s="12" t="n">
        <v>9.2</v>
      </c>
      <c r="D60" s="12" t="n">
        <v>10</v>
      </c>
      <c r="E60" s="12" t="n">
        <v>0.7</v>
      </c>
      <c r="F60" s="12" t="n">
        <v>2</v>
      </c>
      <c r="G60" s="12" t="n">
        <v>1</v>
      </c>
      <c r="H60" s="12" t="n">
        <v>1.5</v>
      </c>
      <c r="I60" s="12" t="n">
        <v>1.5</v>
      </c>
      <c r="J60" s="12" t="n">
        <v>0.5</v>
      </c>
      <c r="K60" s="12" t="n">
        <v>2</v>
      </c>
    </row>
    <row r="61" customFormat="false" ht="15.75" hidden="false" customHeight="false" outlineLevel="0" collapsed="false">
      <c r="A61" s="15" t="n">
        <v>10310700</v>
      </c>
      <c r="B61" s="10" t="n">
        <v>18.5</v>
      </c>
      <c r="C61" s="12" t="n">
        <v>9.44</v>
      </c>
      <c r="D61" s="12" t="n">
        <v>10</v>
      </c>
      <c r="E61" s="12" t="n">
        <v>1.5</v>
      </c>
      <c r="F61" s="12" t="n">
        <v>2</v>
      </c>
      <c r="G61" s="12" t="n">
        <v>1</v>
      </c>
      <c r="H61" s="12" t="n">
        <v>1.5</v>
      </c>
      <c r="I61" s="12" t="n">
        <v>0.94</v>
      </c>
      <c r="J61" s="12" t="n">
        <v>0.5</v>
      </c>
      <c r="K61" s="12" t="n">
        <v>2</v>
      </c>
    </row>
    <row r="62" customFormat="false" ht="15.75" hidden="false" customHeight="false" outlineLevel="0" collapsed="false">
      <c r="A62" s="15" t="n">
        <v>10276737</v>
      </c>
      <c r="B62" s="10" t="n">
        <v>18.5</v>
      </c>
      <c r="C62" s="12" t="n">
        <v>9.35</v>
      </c>
      <c r="D62" s="12" t="n">
        <v>10</v>
      </c>
      <c r="E62" s="12" t="n">
        <v>1.5</v>
      </c>
      <c r="F62" s="12" t="n">
        <v>2</v>
      </c>
      <c r="G62" s="12" t="n">
        <v>1</v>
      </c>
      <c r="H62" s="12" t="n">
        <v>1.5</v>
      </c>
      <c r="I62" s="12" t="n">
        <v>0.94</v>
      </c>
      <c r="J62" s="12" t="n">
        <v>0.42</v>
      </c>
      <c r="K62" s="12" t="n">
        <v>2</v>
      </c>
    </row>
    <row r="63" customFormat="false" ht="15.75" hidden="false" customHeight="false" outlineLevel="0" collapsed="false">
      <c r="A63" s="15" t="n">
        <v>10276981</v>
      </c>
      <c r="B63" s="10" t="n">
        <v>18.5</v>
      </c>
      <c r="C63" s="12" t="n">
        <v>9.33</v>
      </c>
      <c r="D63" s="12" t="n">
        <v>10</v>
      </c>
      <c r="E63" s="12" t="n">
        <v>1.5</v>
      </c>
      <c r="F63" s="12" t="n">
        <v>1.33</v>
      </c>
      <c r="G63" s="12" t="n">
        <v>1</v>
      </c>
      <c r="H63" s="12" t="n">
        <v>1.5</v>
      </c>
      <c r="I63" s="12" t="n">
        <v>1.5</v>
      </c>
      <c r="J63" s="12" t="n">
        <v>0.5</v>
      </c>
      <c r="K63" s="12" t="n">
        <v>2</v>
      </c>
    </row>
    <row r="64" customFormat="false" ht="15.75" hidden="false" customHeight="false" outlineLevel="0" collapsed="false">
      <c r="A64" s="15" t="n">
        <v>10276932</v>
      </c>
      <c r="B64" s="10" t="n">
        <v>18.5</v>
      </c>
      <c r="C64" s="12" t="n">
        <v>9.33</v>
      </c>
      <c r="D64" s="12" t="n">
        <v>10</v>
      </c>
      <c r="E64" s="12" t="n">
        <v>1.5</v>
      </c>
      <c r="F64" s="12" t="n">
        <v>1.33</v>
      </c>
      <c r="G64" s="12" t="n">
        <v>1</v>
      </c>
      <c r="H64" s="12" t="n">
        <v>1.5</v>
      </c>
      <c r="I64" s="12" t="n">
        <v>1.5</v>
      </c>
      <c r="J64" s="12" t="n">
        <v>0.5</v>
      </c>
      <c r="K64" s="12" t="n">
        <v>2</v>
      </c>
    </row>
    <row r="65" customFormat="false" ht="15.75" hidden="false" customHeight="false" outlineLevel="0" collapsed="false">
      <c r="A65" s="15" t="n">
        <v>9285227</v>
      </c>
      <c r="B65" s="10" t="n">
        <v>18.5</v>
      </c>
      <c r="C65" s="12" t="n">
        <v>9.42</v>
      </c>
      <c r="D65" s="12" t="n">
        <v>10</v>
      </c>
      <c r="E65" s="12" t="n">
        <v>1</v>
      </c>
      <c r="F65" s="12" t="n">
        <v>2</v>
      </c>
      <c r="G65" s="12" t="n">
        <v>1</v>
      </c>
      <c r="H65" s="12" t="n">
        <v>1.5</v>
      </c>
      <c r="I65" s="12" t="n">
        <v>1.5</v>
      </c>
      <c r="J65" s="12" t="n">
        <v>0.42</v>
      </c>
      <c r="K65" s="12" t="n">
        <v>2</v>
      </c>
    </row>
    <row r="66" customFormat="false" ht="15.75" hidden="false" customHeight="false" outlineLevel="0" collapsed="false">
      <c r="A66" s="15" t="n">
        <v>10276960</v>
      </c>
      <c r="B66" s="10" t="n">
        <v>19</v>
      </c>
      <c r="C66" s="12" t="n">
        <v>9.65</v>
      </c>
      <c r="D66" s="12" t="n">
        <v>10</v>
      </c>
      <c r="E66" s="12" t="n">
        <v>1.5</v>
      </c>
      <c r="F66" s="12" t="n">
        <v>2</v>
      </c>
      <c r="G66" s="12" t="n">
        <v>1</v>
      </c>
      <c r="H66" s="12" t="n">
        <v>1.5</v>
      </c>
      <c r="I66" s="12" t="n">
        <v>1.5</v>
      </c>
      <c r="J66" s="12" t="n">
        <v>0.15</v>
      </c>
      <c r="K66" s="12" t="n">
        <v>2</v>
      </c>
    </row>
    <row r="67" customFormat="false" ht="15.75" hidden="false" customHeight="false" outlineLevel="0" collapsed="false">
      <c r="A67" s="15" t="n">
        <v>10377688</v>
      </c>
      <c r="B67" s="10" t="n">
        <v>19.5</v>
      </c>
      <c r="C67" s="12" t="n">
        <v>9.92</v>
      </c>
      <c r="D67" s="12" t="n">
        <v>10</v>
      </c>
      <c r="E67" s="12" t="n">
        <v>1.5</v>
      </c>
      <c r="F67" s="12" t="n">
        <v>2</v>
      </c>
      <c r="G67" s="12" t="n">
        <v>1</v>
      </c>
      <c r="H67" s="12" t="n">
        <v>1.5</v>
      </c>
      <c r="I67" s="12" t="n">
        <v>1.5</v>
      </c>
      <c r="J67" s="12" t="n">
        <v>0.42</v>
      </c>
      <c r="K67" s="12" t="n">
        <v>2</v>
      </c>
    </row>
    <row r="68" customFormat="false" ht="15.75" hidden="false" customHeight="false" outlineLevel="0" collapsed="false">
      <c r="A68" s="15" t="n">
        <v>10276911</v>
      </c>
      <c r="B68" s="10" t="n">
        <v>19.5</v>
      </c>
      <c r="C68" s="12" t="n">
        <v>9.92</v>
      </c>
      <c r="D68" s="12" t="n">
        <v>10</v>
      </c>
      <c r="E68" s="12" t="n">
        <v>1.5</v>
      </c>
      <c r="F68" s="12" t="n">
        <v>2</v>
      </c>
      <c r="G68" s="12" t="n">
        <v>1</v>
      </c>
      <c r="H68" s="12" t="n">
        <v>1.5</v>
      </c>
      <c r="I68" s="12" t="n">
        <v>1.5</v>
      </c>
      <c r="J68" s="12" t="n">
        <v>0.42</v>
      </c>
      <c r="K68" s="12" t="n">
        <v>2</v>
      </c>
    </row>
    <row r="69" customFormat="false" ht="15.75" hidden="false" customHeight="false" outlineLevel="0" collapsed="false">
      <c r="A69" s="15" t="n">
        <v>10273971</v>
      </c>
      <c r="B69" s="10" t="n">
        <v>20</v>
      </c>
      <c r="C69" s="12" t="n">
        <v>10</v>
      </c>
      <c r="D69" s="12" t="n">
        <v>10</v>
      </c>
      <c r="E69" s="12" t="n">
        <v>1.5</v>
      </c>
      <c r="F69" s="12" t="n">
        <v>2</v>
      </c>
      <c r="G69" s="12" t="n">
        <v>1</v>
      </c>
      <c r="H69" s="12" t="n">
        <v>1.5</v>
      </c>
      <c r="I69" s="12" t="n">
        <v>1.5</v>
      </c>
      <c r="J69" s="12" t="n">
        <v>0.5</v>
      </c>
      <c r="K69" s="12" t="n">
        <v>2</v>
      </c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8046875" defaultRowHeight="15.75" zeroHeight="false" outlineLevelRow="0" outlineLevelCol="0"/>
  <cols>
    <col collapsed="false" customWidth="true" hidden="false" outlineLevel="0" max="6" min="5" style="0" width="18.29"/>
    <col collapsed="false" customWidth="true" hidden="false" outlineLevel="0" max="8" min="7" style="0" width="21.14"/>
    <col collapsed="false" customWidth="true" hidden="false" outlineLevel="0" max="10" min="9" style="0" width="22.01"/>
    <col collapsed="false" customWidth="true" hidden="false" outlineLevel="0" max="11" min="11" style="0" width="19.99"/>
  </cols>
  <sheetData>
    <row r="1" customFormat="false" ht="15.7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26</v>
      </c>
      <c r="H1" s="8" t="s">
        <v>27</v>
      </c>
      <c r="I1" s="8" t="s">
        <v>19</v>
      </c>
      <c r="J1" s="8" t="s">
        <v>28</v>
      </c>
      <c r="K1" s="8" t="s">
        <v>29</v>
      </c>
    </row>
    <row r="2" customFormat="false" ht="15.75" hidden="false" customHeight="false" outlineLevel="0" collapsed="false">
      <c r="A2" s="9"/>
      <c r="B2" s="10" t="n">
        <v>20</v>
      </c>
      <c r="C2" s="11" t="s">
        <v>14</v>
      </c>
      <c r="D2" s="11"/>
      <c r="E2" s="12" t="n">
        <v>1.5</v>
      </c>
      <c r="F2" s="12" t="n">
        <v>2</v>
      </c>
      <c r="G2" s="12" t="n">
        <v>1</v>
      </c>
      <c r="H2" s="12" t="n">
        <v>1.5</v>
      </c>
      <c r="I2" s="12" t="n">
        <v>1.5</v>
      </c>
      <c r="J2" s="12" t="n">
        <v>0.5</v>
      </c>
      <c r="K2" s="12" t="n">
        <v>2</v>
      </c>
    </row>
    <row r="3" customFormat="false" ht="15.75" hidden="false" customHeight="false" outlineLevel="0" collapsed="false">
      <c r="A3" s="9"/>
      <c r="B3" s="10" t="n">
        <v>11.2</v>
      </c>
      <c r="C3" s="11" t="s">
        <v>22</v>
      </c>
      <c r="D3" s="11"/>
      <c r="E3" s="13" t="n">
        <v>0.56</v>
      </c>
      <c r="F3" s="13" t="n">
        <v>0.45</v>
      </c>
      <c r="G3" s="13" t="n">
        <v>0.86</v>
      </c>
      <c r="H3" s="13" t="n">
        <v>0.47</v>
      </c>
      <c r="I3" s="13" t="n">
        <v>0.51</v>
      </c>
      <c r="J3" s="13" t="n">
        <v>0.63</v>
      </c>
      <c r="K3" s="13" t="n">
        <v>0.67</v>
      </c>
    </row>
    <row r="4" customFormat="false" ht="15.75" hidden="false" customHeight="false" outlineLevel="0" collapsed="false">
      <c r="A4" s="15" t="n">
        <v>10276737</v>
      </c>
      <c r="B4" s="11" t="s">
        <v>23</v>
      </c>
      <c r="C4" s="16"/>
      <c r="D4" s="16"/>
      <c r="E4" s="16"/>
      <c r="F4" s="16"/>
      <c r="G4" s="16"/>
      <c r="H4" s="16"/>
      <c r="I4" s="16"/>
      <c r="J4" s="16"/>
      <c r="K4" s="16"/>
    </row>
    <row r="5" customFormat="false" ht="15.75" hidden="false" customHeight="false" outlineLevel="0" collapsed="false">
      <c r="A5" s="15" t="n">
        <v>10276981</v>
      </c>
      <c r="B5" s="11" t="s">
        <v>23</v>
      </c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.75" hidden="false" customHeight="false" outlineLevel="0" collapsed="false">
      <c r="A6" s="15" t="n">
        <v>10310662</v>
      </c>
      <c r="B6" s="11" t="s">
        <v>23</v>
      </c>
      <c r="C6" s="16"/>
      <c r="D6" s="16"/>
      <c r="E6" s="16"/>
      <c r="F6" s="16"/>
      <c r="G6" s="16"/>
      <c r="H6" s="16"/>
      <c r="I6" s="16"/>
      <c r="J6" s="16"/>
      <c r="K6" s="16"/>
    </row>
    <row r="7" customFormat="false" ht="15.75" hidden="false" customHeight="false" outlineLevel="0" collapsed="false">
      <c r="A7" s="15" t="n">
        <v>10277001</v>
      </c>
      <c r="B7" s="11" t="s">
        <v>23</v>
      </c>
      <c r="C7" s="16"/>
      <c r="D7" s="16"/>
      <c r="E7" s="16"/>
      <c r="F7" s="16"/>
      <c r="G7" s="16"/>
      <c r="H7" s="16"/>
      <c r="I7" s="16"/>
      <c r="J7" s="16"/>
      <c r="K7" s="16"/>
    </row>
    <row r="8" customFormat="false" ht="15.75" hidden="false" customHeight="false" outlineLevel="0" collapsed="false">
      <c r="A8" s="15" t="n">
        <v>10351971</v>
      </c>
      <c r="B8" s="11" t="s">
        <v>23</v>
      </c>
      <c r="C8" s="16"/>
      <c r="D8" s="16"/>
      <c r="E8" s="16"/>
      <c r="F8" s="16"/>
      <c r="G8" s="16"/>
      <c r="H8" s="16"/>
      <c r="I8" s="16"/>
      <c r="J8" s="16"/>
      <c r="K8" s="16"/>
    </row>
    <row r="9" customFormat="false" ht="15.75" hidden="false" customHeight="false" outlineLevel="0" collapsed="false">
      <c r="A9" s="15" t="n">
        <v>9292462</v>
      </c>
      <c r="B9" s="11" t="s">
        <v>23</v>
      </c>
      <c r="C9" s="16"/>
      <c r="D9" s="16"/>
      <c r="E9" s="16"/>
      <c r="F9" s="16"/>
      <c r="G9" s="16"/>
      <c r="H9" s="16"/>
      <c r="I9" s="16"/>
      <c r="J9" s="16"/>
      <c r="K9" s="16"/>
    </row>
    <row r="10" customFormat="false" ht="15.75" hidden="false" customHeight="false" outlineLevel="0" collapsed="false">
      <c r="A10" s="15" t="n">
        <v>9436110</v>
      </c>
      <c r="B10" s="11" t="s">
        <v>23</v>
      </c>
      <c r="C10" s="16"/>
      <c r="D10" s="16"/>
      <c r="E10" s="16"/>
      <c r="F10" s="16"/>
      <c r="G10" s="16"/>
      <c r="H10" s="16"/>
      <c r="I10" s="16"/>
      <c r="J10" s="16"/>
      <c r="K10" s="16"/>
    </row>
    <row r="11" customFormat="false" ht="15.75" hidden="false" customHeight="false" outlineLevel="0" collapsed="false">
      <c r="A11" s="15" t="n">
        <v>9846222</v>
      </c>
      <c r="B11" s="11" t="s">
        <v>23</v>
      </c>
      <c r="C11" s="16"/>
      <c r="D11" s="16"/>
      <c r="E11" s="16"/>
      <c r="F11" s="16"/>
      <c r="G11" s="16"/>
      <c r="H11" s="16"/>
      <c r="I11" s="16"/>
      <c r="J11" s="16"/>
      <c r="K11" s="16"/>
    </row>
    <row r="12" customFormat="false" ht="15.75" hidden="false" customHeight="false" outlineLevel="0" collapsed="false">
      <c r="A12" s="15" t="n">
        <v>9755822</v>
      </c>
      <c r="B12" s="10" t="n">
        <v>1.5</v>
      </c>
      <c r="C12" s="12" t="n">
        <v>1</v>
      </c>
      <c r="D12" s="12" t="n">
        <v>10</v>
      </c>
      <c r="E12" s="12" t="n">
        <v>0</v>
      </c>
      <c r="F12" s="12" t="n">
        <v>0.6</v>
      </c>
      <c r="G12" s="17"/>
      <c r="H12" s="12" t="n">
        <v>0</v>
      </c>
      <c r="I12" s="12" t="n">
        <v>0.19</v>
      </c>
      <c r="J12" s="12" t="n">
        <v>0.21</v>
      </c>
      <c r="K12" s="12" t="n">
        <v>0</v>
      </c>
    </row>
    <row r="13" customFormat="false" ht="15.75" hidden="false" customHeight="false" outlineLevel="0" collapsed="false">
      <c r="A13" s="15" t="n">
        <v>9921470</v>
      </c>
      <c r="B13" s="10" t="n">
        <v>2.5</v>
      </c>
      <c r="C13" s="12" t="n">
        <v>1.4</v>
      </c>
      <c r="D13" s="12" t="n">
        <v>10</v>
      </c>
      <c r="E13" s="12" t="n">
        <v>0</v>
      </c>
      <c r="F13" s="12" t="n">
        <v>0</v>
      </c>
      <c r="G13" s="12" t="n">
        <v>1</v>
      </c>
      <c r="H13" s="12" t="n">
        <v>0</v>
      </c>
      <c r="I13" s="12" t="n">
        <v>0.19</v>
      </c>
      <c r="J13" s="12" t="n">
        <v>0.21</v>
      </c>
      <c r="K13" s="12" t="n">
        <v>0</v>
      </c>
    </row>
    <row r="14" customFormat="false" ht="15.75" hidden="false" customHeight="false" outlineLevel="0" collapsed="false">
      <c r="A14" s="15" t="n">
        <v>10276852</v>
      </c>
      <c r="B14" s="10" t="n">
        <v>2.5</v>
      </c>
      <c r="C14" s="12" t="n">
        <v>1.46</v>
      </c>
      <c r="D14" s="12" t="n">
        <v>10</v>
      </c>
      <c r="E14" s="12" t="n">
        <v>0</v>
      </c>
      <c r="F14" s="12" t="n">
        <v>0</v>
      </c>
      <c r="G14" s="12" t="n">
        <v>0</v>
      </c>
      <c r="H14" s="12" t="n">
        <v>1.25</v>
      </c>
      <c r="I14" s="12" t="n">
        <v>0</v>
      </c>
      <c r="J14" s="12" t="n">
        <v>0.21</v>
      </c>
      <c r="K14" s="12" t="n">
        <v>0</v>
      </c>
    </row>
    <row r="15" customFormat="false" ht="15.75" hidden="false" customHeight="false" outlineLevel="0" collapsed="false">
      <c r="A15" s="15" t="n">
        <v>10352030</v>
      </c>
      <c r="B15" s="10" t="n">
        <v>3</v>
      </c>
      <c r="C15" s="12" t="n">
        <v>1.69</v>
      </c>
      <c r="D15" s="12" t="n">
        <v>10</v>
      </c>
      <c r="E15" s="17"/>
      <c r="F15" s="17"/>
      <c r="G15" s="12" t="n">
        <v>1</v>
      </c>
      <c r="H15" s="17"/>
      <c r="I15" s="17"/>
      <c r="J15" s="12" t="n">
        <v>0.42</v>
      </c>
      <c r="K15" s="12" t="n">
        <v>0.28</v>
      </c>
    </row>
    <row r="16" customFormat="false" ht="15.75" hidden="false" customHeight="false" outlineLevel="0" collapsed="false">
      <c r="A16" s="15" t="n">
        <v>10310888</v>
      </c>
      <c r="B16" s="10" t="n">
        <v>3</v>
      </c>
      <c r="C16" s="12" t="n">
        <v>1.5</v>
      </c>
      <c r="D16" s="12" t="n">
        <v>10</v>
      </c>
      <c r="E16" s="12" t="n">
        <v>0</v>
      </c>
      <c r="F16" s="12" t="n">
        <v>0</v>
      </c>
      <c r="G16" s="12" t="n">
        <v>1</v>
      </c>
      <c r="H16" s="12" t="n">
        <v>0</v>
      </c>
      <c r="I16" s="12" t="n">
        <v>0.38</v>
      </c>
      <c r="J16" s="12" t="n">
        <v>0.13</v>
      </c>
      <c r="K16" s="12" t="n">
        <v>0</v>
      </c>
    </row>
    <row r="17" customFormat="false" ht="15.75" hidden="false" customHeight="false" outlineLevel="0" collapsed="false">
      <c r="A17" s="15" t="n">
        <v>9274382</v>
      </c>
      <c r="B17" s="10" t="n">
        <v>3.5</v>
      </c>
      <c r="C17" s="12" t="n">
        <v>1.89</v>
      </c>
      <c r="D17" s="12" t="n">
        <v>10</v>
      </c>
      <c r="E17" s="12" t="n">
        <v>0.63</v>
      </c>
      <c r="F17" s="12" t="n">
        <v>0</v>
      </c>
      <c r="G17" s="17"/>
      <c r="H17" s="12" t="n">
        <v>0.5</v>
      </c>
      <c r="I17" s="12" t="n">
        <v>0</v>
      </c>
      <c r="J17" s="12" t="n">
        <v>0.21</v>
      </c>
      <c r="K17" s="12" t="n">
        <v>0.56</v>
      </c>
    </row>
    <row r="18" customFormat="false" ht="15.75" hidden="false" customHeight="false" outlineLevel="0" collapsed="false">
      <c r="A18" s="15" t="n">
        <v>10277036</v>
      </c>
      <c r="B18" s="10" t="n">
        <v>3.5</v>
      </c>
      <c r="C18" s="12" t="n">
        <v>1.76</v>
      </c>
      <c r="D18" s="12" t="n">
        <v>10</v>
      </c>
      <c r="E18" s="12" t="n">
        <v>0</v>
      </c>
      <c r="F18" s="12" t="n">
        <v>0</v>
      </c>
      <c r="G18" s="12" t="n">
        <v>0</v>
      </c>
      <c r="H18" s="12" t="n">
        <v>0</v>
      </c>
      <c r="I18" s="12" t="n">
        <v>0.19</v>
      </c>
      <c r="J18" s="12" t="n">
        <v>0.29</v>
      </c>
      <c r="K18" s="12" t="n">
        <v>1.28</v>
      </c>
    </row>
    <row r="19" customFormat="false" ht="15.75" hidden="false" customHeight="false" outlineLevel="0" collapsed="false">
      <c r="A19" s="15" t="n">
        <v>9082496</v>
      </c>
      <c r="B19" s="10" t="n">
        <v>4.5</v>
      </c>
      <c r="C19" s="12" t="n">
        <v>2.47</v>
      </c>
      <c r="D19" s="12" t="n">
        <v>10</v>
      </c>
      <c r="E19" s="12" t="n">
        <v>0</v>
      </c>
      <c r="F19" s="12" t="n">
        <v>0</v>
      </c>
      <c r="G19" s="12" t="n">
        <v>1</v>
      </c>
      <c r="H19" s="12" t="n">
        <v>0</v>
      </c>
      <c r="I19" s="12" t="n">
        <v>0.75</v>
      </c>
      <c r="J19" s="12" t="n">
        <v>0.17</v>
      </c>
      <c r="K19" s="12" t="n">
        <v>0.56</v>
      </c>
    </row>
    <row r="20" customFormat="false" ht="15.75" hidden="false" customHeight="false" outlineLevel="0" collapsed="false">
      <c r="A20" s="15" t="n">
        <v>9363926</v>
      </c>
      <c r="B20" s="10" t="n">
        <v>4.5</v>
      </c>
      <c r="C20" s="12" t="n">
        <v>2.34</v>
      </c>
      <c r="D20" s="12" t="n">
        <v>10</v>
      </c>
      <c r="E20" s="12" t="n">
        <v>0</v>
      </c>
      <c r="F20" s="12" t="n">
        <v>0.6</v>
      </c>
      <c r="G20" s="12" t="n">
        <v>0</v>
      </c>
      <c r="H20" s="12" t="n">
        <v>0.75</v>
      </c>
      <c r="I20" s="12" t="n">
        <v>0.38</v>
      </c>
      <c r="J20" s="12" t="n">
        <v>0.33</v>
      </c>
      <c r="K20" s="12" t="n">
        <v>0.28</v>
      </c>
    </row>
    <row r="21" customFormat="false" ht="15.75" hidden="false" customHeight="false" outlineLevel="0" collapsed="false">
      <c r="A21" s="15" t="n">
        <v>9795272</v>
      </c>
      <c r="B21" s="10" t="n">
        <v>5</v>
      </c>
      <c r="C21" s="12" t="n">
        <v>2.74</v>
      </c>
      <c r="D21" s="12" t="n">
        <v>10</v>
      </c>
      <c r="E21" s="12" t="n">
        <v>0.38</v>
      </c>
      <c r="F21" s="12" t="n">
        <v>0.6</v>
      </c>
      <c r="G21" s="12" t="n">
        <v>1</v>
      </c>
      <c r="H21" s="12" t="n">
        <v>0</v>
      </c>
      <c r="I21" s="12" t="n">
        <v>0</v>
      </c>
      <c r="J21" s="12" t="n">
        <v>0.21</v>
      </c>
      <c r="K21" s="12" t="n">
        <v>0.56</v>
      </c>
    </row>
    <row r="22" customFormat="false" ht="15.75" hidden="false" customHeight="false" outlineLevel="0" collapsed="false">
      <c r="A22" s="15" t="n">
        <v>10276974</v>
      </c>
      <c r="B22" s="10" t="n">
        <v>6</v>
      </c>
      <c r="C22" s="12" t="n">
        <v>3.03</v>
      </c>
      <c r="D22" s="12" t="n">
        <v>10</v>
      </c>
      <c r="E22" s="12" t="n">
        <v>0.75</v>
      </c>
      <c r="F22" s="12" t="n">
        <v>0.2</v>
      </c>
      <c r="G22" s="12" t="n">
        <v>1</v>
      </c>
      <c r="H22" s="12" t="n">
        <v>0.5</v>
      </c>
      <c r="I22" s="12" t="n">
        <v>0.38</v>
      </c>
      <c r="J22" s="12" t="n">
        <v>0.21</v>
      </c>
      <c r="K22" s="12" t="n">
        <v>0</v>
      </c>
    </row>
    <row r="23" customFormat="false" ht="15.75" hidden="false" customHeight="false" outlineLevel="0" collapsed="false">
      <c r="A23" s="15" t="n">
        <v>10277015</v>
      </c>
      <c r="B23" s="10" t="n">
        <v>6.5</v>
      </c>
      <c r="C23" s="12" t="n">
        <v>3.28</v>
      </c>
      <c r="D23" s="12" t="n">
        <v>10</v>
      </c>
      <c r="E23" s="12" t="n">
        <v>0.38</v>
      </c>
      <c r="F23" s="12" t="n">
        <v>0.6</v>
      </c>
      <c r="G23" s="12" t="n">
        <v>1</v>
      </c>
      <c r="H23" s="12" t="n">
        <v>0.5</v>
      </c>
      <c r="I23" s="12" t="n">
        <v>0</v>
      </c>
      <c r="J23" s="12" t="n">
        <v>0.25</v>
      </c>
      <c r="K23" s="12" t="n">
        <v>0.56</v>
      </c>
    </row>
    <row r="24" customFormat="false" ht="15.75" hidden="false" customHeight="false" outlineLevel="0" collapsed="false">
      <c r="A24" s="15" t="n">
        <v>10310655</v>
      </c>
      <c r="B24" s="10" t="n">
        <v>7</v>
      </c>
      <c r="C24" s="12" t="n">
        <v>3.74</v>
      </c>
      <c r="D24" s="12" t="n">
        <v>10</v>
      </c>
      <c r="E24" s="12" t="n">
        <v>0.75</v>
      </c>
      <c r="F24" s="12" t="n">
        <v>0</v>
      </c>
      <c r="G24" s="12" t="n">
        <v>1</v>
      </c>
      <c r="H24" s="12" t="n">
        <v>0.5</v>
      </c>
      <c r="I24" s="12" t="n">
        <v>0.38</v>
      </c>
      <c r="J24" s="12" t="n">
        <v>0.33</v>
      </c>
      <c r="K24" s="12" t="n">
        <v>0.78</v>
      </c>
    </row>
    <row r="25" customFormat="false" ht="15.75" hidden="false" customHeight="false" outlineLevel="0" collapsed="false">
      <c r="A25" s="15" t="n">
        <v>9760151</v>
      </c>
      <c r="B25" s="10" t="n">
        <v>7.5</v>
      </c>
      <c r="C25" s="12" t="n">
        <v>3.79</v>
      </c>
      <c r="D25" s="12" t="n">
        <v>10</v>
      </c>
      <c r="E25" s="12" t="n">
        <v>0.75</v>
      </c>
      <c r="F25" s="17"/>
      <c r="G25" s="12" t="n">
        <v>1</v>
      </c>
      <c r="H25" s="17"/>
      <c r="I25" s="12" t="n">
        <v>1.13</v>
      </c>
      <c r="J25" s="12" t="n">
        <v>0.42</v>
      </c>
      <c r="K25" s="12" t="n">
        <v>0.5</v>
      </c>
    </row>
    <row r="26" customFormat="false" ht="15.75" hidden="false" customHeight="false" outlineLevel="0" collapsed="false">
      <c r="A26" s="15" t="n">
        <v>10276953</v>
      </c>
      <c r="B26" s="10" t="n">
        <v>7.5</v>
      </c>
      <c r="C26" s="12" t="n">
        <v>3.84</v>
      </c>
      <c r="D26" s="12" t="n">
        <v>10</v>
      </c>
      <c r="E26" s="12" t="n">
        <v>0.63</v>
      </c>
      <c r="F26" s="12" t="n">
        <v>0.6</v>
      </c>
      <c r="G26" s="12" t="n">
        <v>0</v>
      </c>
      <c r="H26" s="12" t="n">
        <v>1.5</v>
      </c>
      <c r="I26" s="12" t="n">
        <v>0</v>
      </c>
      <c r="J26" s="12" t="n">
        <v>0.33</v>
      </c>
      <c r="K26" s="12" t="n">
        <v>0.78</v>
      </c>
    </row>
    <row r="27" customFormat="false" ht="15.75" hidden="false" customHeight="false" outlineLevel="0" collapsed="false">
      <c r="A27" s="15" t="n">
        <v>10310551</v>
      </c>
      <c r="B27" s="10" t="n">
        <v>8</v>
      </c>
      <c r="C27" s="12" t="n">
        <v>4.24</v>
      </c>
      <c r="D27" s="12" t="n">
        <v>10</v>
      </c>
      <c r="E27" s="12" t="n">
        <v>0.75</v>
      </c>
      <c r="F27" s="12" t="n">
        <v>1</v>
      </c>
      <c r="G27" s="12" t="n">
        <v>1</v>
      </c>
      <c r="H27" s="12" t="n">
        <v>0</v>
      </c>
      <c r="I27" s="12" t="n">
        <v>0</v>
      </c>
      <c r="J27" s="12" t="n">
        <v>0.21</v>
      </c>
      <c r="K27" s="12" t="n">
        <v>1.28</v>
      </c>
    </row>
    <row r="28" customFormat="false" ht="15.75" hidden="false" customHeight="false" outlineLevel="0" collapsed="false">
      <c r="A28" s="15" t="n">
        <v>10310676</v>
      </c>
      <c r="B28" s="10" t="n">
        <v>8</v>
      </c>
      <c r="C28" s="12" t="n">
        <v>4.02</v>
      </c>
      <c r="D28" s="12" t="n">
        <v>10</v>
      </c>
      <c r="E28" s="12" t="n">
        <v>0.38</v>
      </c>
      <c r="F28" s="12" t="n">
        <v>0</v>
      </c>
      <c r="G28" s="12" t="n">
        <v>1</v>
      </c>
      <c r="H28" s="12" t="n">
        <v>1.5</v>
      </c>
      <c r="I28" s="12" t="n">
        <v>0.94</v>
      </c>
      <c r="J28" s="12" t="n">
        <v>0.21</v>
      </c>
      <c r="K28" s="12" t="n">
        <v>0</v>
      </c>
    </row>
    <row r="29" customFormat="false" ht="15.75" hidden="false" customHeight="false" outlineLevel="0" collapsed="false">
      <c r="A29" s="15" t="n">
        <v>10310492</v>
      </c>
      <c r="B29" s="10" t="n">
        <v>8.5</v>
      </c>
      <c r="C29" s="12" t="n">
        <v>4.4</v>
      </c>
      <c r="D29" s="12" t="n">
        <v>10</v>
      </c>
      <c r="E29" s="12" t="n">
        <v>0.38</v>
      </c>
      <c r="F29" s="12" t="n">
        <v>1</v>
      </c>
      <c r="G29" s="12" t="n">
        <v>0</v>
      </c>
      <c r="H29" s="12" t="n">
        <v>1.5</v>
      </c>
      <c r="I29" s="12" t="n">
        <v>0</v>
      </c>
      <c r="J29" s="12" t="n">
        <v>0.25</v>
      </c>
      <c r="K29" s="12" t="n">
        <v>1.28</v>
      </c>
    </row>
    <row r="30" customFormat="false" ht="15.75" hidden="false" customHeight="false" outlineLevel="0" collapsed="false">
      <c r="A30" s="15" t="n">
        <v>10276831</v>
      </c>
      <c r="B30" s="10" t="n">
        <v>8.5</v>
      </c>
      <c r="C30" s="12" t="n">
        <v>4.3</v>
      </c>
      <c r="D30" s="12" t="n">
        <v>10</v>
      </c>
      <c r="E30" s="12" t="n">
        <v>0.38</v>
      </c>
      <c r="F30" s="12" t="n">
        <v>0.6</v>
      </c>
      <c r="G30" s="12" t="n">
        <v>1</v>
      </c>
      <c r="H30" s="12" t="n">
        <v>0.5</v>
      </c>
      <c r="I30" s="12" t="n">
        <v>0.94</v>
      </c>
      <c r="J30" s="12" t="n">
        <v>0.33</v>
      </c>
      <c r="K30" s="12" t="n">
        <v>0.56</v>
      </c>
    </row>
    <row r="31" customFormat="false" ht="15.75" hidden="false" customHeight="false" outlineLevel="0" collapsed="false">
      <c r="A31" s="15" t="n">
        <v>10310342</v>
      </c>
      <c r="B31" s="10" t="n">
        <v>9</v>
      </c>
      <c r="C31" s="12" t="n">
        <v>4.69</v>
      </c>
      <c r="D31" s="12" t="n">
        <v>10</v>
      </c>
      <c r="E31" s="12" t="n">
        <v>0.75</v>
      </c>
      <c r="F31" s="12" t="n">
        <v>2</v>
      </c>
      <c r="G31" s="12" t="n">
        <v>1</v>
      </c>
      <c r="H31" s="12" t="n">
        <v>0</v>
      </c>
      <c r="I31" s="12" t="n">
        <v>0.19</v>
      </c>
      <c r="J31" s="12" t="n">
        <v>0.42</v>
      </c>
      <c r="K31" s="12" t="n">
        <v>0.33</v>
      </c>
    </row>
    <row r="32" customFormat="false" ht="15.75" hidden="false" customHeight="false" outlineLevel="0" collapsed="false">
      <c r="A32" s="15" t="n">
        <v>9285227</v>
      </c>
      <c r="B32" s="10" t="n">
        <v>9</v>
      </c>
      <c r="C32" s="12" t="n">
        <v>4.65</v>
      </c>
      <c r="D32" s="12" t="n">
        <v>10</v>
      </c>
      <c r="E32" s="12" t="n">
        <v>0.75</v>
      </c>
      <c r="F32" s="12" t="n">
        <v>1</v>
      </c>
      <c r="G32" s="12" t="n">
        <v>1</v>
      </c>
      <c r="H32" s="12" t="n">
        <v>0</v>
      </c>
      <c r="I32" s="12" t="n">
        <v>0.38</v>
      </c>
      <c r="J32" s="12" t="n">
        <v>0.25</v>
      </c>
      <c r="K32" s="12" t="n">
        <v>1.28</v>
      </c>
    </row>
    <row r="33" customFormat="false" ht="15.75" hidden="false" customHeight="false" outlineLevel="0" collapsed="false">
      <c r="A33" s="15" t="n">
        <v>10276654</v>
      </c>
      <c r="B33" s="10" t="n">
        <v>9</v>
      </c>
      <c r="C33" s="12" t="n">
        <v>4.52</v>
      </c>
      <c r="D33" s="12" t="n">
        <v>10</v>
      </c>
      <c r="E33" s="12" t="n">
        <v>0.38</v>
      </c>
      <c r="F33" s="12" t="n">
        <v>0</v>
      </c>
      <c r="G33" s="12" t="n">
        <v>1</v>
      </c>
      <c r="H33" s="12" t="n">
        <v>0</v>
      </c>
      <c r="I33" s="12" t="n">
        <v>0.94</v>
      </c>
      <c r="J33" s="12" t="n">
        <v>0.21</v>
      </c>
      <c r="K33" s="12" t="n">
        <v>2</v>
      </c>
    </row>
    <row r="34" customFormat="false" ht="15.75" hidden="false" customHeight="false" outlineLevel="0" collapsed="false">
      <c r="A34" s="15" t="n">
        <v>10276682</v>
      </c>
      <c r="B34" s="10" t="n">
        <v>9.5</v>
      </c>
      <c r="C34" s="12" t="n">
        <v>4.86</v>
      </c>
      <c r="D34" s="12" t="n">
        <v>10</v>
      </c>
      <c r="E34" s="12" t="n">
        <v>0.75</v>
      </c>
      <c r="F34" s="12" t="n">
        <v>0.6</v>
      </c>
      <c r="G34" s="12" t="n">
        <v>0</v>
      </c>
      <c r="H34" s="12" t="n">
        <v>0.5</v>
      </c>
      <c r="I34" s="12" t="n">
        <v>0.94</v>
      </c>
      <c r="J34" s="12" t="n">
        <v>0.29</v>
      </c>
      <c r="K34" s="12" t="n">
        <v>1.78</v>
      </c>
    </row>
    <row r="35" customFormat="false" ht="15.75" hidden="false" customHeight="false" outlineLevel="0" collapsed="false">
      <c r="A35" s="15" t="n">
        <v>10260351</v>
      </c>
      <c r="B35" s="10" t="n">
        <v>10</v>
      </c>
      <c r="C35" s="12" t="n">
        <v>5.18</v>
      </c>
      <c r="D35" s="12" t="n">
        <v>10</v>
      </c>
      <c r="E35" s="12" t="n">
        <v>0.38</v>
      </c>
      <c r="F35" s="12" t="n">
        <v>0.6</v>
      </c>
      <c r="G35" s="12" t="n">
        <v>1</v>
      </c>
      <c r="H35" s="12" t="n">
        <v>1.5</v>
      </c>
      <c r="I35" s="12" t="n">
        <v>0.94</v>
      </c>
      <c r="J35" s="12" t="n">
        <v>0.21</v>
      </c>
      <c r="K35" s="12" t="n">
        <v>0.56</v>
      </c>
    </row>
    <row r="36" customFormat="false" ht="15.75" hidden="false" customHeight="false" outlineLevel="0" collapsed="false">
      <c r="A36" s="15" t="n">
        <v>10276866</v>
      </c>
      <c r="B36" s="10" t="n">
        <v>10</v>
      </c>
      <c r="C36" s="12" t="n">
        <v>5.01</v>
      </c>
      <c r="D36" s="12" t="n">
        <v>10</v>
      </c>
      <c r="E36" s="12" t="n">
        <v>0.75</v>
      </c>
      <c r="F36" s="12" t="n">
        <v>2</v>
      </c>
      <c r="G36" s="12" t="n">
        <v>1</v>
      </c>
      <c r="H36" s="12" t="n">
        <v>0</v>
      </c>
      <c r="I36" s="12" t="n">
        <v>0</v>
      </c>
      <c r="J36" s="12" t="n">
        <v>0.21</v>
      </c>
      <c r="K36" s="12" t="n">
        <v>1.06</v>
      </c>
    </row>
    <row r="37" customFormat="false" ht="15.75" hidden="false" customHeight="false" outlineLevel="0" collapsed="false">
      <c r="A37" s="15" t="n">
        <v>10276907</v>
      </c>
      <c r="B37" s="10" t="n">
        <v>10.5</v>
      </c>
      <c r="C37" s="12" t="n">
        <v>5.27</v>
      </c>
      <c r="D37" s="12" t="n">
        <v>10</v>
      </c>
      <c r="E37" s="12" t="n">
        <v>1.5</v>
      </c>
      <c r="F37" s="12" t="n">
        <v>0</v>
      </c>
      <c r="G37" s="12" t="n">
        <v>1</v>
      </c>
      <c r="H37" s="12" t="n">
        <v>0.5</v>
      </c>
      <c r="I37" s="12" t="n">
        <v>0.56</v>
      </c>
      <c r="J37" s="12" t="n">
        <v>0.21</v>
      </c>
      <c r="K37" s="12" t="n">
        <v>1.5</v>
      </c>
    </row>
    <row r="38" customFormat="false" ht="15.75" hidden="false" customHeight="false" outlineLevel="0" collapsed="false">
      <c r="A38" s="15" t="n">
        <v>10276949</v>
      </c>
      <c r="B38" s="10" t="n">
        <v>11</v>
      </c>
      <c r="C38" s="12" t="n">
        <v>5.6</v>
      </c>
      <c r="D38" s="12" t="n">
        <v>10</v>
      </c>
      <c r="E38" s="12" t="n">
        <v>0.75</v>
      </c>
      <c r="F38" s="12" t="n">
        <v>0.6</v>
      </c>
      <c r="G38" s="12" t="n">
        <v>1</v>
      </c>
      <c r="H38" s="12" t="n">
        <v>0.5</v>
      </c>
      <c r="I38" s="12" t="n">
        <v>0.38</v>
      </c>
      <c r="J38" s="12" t="n">
        <v>0.38</v>
      </c>
      <c r="K38" s="12" t="n">
        <v>2</v>
      </c>
    </row>
    <row r="39" customFormat="false" ht="15.75" hidden="false" customHeight="false" outlineLevel="0" collapsed="false">
      <c r="A39" s="15" t="n">
        <v>10310759</v>
      </c>
      <c r="B39" s="10" t="n">
        <v>11</v>
      </c>
      <c r="C39" s="12" t="n">
        <v>5.58</v>
      </c>
      <c r="D39" s="12" t="n">
        <v>10</v>
      </c>
      <c r="E39" s="12" t="n">
        <v>0.75</v>
      </c>
      <c r="F39" s="12" t="n">
        <v>0.6</v>
      </c>
      <c r="G39" s="12" t="n">
        <v>1</v>
      </c>
      <c r="H39" s="12" t="n">
        <v>0</v>
      </c>
      <c r="I39" s="12" t="n">
        <v>0.94</v>
      </c>
      <c r="J39" s="12" t="n">
        <v>0.29</v>
      </c>
      <c r="K39" s="12" t="n">
        <v>2</v>
      </c>
    </row>
    <row r="40" customFormat="false" ht="15.75" hidden="false" customHeight="false" outlineLevel="0" collapsed="false">
      <c r="A40" s="15" t="n">
        <v>9368772</v>
      </c>
      <c r="B40" s="10" t="n">
        <v>11</v>
      </c>
      <c r="C40" s="12" t="n">
        <v>5.6</v>
      </c>
      <c r="D40" s="12" t="n">
        <v>10</v>
      </c>
      <c r="E40" s="12" t="n">
        <v>1.13</v>
      </c>
      <c r="F40" s="12" t="n">
        <v>0.6</v>
      </c>
      <c r="G40" s="12" t="n">
        <v>1</v>
      </c>
      <c r="H40" s="12" t="n">
        <v>0.5</v>
      </c>
      <c r="I40" s="12" t="n">
        <v>0</v>
      </c>
      <c r="J40" s="12" t="n">
        <v>0.38</v>
      </c>
      <c r="K40" s="12" t="n">
        <v>2</v>
      </c>
    </row>
    <row r="41" customFormat="false" ht="15.75" hidden="false" customHeight="false" outlineLevel="0" collapsed="false">
      <c r="A41" s="15" t="n">
        <v>9424506</v>
      </c>
      <c r="B41" s="10" t="n">
        <v>11.5</v>
      </c>
      <c r="C41" s="12" t="n">
        <v>5.83</v>
      </c>
      <c r="D41" s="12" t="n">
        <v>10</v>
      </c>
      <c r="E41" s="12" t="n">
        <v>1.5</v>
      </c>
      <c r="F41" s="17"/>
      <c r="G41" s="12" t="n">
        <v>1</v>
      </c>
      <c r="H41" s="12" t="n">
        <v>1.5</v>
      </c>
      <c r="I41" s="12" t="n">
        <v>0</v>
      </c>
      <c r="J41" s="12" t="n">
        <v>0.33</v>
      </c>
      <c r="K41" s="12" t="n">
        <v>1.5</v>
      </c>
    </row>
    <row r="42" customFormat="false" ht="15.75" hidden="false" customHeight="false" outlineLevel="0" collapsed="false">
      <c r="A42" s="15" t="n">
        <v>8656201</v>
      </c>
      <c r="B42" s="10" t="n">
        <v>12</v>
      </c>
      <c r="C42" s="12" t="n">
        <v>6.12</v>
      </c>
      <c r="D42" s="12" t="n">
        <v>10</v>
      </c>
      <c r="E42" s="12" t="n">
        <v>1.13</v>
      </c>
      <c r="F42" s="12" t="n">
        <v>0.6</v>
      </c>
      <c r="G42" s="12" t="n">
        <v>1</v>
      </c>
      <c r="H42" s="12" t="n">
        <v>0</v>
      </c>
      <c r="I42" s="12" t="n">
        <v>0.94</v>
      </c>
      <c r="J42" s="12" t="n">
        <v>0.46</v>
      </c>
      <c r="K42" s="12" t="n">
        <v>2</v>
      </c>
    </row>
    <row r="43" customFormat="false" ht="15.75" hidden="false" customHeight="false" outlineLevel="0" collapsed="false">
      <c r="A43" s="15" t="n">
        <v>9805320</v>
      </c>
      <c r="B43" s="10" t="n">
        <v>12</v>
      </c>
      <c r="C43" s="12" t="n">
        <v>6.2</v>
      </c>
      <c r="D43" s="12" t="n">
        <v>10</v>
      </c>
      <c r="E43" s="12" t="n">
        <v>1.13</v>
      </c>
      <c r="F43" s="12" t="n">
        <v>0.6</v>
      </c>
      <c r="G43" s="12" t="n">
        <v>1</v>
      </c>
      <c r="H43" s="12" t="n">
        <v>0.5</v>
      </c>
      <c r="I43" s="12" t="n">
        <v>0.56</v>
      </c>
      <c r="J43" s="12" t="n">
        <v>0.42</v>
      </c>
      <c r="K43" s="12" t="n">
        <v>2</v>
      </c>
    </row>
    <row r="44" customFormat="false" ht="15.75" hidden="false" customHeight="false" outlineLevel="0" collapsed="false">
      <c r="A44" s="15" t="n">
        <v>9790781</v>
      </c>
      <c r="B44" s="10" t="n">
        <v>12</v>
      </c>
      <c r="C44" s="12" t="n">
        <v>6.12</v>
      </c>
      <c r="D44" s="12" t="n">
        <v>10</v>
      </c>
      <c r="E44" s="12" t="n">
        <v>1.13</v>
      </c>
      <c r="F44" s="12" t="n">
        <v>0.6</v>
      </c>
      <c r="G44" s="12" t="n">
        <v>1</v>
      </c>
      <c r="H44" s="12" t="n">
        <v>0</v>
      </c>
      <c r="I44" s="12" t="n">
        <v>0.94</v>
      </c>
      <c r="J44" s="12" t="n">
        <v>0.46</v>
      </c>
      <c r="K44" s="12" t="n">
        <v>2</v>
      </c>
    </row>
    <row r="45" customFormat="false" ht="15.75" hidden="false" customHeight="false" outlineLevel="0" collapsed="false">
      <c r="A45" s="15" t="n">
        <v>10276661</v>
      </c>
      <c r="B45" s="10" t="n">
        <v>12</v>
      </c>
      <c r="C45" s="12" t="n">
        <v>6.15</v>
      </c>
      <c r="D45" s="12" t="n">
        <v>10</v>
      </c>
      <c r="E45" s="12" t="n">
        <v>1.13</v>
      </c>
      <c r="F45" s="12" t="n">
        <v>0</v>
      </c>
      <c r="G45" s="12" t="n">
        <v>1</v>
      </c>
      <c r="H45" s="12" t="n">
        <v>0.75</v>
      </c>
      <c r="I45" s="12" t="n">
        <v>0.94</v>
      </c>
      <c r="J45" s="12" t="n">
        <v>0.33</v>
      </c>
      <c r="K45" s="12" t="n">
        <v>2</v>
      </c>
    </row>
    <row r="46" customFormat="false" ht="15.75" hidden="false" customHeight="false" outlineLevel="0" collapsed="false">
      <c r="A46" s="15" t="n">
        <v>9842913</v>
      </c>
      <c r="B46" s="10" t="n">
        <v>12.5</v>
      </c>
      <c r="C46" s="12" t="n">
        <v>6.46</v>
      </c>
      <c r="D46" s="12" t="n">
        <v>10</v>
      </c>
      <c r="E46" s="12" t="n">
        <v>1.5</v>
      </c>
      <c r="F46" s="12" t="n">
        <v>1</v>
      </c>
      <c r="G46" s="12" t="n">
        <v>1</v>
      </c>
      <c r="H46" s="12" t="n">
        <v>0</v>
      </c>
      <c r="I46" s="12" t="n">
        <v>1.13</v>
      </c>
      <c r="J46" s="12" t="n">
        <v>0.33</v>
      </c>
      <c r="K46" s="12" t="n">
        <v>1.5</v>
      </c>
    </row>
    <row r="47" customFormat="false" ht="15.75" hidden="false" customHeight="false" outlineLevel="0" collapsed="false">
      <c r="A47" s="15" t="n">
        <v>10377538</v>
      </c>
      <c r="B47" s="10" t="n">
        <v>13</v>
      </c>
      <c r="C47" s="12" t="n">
        <v>6.5</v>
      </c>
      <c r="D47" s="12" t="n">
        <v>10</v>
      </c>
      <c r="E47" s="12" t="n">
        <v>0.38</v>
      </c>
      <c r="F47" s="17"/>
      <c r="G47" s="12" t="n">
        <v>1</v>
      </c>
      <c r="H47" s="12" t="n">
        <v>1.5</v>
      </c>
      <c r="I47" s="12" t="n">
        <v>1.13</v>
      </c>
      <c r="J47" s="12" t="n">
        <v>0.5</v>
      </c>
      <c r="K47" s="12" t="n">
        <v>2</v>
      </c>
    </row>
    <row r="48" customFormat="false" ht="15.75" hidden="false" customHeight="false" outlineLevel="0" collapsed="false">
      <c r="A48" s="15" t="n">
        <v>9065750</v>
      </c>
      <c r="B48" s="10" t="n">
        <v>13</v>
      </c>
      <c r="C48" s="12" t="n">
        <v>6.68</v>
      </c>
      <c r="D48" s="12" t="n">
        <v>10</v>
      </c>
      <c r="E48" s="12" t="n">
        <v>0.75</v>
      </c>
      <c r="F48" s="12" t="n">
        <v>0.6</v>
      </c>
      <c r="G48" s="12" t="n">
        <v>1</v>
      </c>
      <c r="H48" s="12" t="n">
        <v>0.5</v>
      </c>
      <c r="I48" s="12" t="n">
        <v>1.5</v>
      </c>
      <c r="J48" s="12" t="n">
        <v>0.33</v>
      </c>
      <c r="K48" s="12" t="n">
        <v>2</v>
      </c>
    </row>
    <row r="49" customFormat="false" ht="15.75" hidden="false" customHeight="false" outlineLevel="0" collapsed="false">
      <c r="A49" s="15" t="n">
        <v>10276928</v>
      </c>
      <c r="B49" s="10" t="n">
        <v>13.5</v>
      </c>
      <c r="C49" s="12" t="n">
        <v>6.77</v>
      </c>
      <c r="D49" s="12" t="n">
        <v>10</v>
      </c>
      <c r="E49" s="12" t="n">
        <v>0.38</v>
      </c>
      <c r="F49" s="12" t="n">
        <v>2</v>
      </c>
      <c r="G49" s="12" t="n">
        <v>1</v>
      </c>
      <c r="H49" s="12" t="n">
        <v>0.5</v>
      </c>
      <c r="I49" s="12" t="n">
        <v>0.56</v>
      </c>
      <c r="J49" s="12" t="n">
        <v>0.33</v>
      </c>
      <c r="K49" s="12" t="n">
        <v>2</v>
      </c>
    </row>
    <row r="50" customFormat="false" ht="15.75" hidden="false" customHeight="false" outlineLevel="0" collapsed="false">
      <c r="A50" s="15" t="n">
        <v>10351992</v>
      </c>
      <c r="B50" s="10" t="n">
        <v>14</v>
      </c>
      <c r="C50" s="12" t="n">
        <v>7.02</v>
      </c>
      <c r="D50" s="12" t="n">
        <v>10</v>
      </c>
      <c r="E50" s="12" t="n">
        <v>1.13</v>
      </c>
      <c r="F50" s="12" t="n">
        <v>0.6</v>
      </c>
      <c r="G50" s="12" t="n">
        <v>1</v>
      </c>
      <c r="H50" s="12" t="n">
        <v>0.5</v>
      </c>
      <c r="I50" s="12" t="n">
        <v>1.5</v>
      </c>
      <c r="J50" s="12" t="n">
        <v>0.29</v>
      </c>
      <c r="K50" s="12" t="n">
        <v>2</v>
      </c>
    </row>
    <row r="51" customFormat="false" ht="15.75" hidden="false" customHeight="false" outlineLevel="0" collapsed="false">
      <c r="A51" s="15" t="n">
        <v>10377688</v>
      </c>
      <c r="B51" s="10" t="n">
        <v>14.5</v>
      </c>
      <c r="C51" s="12" t="n">
        <v>7.38</v>
      </c>
      <c r="D51" s="12" t="n">
        <v>10</v>
      </c>
      <c r="E51" s="12" t="n">
        <v>1.5</v>
      </c>
      <c r="F51" s="12" t="n">
        <v>1</v>
      </c>
      <c r="G51" s="12" t="n">
        <v>1</v>
      </c>
      <c r="H51" s="12" t="n">
        <v>1.5</v>
      </c>
      <c r="I51" s="12" t="n">
        <v>1.5</v>
      </c>
      <c r="J51" s="12" t="n">
        <v>0.38</v>
      </c>
      <c r="K51" s="12" t="n">
        <v>0.5</v>
      </c>
    </row>
    <row r="52" customFormat="false" ht="15.75" hidden="false" customHeight="false" outlineLevel="0" collapsed="false">
      <c r="A52" s="15" t="n">
        <v>10277022</v>
      </c>
      <c r="B52" s="10" t="n">
        <v>14.5</v>
      </c>
      <c r="C52" s="12" t="n">
        <v>7.33</v>
      </c>
      <c r="D52" s="12" t="n">
        <v>10</v>
      </c>
      <c r="E52" s="12" t="n">
        <v>1.13</v>
      </c>
      <c r="F52" s="12" t="n">
        <v>1</v>
      </c>
      <c r="G52" s="12" t="n">
        <v>1</v>
      </c>
      <c r="H52" s="12" t="n">
        <v>0.5</v>
      </c>
      <c r="I52" s="12" t="n">
        <v>1.5</v>
      </c>
      <c r="J52" s="12" t="n">
        <v>0.21</v>
      </c>
      <c r="K52" s="12" t="n">
        <v>2</v>
      </c>
    </row>
    <row r="53" customFormat="false" ht="15.75" hidden="false" customHeight="false" outlineLevel="0" collapsed="false">
      <c r="A53" s="15" t="n">
        <v>10276675</v>
      </c>
      <c r="B53" s="10" t="n">
        <v>14.5</v>
      </c>
      <c r="C53" s="12" t="n">
        <v>7.35</v>
      </c>
      <c r="D53" s="12" t="n">
        <v>10</v>
      </c>
      <c r="E53" s="12" t="n">
        <v>0.75</v>
      </c>
      <c r="F53" s="12" t="n">
        <v>2</v>
      </c>
      <c r="G53" s="12" t="n">
        <v>1</v>
      </c>
      <c r="H53" s="12" t="n">
        <v>0.75</v>
      </c>
      <c r="I53" s="12" t="n">
        <v>0.56</v>
      </c>
      <c r="J53" s="12" t="n">
        <v>0.29</v>
      </c>
      <c r="K53" s="12" t="n">
        <v>2</v>
      </c>
    </row>
    <row r="54" customFormat="false" ht="15.75" hidden="false" customHeight="false" outlineLevel="0" collapsed="false">
      <c r="A54" s="15" t="n">
        <v>10277040</v>
      </c>
      <c r="B54" s="10" t="n">
        <v>15</v>
      </c>
      <c r="C54" s="12" t="n">
        <v>7.59</v>
      </c>
      <c r="D54" s="12" t="n">
        <v>10</v>
      </c>
      <c r="E54" s="12" t="n">
        <v>1</v>
      </c>
      <c r="F54" s="12" t="n">
        <v>2</v>
      </c>
      <c r="G54" s="12" t="n">
        <v>1</v>
      </c>
      <c r="H54" s="12" t="n">
        <v>0.5</v>
      </c>
      <c r="I54" s="12" t="n">
        <v>0.94</v>
      </c>
      <c r="J54" s="12" t="n">
        <v>0.38</v>
      </c>
      <c r="K54" s="12" t="n">
        <v>1.78</v>
      </c>
    </row>
    <row r="55" customFormat="false" ht="15.75" hidden="false" customHeight="false" outlineLevel="0" collapsed="false">
      <c r="A55" s="15" t="n">
        <v>10273971</v>
      </c>
      <c r="B55" s="10" t="n">
        <v>15</v>
      </c>
      <c r="C55" s="12" t="n">
        <v>7.67</v>
      </c>
      <c r="D55" s="12" t="n">
        <v>10</v>
      </c>
      <c r="E55" s="12" t="n">
        <v>0.75</v>
      </c>
      <c r="F55" s="12" t="n">
        <v>2</v>
      </c>
      <c r="G55" s="12" t="n">
        <v>1</v>
      </c>
      <c r="H55" s="12" t="n">
        <v>0.5</v>
      </c>
      <c r="I55" s="12" t="n">
        <v>1.13</v>
      </c>
      <c r="J55" s="12" t="n">
        <v>0.29</v>
      </c>
      <c r="K55" s="12" t="n">
        <v>2</v>
      </c>
    </row>
    <row r="56" customFormat="false" ht="15.75" hidden="false" customHeight="false" outlineLevel="0" collapsed="false">
      <c r="A56" s="15" t="n">
        <v>10310700</v>
      </c>
      <c r="B56" s="10" t="n">
        <v>15.5</v>
      </c>
      <c r="C56" s="12" t="n">
        <v>7.95</v>
      </c>
      <c r="D56" s="12" t="n">
        <v>10</v>
      </c>
      <c r="E56" s="12" t="n">
        <v>1.5</v>
      </c>
      <c r="F56" s="12" t="n">
        <v>0.6</v>
      </c>
      <c r="G56" s="12" t="n">
        <v>1</v>
      </c>
      <c r="H56" s="12" t="n">
        <v>1.5</v>
      </c>
      <c r="I56" s="12" t="n">
        <v>0.94</v>
      </c>
      <c r="J56" s="12" t="n">
        <v>0.42</v>
      </c>
      <c r="K56" s="12" t="n">
        <v>2</v>
      </c>
    </row>
    <row r="57" customFormat="false" ht="15.75" hidden="false" customHeight="false" outlineLevel="0" collapsed="false">
      <c r="A57" s="15" t="n">
        <v>10276960</v>
      </c>
      <c r="B57" s="10" t="n">
        <v>15.5</v>
      </c>
      <c r="C57" s="12" t="n">
        <v>7.95</v>
      </c>
      <c r="D57" s="12" t="n">
        <v>10</v>
      </c>
      <c r="E57" s="12" t="n">
        <v>1.5</v>
      </c>
      <c r="F57" s="12" t="n">
        <v>0.6</v>
      </c>
      <c r="G57" s="12" t="n">
        <v>1</v>
      </c>
      <c r="H57" s="12" t="n">
        <v>1.5</v>
      </c>
      <c r="I57" s="12" t="n">
        <v>0.94</v>
      </c>
      <c r="J57" s="12" t="n">
        <v>0.42</v>
      </c>
      <c r="K57" s="12" t="n">
        <v>2</v>
      </c>
    </row>
    <row r="58" customFormat="false" ht="15.75" hidden="false" customHeight="false" outlineLevel="0" collapsed="false">
      <c r="A58" s="15" t="n">
        <v>10310721</v>
      </c>
      <c r="B58" s="10" t="n">
        <v>15.5</v>
      </c>
      <c r="C58" s="12" t="n">
        <v>7.82</v>
      </c>
      <c r="D58" s="12" t="n">
        <v>10</v>
      </c>
      <c r="E58" s="12" t="n">
        <v>1.13</v>
      </c>
      <c r="F58" s="12" t="n">
        <v>2</v>
      </c>
      <c r="G58" s="12" t="n">
        <v>1</v>
      </c>
      <c r="H58" s="12" t="n">
        <v>0.5</v>
      </c>
      <c r="I58" s="12" t="n">
        <v>1.5</v>
      </c>
      <c r="J58" s="12" t="n">
        <v>0.42</v>
      </c>
      <c r="K58" s="12" t="n">
        <v>1.28</v>
      </c>
    </row>
    <row r="59" customFormat="false" ht="15.75" hidden="false" customHeight="false" outlineLevel="0" collapsed="false">
      <c r="A59" s="15" t="n">
        <v>10310471</v>
      </c>
      <c r="B59" s="10" t="n">
        <v>16</v>
      </c>
      <c r="C59" s="12" t="n">
        <v>8.04</v>
      </c>
      <c r="D59" s="12" t="n">
        <v>10</v>
      </c>
      <c r="E59" s="12" t="n">
        <v>1.5</v>
      </c>
      <c r="F59" s="12" t="n">
        <v>2</v>
      </c>
      <c r="G59" s="12" t="n">
        <v>1</v>
      </c>
      <c r="H59" s="12" t="n">
        <v>0.5</v>
      </c>
      <c r="I59" s="12" t="n">
        <v>0.75</v>
      </c>
      <c r="J59" s="12" t="n">
        <v>0.29</v>
      </c>
      <c r="K59" s="12" t="n">
        <v>2</v>
      </c>
    </row>
    <row r="60" customFormat="false" ht="15.75" hidden="false" customHeight="false" outlineLevel="0" collapsed="false">
      <c r="A60" s="15" t="n">
        <v>9311643</v>
      </c>
      <c r="B60" s="10" t="n">
        <v>17</v>
      </c>
      <c r="C60" s="12" t="n">
        <v>8.5</v>
      </c>
      <c r="D60" s="12" t="n">
        <v>10</v>
      </c>
      <c r="E60" s="12" t="n">
        <v>1.5</v>
      </c>
      <c r="F60" s="12" t="n">
        <v>1</v>
      </c>
      <c r="G60" s="12" t="n">
        <v>1</v>
      </c>
      <c r="H60" s="12" t="n">
        <v>1.5</v>
      </c>
      <c r="I60" s="12" t="n">
        <v>1.5</v>
      </c>
      <c r="J60" s="12" t="n">
        <v>0.5</v>
      </c>
      <c r="K60" s="12" t="n">
        <v>1.5</v>
      </c>
    </row>
    <row r="61" customFormat="false" ht="15.75" hidden="false" customHeight="false" outlineLevel="0" collapsed="false">
      <c r="A61" s="15" t="n">
        <v>10276720</v>
      </c>
      <c r="B61" s="10" t="n">
        <v>18</v>
      </c>
      <c r="C61" s="12" t="n">
        <v>9.19</v>
      </c>
      <c r="D61" s="12" t="n">
        <v>10</v>
      </c>
      <c r="E61" s="12" t="n">
        <v>1.5</v>
      </c>
      <c r="F61" s="12" t="n">
        <v>2</v>
      </c>
      <c r="G61" s="12" t="n">
        <v>1</v>
      </c>
      <c r="H61" s="12" t="n">
        <v>1.5</v>
      </c>
      <c r="I61" s="12" t="n">
        <v>0.94</v>
      </c>
      <c r="J61" s="12" t="n">
        <v>0.25</v>
      </c>
      <c r="K61" s="12" t="n">
        <v>2</v>
      </c>
    </row>
    <row r="62" customFormat="false" ht="15.75" hidden="false" customHeight="false" outlineLevel="0" collapsed="false">
      <c r="A62" s="15" t="n">
        <v>10276911</v>
      </c>
      <c r="B62" s="10" t="n">
        <v>18.5</v>
      </c>
      <c r="C62" s="12" t="n">
        <v>9.46</v>
      </c>
      <c r="D62" s="12" t="n">
        <v>10</v>
      </c>
      <c r="E62" s="12" t="n">
        <v>1.13</v>
      </c>
      <c r="F62" s="12" t="n">
        <v>2</v>
      </c>
      <c r="G62" s="12" t="n">
        <v>1</v>
      </c>
      <c r="H62" s="12" t="n">
        <v>1.5</v>
      </c>
      <c r="I62" s="12" t="n">
        <v>1.5</v>
      </c>
      <c r="J62" s="12" t="n">
        <v>0.33</v>
      </c>
      <c r="K62" s="12" t="n">
        <v>2</v>
      </c>
    </row>
    <row r="63" customFormat="false" ht="15.75" hidden="false" customHeight="false" outlineLevel="0" collapsed="false">
      <c r="A63" s="15" t="n">
        <v>9795185</v>
      </c>
      <c r="B63" s="10" t="n">
        <v>19</v>
      </c>
      <c r="C63" s="12" t="n">
        <v>9.54</v>
      </c>
      <c r="D63" s="12" t="n">
        <v>10</v>
      </c>
      <c r="E63" s="12" t="n">
        <v>1.13</v>
      </c>
      <c r="F63" s="12" t="n">
        <v>2</v>
      </c>
      <c r="G63" s="12" t="n">
        <v>1</v>
      </c>
      <c r="H63" s="12" t="n">
        <v>1.5</v>
      </c>
      <c r="I63" s="12" t="n">
        <v>1.5</v>
      </c>
      <c r="J63" s="12" t="n">
        <v>0.42</v>
      </c>
      <c r="K63" s="12" t="n">
        <v>2</v>
      </c>
    </row>
    <row r="64" customFormat="false" ht="15.75" hidden="false" customHeight="false" outlineLevel="0" collapsed="false">
      <c r="A64" s="15" t="n">
        <v>10276932</v>
      </c>
      <c r="B64" s="10" t="n">
        <v>19</v>
      </c>
      <c r="C64" s="12" t="n">
        <v>9.54</v>
      </c>
      <c r="D64" s="12" t="n">
        <v>10</v>
      </c>
      <c r="E64" s="12" t="n">
        <v>1.13</v>
      </c>
      <c r="F64" s="12" t="n">
        <v>2</v>
      </c>
      <c r="G64" s="12" t="n">
        <v>1</v>
      </c>
      <c r="H64" s="12" t="n">
        <v>1.5</v>
      </c>
      <c r="I64" s="12" t="n">
        <v>1.5</v>
      </c>
      <c r="J64" s="12" t="n">
        <v>0.42</v>
      </c>
      <c r="K64" s="12" t="n">
        <v>2</v>
      </c>
    </row>
    <row r="65" customFormat="false" ht="15.75" hidden="false" customHeight="false" outlineLevel="0" collapsed="false">
      <c r="A65" s="15" t="n">
        <v>698531</v>
      </c>
      <c r="B65" s="10" t="n">
        <v>19.5</v>
      </c>
      <c r="C65" s="12" t="n">
        <v>9.83</v>
      </c>
      <c r="D65" s="12" t="n">
        <v>10</v>
      </c>
      <c r="E65" s="12" t="n">
        <v>1.5</v>
      </c>
      <c r="F65" s="12" t="n">
        <v>2</v>
      </c>
      <c r="G65" s="12" t="n">
        <v>1</v>
      </c>
      <c r="H65" s="12" t="n">
        <v>1.5</v>
      </c>
      <c r="I65" s="12" t="n">
        <v>1.5</v>
      </c>
      <c r="J65" s="12" t="n">
        <v>0.33</v>
      </c>
      <c r="K65" s="12" t="n">
        <v>2</v>
      </c>
    </row>
    <row r="66" customFormat="false" ht="15.75" hidden="false" customHeight="false" outlineLevel="0" collapsed="false">
      <c r="A66" s="15" t="n">
        <v>10276995</v>
      </c>
      <c r="B66" s="10" t="n">
        <v>19.5</v>
      </c>
      <c r="C66" s="12" t="n">
        <v>9.92</v>
      </c>
      <c r="D66" s="12" t="n">
        <v>10</v>
      </c>
      <c r="E66" s="12" t="n">
        <v>1.5</v>
      </c>
      <c r="F66" s="12" t="n">
        <v>2</v>
      </c>
      <c r="G66" s="12" t="n">
        <v>1</v>
      </c>
      <c r="H66" s="12" t="n">
        <v>1.5</v>
      </c>
      <c r="I66" s="12" t="n">
        <v>1.5</v>
      </c>
      <c r="J66" s="12" t="n">
        <v>0.42</v>
      </c>
      <c r="K66" s="12" t="n">
        <v>2</v>
      </c>
    </row>
    <row r="67" customFormat="false" ht="15.75" hidden="false" customHeight="false" outlineLevel="0" collapsed="false">
      <c r="A67" s="15" t="n">
        <v>10276762</v>
      </c>
      <c r="B67" s="10" t="n">
        <v>19.5</v>
      </c>
      <c r="C67" s="12" t="n">
        <v>9.83</v>
      </c>
      <c r="D67" s="12" t="n">
        <v>10</v>
      </c>
      <c r="E67" s="12" t="n">
        <v>1.5</v>
      </c>
      <c r="F67" s="12" t="n">
        <v>2</v>
      </c>
      <c r="G67" s="12" t="n">
        <v>1</v>
      </c>
      <c r="H67" s="12" t="n">
        <v>1.5</v>
      </c>
      <c r="I67" s="12" t="n">
        <v>1.5</v>
      </c>
      <c r="J67" s="12" t="n">
        <v>0.33</v>
      </c>
      <c r="K67" s="12" t="n">
        <v>2</v>
      </c>
    </row>
    <row r="68" customFormat="false" ht="15.75" hidden="false" customHeight="false" outlineLevel="0" collapsed="false">
      <c r="A68" s="15" t="n">
        <v>10262669</v>
      </c>
      <c r="B68" s="10" t="n">
        <v>19.5</v>
      </c>
      <c r="C68" s="12" t="n">
        <v>9.83</v>
      </c>
      <c r="D68" s="12" t="n">
        <v>10</v>
      </c>
      <c r="E68" s="12" t="n">
        <v>1.5</v>
      </c>
      <c r="F68" s="12" t="n">
        <v>2</v>
      </c>
      <c r="G68" s="12" t="n">
        <v>1</v>
      </c>
      <c r="H68" s="12" t="n">
        <v>1.5</v>
      </c>
      <c r="I68" s="12" t="n">
        <v>1.5</v>
      </c>
      <c r="J68" s="12" t="n">
        <v>0.33</v>
      </c>
      <c r="K68" s="12" t="n">
        <v>2</v>
      </c>
    </row>
    <row r="69" customFormat="false" ht="15.75" hidden="false" customHeight="false" outlineLevel="0" collapsed="false">
      <c r="A69" s="15" t="n">
        <v>9805341</v>
      </c>
      <c r="B69" s="10" t="n">
        <v>19.5</v>
      </c>
      <c r="C69" s="12" t="n">
        <v>9.92</v>
      </c>
      <c r="D69" s="12" t="n">
        <v>10</v>
      </c>
      <c r="E69" s="12" t="n">
        <v>1.5</v>
      </c>
      <c r="F69" s="12" t="n">
        <v>2</v>
      </c>
      <c r="G69" s="12" t="n">
        <v>1</v>
      </c>
      <c r="H69" s="12" t="n">
        <v>1.5</v>
      </c>
      <c r="I69" s="12" t="n">
        <v>1.5</v>
      </c>
      <c r="J69" s="12" t="n">
        <v>0.42</v>
      </c>
      <c r="K69" s="12" t="n">
        <v>2</v>
      </c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4.48046875" defaultRowHeight="15.75" zeroHeight="false" outlineLevelRow="0" outlineLevelCol="0"/>
  <cols>
    <col collapsed="false" customWidth="true" hidden="false" outlineLevel="0" max="2" min="2" style="0" width="11.71"/>
    <col collapsed="false" customWidth="true" hidden="false" outlineLevel="0" max="5" min="5" style="0" width="19.57"/>
    <col collapsed="false" customWidth="true" hidden="false" outlineLevel="0" max="6" min="6" style="0" width="14.86"/>
    <col collapsed="false" customWidth="true" hidden="false" outlineLevel="0" max="7" min="7" style="0" width="17.86"/>
    <col collapsed="false" customWidth="true" hidden="false" outlineLevel="0" max="8" min="8" style="0" width="22.01"/>
    <col collapsed="false" customWidth="true" hidden="false" outlineLevel="0" max="9" min="9" style="0" width="20.3"/>
    <col collapsed="false" customWidth="true" hidden="false" outlineLevel="0" max="10" min="10" style="0" width="23.71"/>
    <col collapsed="false" customWidth="true" hidden="false" outlineLevel="0" max="11" min="11" style="0" width="22.01"/>
    <col collapsed="false" customWidth="true" hidden="false" outlineLevel="0" max="12" min="12" style="0" width="24.71"/>
    <col collapsed="false" customWidth="true" hidden="false" outlineLevel="0" max="13" min="13" style="0" width="23.01"/>
  </cols>
  <sheetData>
    <row r="1" customFormat="false" ht="15.7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30</v>
      </c>
      <c r="F1" s="8" t="s">
        <v>17</v>
      </c>
      <c r="G1" s="8" t="s">
        <v>18</v>
      </c>
      <c r="H1" s="8" t="s">
        <v>19</v>
      </c>
      <c r="I1" s="8" t="s">
        <v>31</v>
      </c>
      <c r="J1" s="8" t="s">
        <v>20</v>
      </c>
      <c r="K1" s="8" t="s">
        <v>28</v>
      </c>
      <c r="L1" s="8" t="s">
        <v>21</v>
      </c>
      <c r="M1" s="8" t="s">
        <v>32</v>
      </c>
    </row>
    <row r="2" customFormat="false" ht="15.75" hidden="false" customHeight="false" outlineLevel="0" collapsed="false">
      <c r="A2" s="9"/>
      <c r="B2" s="10" t="n">
        <v>20</v>
      </c>
      <c r="C2" s="11" t="s">
        <v>14</v>
      </c>
      <c r="D2" s="11"/>
      <c r="E2" s="12" t="n">
        <v>1</v>
      </c>
      <c r="F2" s="12" t="n">
        <v>1.1</v>
      </c>
      <c r="G2" s="12" t="n">
        <v>1</v>
      </c>
      <c r="H2" s="12" t="n">
        <v>1.4</v>
      </c>
      <c r="I2" s="12" t="n">
        <v>1.3</v>
      </c>
      <c r="J2" s="12" t="n">
        <v>0.7</v>
      </c>
      <c r="K2" s="12" t="n">
        <v>0.6</v>
      </c>
      <c r="L2" s="12" t="n">
        <v>0.9</v>
      </c>
      <c r="M2" s="12" t="n">
        <v>0.8</v>
      </c>
    </row>
    <row r="3" customFormat="false" ht="15.75" hidden="false" customHeight="false" outlineLevel="0" collapsed="false">
      <c r="A3" s="9"/>
      <c r="B3" s="10" t="n">
        <v>16.1</v>
      </c>
      <c r="C3" s="11" t="s">
        <v>22</v>
      </c>
      <c r="D3" s="11"/>
      <c r="E3" s="13" t="n">
        <v>0.81</v>
      </c>
      <c r="F3" s="13" t="n">
        <v>0.68</v>
      </c>
      <c r="G3" s="13" t="n">
        <v>0.96</v>
      </c>
      <c r="H3" s="13" t="n">
        <v>0.63</v>
      </c>
      <c r="I3" s="13" t="n">
        <v>0.91</v>
      </c>
      <c r="J3" s="13" t="n">
        <v>0.9</v>
      </c>
      <c r="K3" s="13" t="n">
        <v>0.87</v>
      </c>
      <c r="L3" s="13" t="n">
        <v>0.82</v>
      </c>
      <c r="M3" s="13" t="n">
        <v>0.89</v>
      </c>
    </row>
    <row r="4" customFormat="false" ht="15.75" hidden="false" customHeight="false" outlineLevel="0" collapsed="false">
      <c r="A4" s="15" t="n">
        <v>10310492</v>
      </c>
      <c r="B4" s="11" t="s">
        <v>23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customFormat="false" ht="15.75" hidden="false" customHeight="false" outlineLevel="0" collapsed="false">
      <c r="A5" s="15" t="n">
        <v>9755822</v>
      </c>
      <c r="B5" s="11" t="s">
        <v>23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customFormat="false" ht="15.75" hidden="false" customHeight="false" outlineLevel="0" collapsed="false">
      <c r="A6" s="15" t="n">
        <v>10310662</v>
      </c>
      <c r="B6" s="11" t="s">
        <v>23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customFormat="false" ht="15.75" hidden="false" customHeight="false" outlineLevel="0" collapsed="false">
      <c r="A7" s="15" t="n">
        <v>9311643</v>
      </c>
      <c r="B7" s="11" t="s">
        <v>23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customFormat="false" ht="15.75" hidden="false" customHeight="false" outlineLevel="0" collapsed="false">
      <c r="A8" s="15" t="n">
        <v>10277001</v>
      </c>
      <c r="B8" s="11" t="s">
        <v>23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customFormat="false" ht="15.75" hidden="false" customHeight="false" outlineLevel="0" collapsed="false">
      <c r="A9" s="15" t="n">
        <v>9424506</v>
      </c>
      <c r="B9" s="11" t="s">
        <v>23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customFormat="false" ht="15.75" hidden="false" customHeight="false" outlineLevel="0" collapsed="false">
      <c r="A10" s="15" t="n">
        <v>9292462</v>
      </c>
      <c r="B10" s="11" t="s">
        <v>23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customFormat="false" ht="15.75" hidden="false" customHeight="false" outlineLevel="0" collapsed="false">
      <c r="A11" s="15" t="n">
        <v>10273971</v>
      </c>
      <c r="B11" s="11" t="s">
        <v>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customFormat="false" ht="15.75" hidden="false" customHeight="false" outlineLevel="0" collapsed="false">
      <c r="A12" s="15" t="n">
        <v>9846222</v>
      </c>
      <c r="B12" s="11" t="s">
        <v>23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customFormat="false" ht="15.75" hidden="false" customHeight="false" outlineLevel="0" collapsed="false">
      <c r="A13" s="15" t="n">
        <v>9921470</v>
      </c>
      <c r="B13" s="10" t="n">
        <v>4</v>
      </c>
      <c r="C13" s="12" t="n">
        <v>1.84</v>
      </c>
      <c r="D13" s="12" t="n">
        <v>8.8</v>
      </c>
      <c r="E13" s="12" t="n">
        <v>0</v>
      </c>
      <c r="F13" s="12" t="n">
        <v>0.18</v>
      </c>
      <c r="G13" s="12" t="n">
        <v>0.5</v>
      </c>
      <c r="H13" s="12" t="n">
        <v>0</v>
      </c>
      <c r="I13" s="12" t="n">
        <v>0</v>
      </c>
      <c r="J13" s="12" t="n">
        <v>0.32</v>
      </c>
      <c r="K13" s="12" t="n">
        <v>0.03</v>
      </c>
      <c r="L13" s="12" t="n">
        <v>0</v>
      </c>
      <c r="M13" s="12" t="n">
        <v>0.8</v>
      </c>
    </row>
    <row r="14" customFormat="false" ht="15.75" hidden="false" customHeight="false" outlineLevel="0" collapsed="false">
      <c r="A14" s="15" t="n">
        <v>9082496</v>
      </c>
      <c r="B14" s="10" t="n">
        <v>9</v>
      </c>
      <c r="C14" s="12" t="n">
        <v>4</v>
      </c>
      <c r="D14" s="12" t="n">
        <v>8.8</v>
      </c>
      <c r="E14" s="12" t="n">
        <v>0</v>
      </c>
      <c r="F14" s="12" t="n">
        <v>0.18</v>
      </c>
      <c r="G14" s="12" t="n">
        <v>1</v>
      </c>
      <c r="H14" s="12" t="n">
        <v>0.47</v>
      </c>
      <c r="I14" s="12" t="n">
        <v>1.3</v>
      </c>
      <c r="J14" s="12" t="n">
        <v>0.56</v>
      </c>
      <c r="K14" s="12" t="n">
        <v>0.38</v>
      </c>
      <c r="L14" s="12" t="n">
        <v>0</v>
      </c>
      <c r="M14" s="12" t="n">
        <v>0.11</v>
      </c>
    </row>
    <row r="15" customFormat="false" ht="15.75" hidden="false" customHeight="false" outlineLevel="0" collapsed="false">
      <c r="A15" s="15" t="n">
        <v>10276852</v>
      </c>
      <c r="B15" s="10" t="n">
        <v>10.5</v>
      </c>
      <c r="C15" s="12" t="n">
        <v>4.79</v>
      </c>
      <c r="D15" s="12" t="n">
        <v>8.8</v>
      </c>
      <c r="E15" s="12" t="n">
        <v>0.5</v>
      </c>
      <c r="F15" s="12" t="n">
        <v>0.18</v>
      </c>
      <c r="G15" s="12" t="n">
        <v>1</v>
      </c>
      <c r="H15" s="12" t="n">
        <v>0</v>
      </c>
      <c r="I15" s="12" t="n">
        <v>1.3</v>
      </c>
      <c r="J15" s="12" t="n">
        <v>0.22</v>
      </c>
      <c r="K15" s="12" t="n">
        <v>0.32</v>
      </c>
      <c r="L15" s="12" t="n">
        <v>0.9</v>
      </c>
      <c r="M15" s="12" t="n">
        <v>0.37</v>
      </c>
    </row>
    <row r="16" customFormat="false" ht="15.75" hidden="false" customHeight="false" outlineLevel="0" collapsed="false">
      <c r="A16" s="15" t="n">
        <v>10310676</v>
      </c>
      <c r="B16" s="10" t="n">
        <v>11.5</v>
      </c>
      <c r="C16" s="12" t="n">
        <v>5.24</v>
      </c>
      <c r="D16" s="12" t="n">
        <v>8.8</v>
      </c>
      <c r="E16" s="12" t="n">
        <v>1</v>
      </c>
      <c r="F16" s="12" t="n">
        <v>0.55</v>
      </c>
      <c r="G16" s="12" t="n">
        <v>0</v>
      </c>
      <c r="H16" s="12" t="n">
        <v>0.93</v>
      </c>
      <c r="I16" s="12" t="n">
        <v>0</v>
      </c>
      <c r="J16" s="12" t="n">
        <v>0.7</v>
      </c>
      <c r="K16" s="12" t="n">
        <v>0.36</v>
      </c>
      <c r="L16" s="12" t="n">
        <v>0.9</v>
      </c>
      <c r="M16" s="12" t="n">
        <v>0.8</v>
      </c>
    </row>
    <row r="17" customFormat="false" ht="15.75" hidden="false" customHeight="false" outlineLevel="0" collapsed="false">
      <c r="A17" s="15" t="n">
        <v>10352030</v>
      </c>
      <c r="B17" s="10" t="n">
        <v>13</v>
      </c>
      <c r="C17" s="12" t="n">
        <v>5.93</v>
      </c>
      <c r="D17" s="12" t="n">
        <v>8.8</v>
      </c>
      <c r="E17" s="12" t="n">
        <v>0.75</v>
      </c>
      <c r="F17" s="12" t="n">
        <v>0.18</v>
      </c>
      <c r="G17" s="12" t="n">
        <v>1</v>
      </c>
      <c r="H17" s="12" t="n">
        <v>0</v>
      </c>
      <c r="I17" s="12" t="n">
        <v>1.3</v>
      </c>
      <c r="J17" s="12" t="n">
        <v>0.7</v>
      </c>
      <c r="K17" s="12" t="n">
        <v>0.6</v>
      </c>
      <c r="L17" s="12" t="n">
        <v>0.6</v>
      </c>
      <c r="M17" s="12" t="n">
        <v>0.8</v>
      </c>
    </row>
    <row r="18" customFormat="false" ht="15.75" hidden="false" customHeight="false" outlineLevel="0" collapsed="false">
      <c r="A18" s="15" t="n">
        <v>10276949</v>
      </c>
      <c r="B18" s="10" t="n">
        <v>13.5</v>
      </c>
      <c r="C18" s="12" t="n">
        <v>6.02</v>
      </c>
      <c r="D18" s="12" t="n">
        <v>8.8</v>
      </c>
      <c r="E18" s="12" t="n">
        <v>1</v>
      </c>
      <c r="F18" s="12" t="n">
        <v>0.55</v>
      </c>
      <c r="G18" s="12" t="n">
        <v>1</v>
      </c>
      <c r="H18" s="12" t="n">
        <v>0.47</v>
      </c>
      <c r="I18" s="12" t="n">
        <v>0</v>
      </c>
      <c r="J18" s="12" t="n">
        <v>0.7</v>
      </c>
      <c r="K18" s="12" t="n">
        <v>0.6</v>
      </c>
      <c r="L18" s="12" t="n">
        <v>0.9</v>
      </c>
      <c r="M18" s="12" t="n">
        <v>0.8</v>
      </c>
    </row>
    <row r="19" customFormat="false" ht="15.75" hidden="false" customHeight="false" outlineLevel="0" collapsed="false">
      <c r="A19" s="15" t="n">
        <v>10276737</v>
      </c>
      <c r="B19" s="10" t="n">
        <v>13.5</v>
      </c>
      <c r="C19" s="12" t="n">
        <v>6.11</v>
      </c>
      <c r="D19" s="12" t="n">
        <v>8.8</v>
      </c>
      <c r="E19" s="12" t="n">
        <v>1</v>
      </c>
      <c r="F19" s="12" t="n">
        <v>1.1</v>
      </c>
      <c r="G19" s="12" t="n">
        <v>0</v>
      </c>
      <c r="H19" s="12" t="n">
        <v>1.4</v>
      </c>
      <c r="I19" s="12" t="n">
        <v>0</v>
      </c>
      <c r="J19" s="12" t="n">
        <v>0.7</v>
      </c>
      <c r="K19" s="12" t="n">
        <v>0.48</v>
      </c>
      <c r="L19" s="12" t="n">
        <v>0.9</v>
      </c>
      <c r="M19" s="12" t="n">
        <v>0.53</v>
      </c>
    </row>
    <row r="20" customFormat="false" ht="15.75" hidden="false" customHeight="false" outlineLevel="0" collapsed="false">
      <c r="A20" s="15" t="n">
        <v>10351992</v>
      </c>
      <c r="B20" s="10" t="n">
        <v>13.5</v>
      </c>
      <c r="C20" s="12" t="n">
        <v>6.06</v>
      </c>
      <c r="D20" s="12" t="n">
        <v>8.8</v>
      </c>
      <c r="E20" s="12" t="n">
        <v>0.5</v>
      </c>
      <c r="F20" s="12" t="n">
        <v>0.55</v>
      </c>
      <c r="G20" s="12" t="n">
        <v>1</v>
      </c>
      <c r="H20" s="12" t="n">
        <v>0.47</v>
      </c>
      <c r="I20" s="12" t="n">
        <v>1.3</v>
      </c>
      <c r="J20" s="12" t="n">
        <v>0.56</v>
      </c>
      <c r="K20" s="12" t="n">
        <v>0.6</v>
      </c>
      <c r="L20" s="12" t="n">
        <v>0.6</v>
      </c>
      <c r="M20" s="12" t="n">
        <v>0.48</v>
      </c>
    </row>
    <row r="21" customFormat="false" ht="15.75" hidden="false" customHeight="false" outlineLevel="0" collapsed="false">
      <c r="A21" s="15" t="n">
        <v>10277036</v>
      </c>
      <c r="B21" s="10" t="n">
        <v>13.5</v>
      </c>
      <c r="C21" s="12" t="n">
        <v>6.08</v>
      </c>
      <c r="D21" s="12" t="n">
        <v>8.8</v>
      </c>
      <c r="E21" s="12" t="n">
        <v>0.25</v>
      </c>
      <c r="F21" s="12" t="n">
        <v>0.55</v>
      </c>
      <c r="G21" s="12" t="n">
        <v>1</v>
      </c>
      <c r="H21" s="12" t="n">
        <v>0.47</v>
      </c>
      <c r="I21" s="12" t="n">
        <v>1.3</v>
      </c>
      <c r="J21" s="12" t="n">
        <v>0.7</v>
      </c>
      <c r="K21" s="12" t="n">
        <v>0.38</v>
      </c>
      <c r="L21" s="12" t="n">
        <v>0.9</v>
      </c>
      <c r="M21" s="12" t="n">
        <v>0.53</v>
      </c>
    </row>
    <row r="22" customFormat="false" ht="15.75" hidden="false" customHeight="false" outlineLevel="0" collapsed="false">
      <c r="A22" s="15" t="n">
        <v>8656201</v>
      </c>
      <c r="B22" s="10" t="n">
        <v>14</v>
      </c>
      <c r="C22" s="12" t="n">
        <v>6.3</v>
      </c>
      <c r="D22" s="12" t="n">
        <v>8.8</v>
      </c>
      <c r="E22" s="12" t="n">
        <v>0.5</v>
      </c>
      <c r="F22" s="12" t="n">
        <v>0.55</v>
      </c>
      <c r="G22" s="12" t="n">
        <v>1</v>
      </c>
      <c r="H22" s="12" t="n">
        <v>0.47</v>
      </c>
      <c r="I22" s="12" t="n">
        <v>1.3</v>
      </c>
      <c r="J22" s="12" t="n">
        <v>0.46</v>
      </c>
      <c r="K22" s="12" t="n">
        <v>0.33</v>
      </c>
      <c r="L22" s="12" t="n">
        <v>0.9</v>
      </c>
      <c r="M22" s="12" t="n">
        <v>0.8</v>
      </c>
    </row>
    <row r="23" customFormat="false" ht="15.75" hidden="false" customHeight="false" outlineLevel="0" collapsed="false">
      <c r="A23" s="15" t="n">
        <v>9790781</v>
      </c>
      <c r="B23" s="10" t="n">
        <v>14</v>
      </c>
      <c r="C23" s="12" t="n">
        <v>6.3</v>
      </c>
      <c r="D23" s="12" t="n">
        <v>8.8</v>
      </c>
      <c r="E23" s="12" t="n">
        <v>0.5</v>
      </c>
      <c r="F23" s="12" t="n">
        <v>0.55</v>
      </c>
      <c r="G23" s="12" t="n">
        <v>1</v>
      </c>
      <c r="H23" s="12" t="n">
        <v>0.47</v>
      </c>
      <c r="I23" s="12" t="n">
        <v>1.3</v>
      </c>
      <c r="J23" s="12" t="n">
        <v>0.46</v>
      </c>
      <c r="K23" s="12" t="n">
        <v>0.33</v>
      </c>
      <c r="L23" s="12" t="n">
        <v>0.9</v>
      </c>
      <c r="M23" s="12" t="n">
        <v>0.8</v>
      </c>
    </row>
    <row r="24" customFormat="false" ht="15.75" hidden="false" customHeight="false" outlineLevel="0" collapsed="false">
      <c r="A24" s="15" t="n">
        <v>9363926</v>
      </c>
      <c r="B24" s="10" t="n">
        <v>14</v>
      </c>
      <c r="C24" s="12" t="n">
        <v>6.28</v>
      </c>
      <c r="D24" s="12" t="n">
        <v>8.8</v>
      </c>
      <c r="E24" s="12" t="n">
        <v>1</v>
      </c>
      <c r="F24" s="12" t="n">
        <v>1.1</v>
      </c>
      <c r="G24" s="12" t="n">
        <v>1</v>
      </c>
      <c r="H24" s="12" t="n">
        <v>0</v>
      </c>
      <c r="I24" s="12" t="n">
        <v>1.3</v>
      </c>
      <c r="J24" s="12" t="n">
        <v>0.7</v>
      </c>
      <c r="K24" s="12" t="n">
        <v>0.38</v>
      </c>
      <c r="L24" s="12" t="n">
        <v>0</v>
      </c>
      <c r="M24" s="12" t="n">
        <v>0.8</v>
      </c>
    </row>
    <row r="25" customFormat="false" ht="15.75" hidden="false" customHeight="false" outlineLevel="0" collapsed="false">
      <c r="A25" s="15" t="n">
        <v>10276654</v>
      </c>
      <c r="B25" s="10" t="n">
        <v>14</v>
      </c>
      <c r="C25" s="12" t="n">
        <v>6.36</v>
      </c>
      <c r="D25" s="12" t="n">
        <v>8.8</v>
      </c>
      <c r="E25" s="12" t="n">
        <v>0.5</v>
      </c>
      <c r="F25" s="12" t="n">
        <v>1.1</v>
      </c>
      <c r="G25" s="12" t="n">
        <v>1</v>
      </c>
      <c r="H25" s="12" t="n">
        <v>0.47</v>
      </c>
      <c r="I25" s="12" t="n">
        <v>1.3</v>
      </c>
      <c r="J25" s="12" t="n">
        <v>0.7</v>
      </c>
      <c r="K25" s="12" t="n">
        <v>0.49</v>
      </c>
      <c r="L25" s="12" t="n">
        <v>0</v>
      </c>
      <c r="M25" s="12" t="n">
        <v>0.8</v>
      </c>
    </row>
    <row r="26" customFormat="false" ht="15.75" hidden="false" customHeight="false" outlineLevel="0" collapsed="false">
      <c r="A26" s="15" t="n">
        <v>10276907</v>
      </c>
      <c r="B26" s="10" t="n">
        <v>14</v>
      </c>
      <c r="C26" s="12" t="n">
        <v>6.17</v>
      </c>
      <c r="D26" s="12" t="n">
        <v>8.8</v>
      </c>
      <c r="E26" s="12" t="n">
        <v>1</v>
      </c>
      <c r="F26" s="12" t="n">
        <v>1.1</v>
      </c>
      <c r="G26" s="12" t="n">
        <v>1</v>
      </c>
      <c r="H26" s="12" t="n">
        <v>0</v>
      </c>
      <c r="I26" s="12" t="n">
        <v>1.3</v>
      </c>
      <c r="J26" s="12" t="n">
        <v>0.7</v>
      </c>
      <c r="K26" s="12" t="n">
        <v>0.27</v>
      </c>
      <c r="L26" s="12" t="n">
        <v>0</v>
      </c>
      <c r="M26" s="12" t="n">
        <v>0.8</v>
      </c>
    </row>
    <row r="27" customFormat="false" ht="15.75" hidden="false" customHeight="false" outlineLevel="0" collapsed="false">
      <c r="A27" s="15" t="n">
        <v>10377538</v>
      </c>
      <c r="B27" s="10" t="n">
        <v>14.5</v>
      </c>
      <c r="C27" s="12" t="n">
        <v>6.48</v>
      </c>
      <c r="D27" s="12" t="n">
        <v>8.8</v>
      </c>
      <c r="E27" s="12" t="n">
        <v>0.5</v>
      </c>
      <c r="F27" s="12" t="n">
        <v>0.18</v>
      </c>
      <c r="G27" s="12" t="n">
        <v>1</v>
      </c>
      <c r="H27" s="12" t="n">
        <v>0.93</v>
      </c>
      <c r="I27" s="12" t="n">
        <v>1.3</v>
      </c>
      <c r="J27" s="12" t="n">
        <v>0.56</v>
      </c>
      <c r="K27" s="12" t="n">
        <v>0.6</v>
      </c>
      <c r="L27" s="12" t="n">
        <v>0.6</v>
      </c>
      <c r="M27" s="12" t="n">
        <v>0.8</v>
      </c>
    </row>
    <row r="28" customFormat="false" ht="15.75" hidden="false" customHeight="false" outlineLevel="0" collapsed="false">
      <c r="A28" s="15" t="n">
        <v>10260351</v>
      </c>
      <c r="B28" s="10" t="n">
        <v>14.5</v>
      </c>
      <c r="C28" s="12" t="n">
        <v>6.58</v>
      </c>
      <c r="D28" s="12" t="n">
        <v>8.8</v>
      </c>
      <c r="E28" s="12" t="n">
        <v>0.5</v>
      </c>
      <c r="F28" s="12" t="n">
        <v>0.55</v>
      </c>
      <c r="G28" s="12" t="n">
        <v>1</v>
      </c>
      <c r="H28" s="12" t="n">
        <v>0.47</v>
      </c>
      <c r="I28" s="12" t="n">
        <v>1.3</v>
      </c>
      <c r="J28" s="12" t="n">
        <v>0.46</v>
      </c>
      <c r="K28" s="12" t="n">
        <v>0.6</v>
      </c>
      <c r="L28" s="12" t="n">
        <v>0.9</v>
      </c>
      <c r="M28" s="12" t="n">
        <v>0.8</v>
      </c>
    </row>
    <row r="29" customFormat="false" ht="15.75" hidden="false" customHeight="false" outlineLevel="0" collapsed="false">
      <c r="A29" s="15" t="n">
        <v>10276866</v>
      </c>
      <c r="B29" s="10" t="n">
        <v>14.5</v>
      </c>
      <c r="C29" s="12" t="n">
        <v>6.47</v>
      </c>
      <c r="D29" s="12" t="n">
        <v>8.8</v>
      </c>
      <c r="E29" s="12" t="n">
        <v>0.25</v>
      </c>
      <c r="F29" s="12" t="n">
        <v>0.55</v>
      </c>
      <c r="G29" s="12" t="n">
        <v>1</v>
      </c>
      <c r="H29" s="12" t="n">
        <v>0.47</v>
      </c>
      <c r="I29" s="12" t="n">
        <v>1.3</v>
      </c>
      <c r="J29" s="12" t="n">
        <v>0.6</v>
      </c>
      <c r="K29" s="12" t="n">
        <v>0.6</v>
      </c>
      <c r="L29" s="12" t="n">
        <v>0.9</v>
      </c>
      <c r="M29" s="12" t="n">
        <v>0.8</v>
      </c>
    </row>
    <row r="30" customFormat="false" ht="15.75" hidden="false" customHeight="false" outlineLevel="0" collapsed="false">
      <c r="A30" s="15" t="n">
        <v>9436110</v>
      </c>
      <c r="B30" s="10" t="n">
        <v>14.5</v>
      </c>
      <c r="C30" s="12" t="n">
        <v>6.47</v>
      </c>
      <c r="D30" s="12" t="n">
        <v>8.8</v>
      </c>
      <c r="E30" s="12" t="n">
        <v>1</v>
      </c>
      <c r="F30" s="12" t="n">
        <v>0.55</v>
      </c>
      <c r="G30" s="12" t="n">
        <v>1</v>
      </c>
      <c r="H30" s="12" t="n">
        <v>0</v>
      </c>
      <c r="I30" s="12" t="n">
        <v>1.3</v>
      </c>
      <c r="J30" s="12" t="n">
        <v>0.32</v>
      </c>
      <c r="K30" s="12" t="n">
        <v>0.6</v>
      </c>
      <c r="L30" s="12" t="n">
        <v>0.9</v>
      </c>
      <c r="M30" s="12" t="n">
        <v>0.8</v>
      </c>
    </row>
    <row r="31" customFormat="false" ht="15.75" hidden="false" customHeight="false" outlineLevel="0" collapsed="false">
      <c r="A31" s="15" t="n">
        <v>10276974</v>
      </c>
      <c r="B31" s="10" t="n">
        <v>15</v>
      </c>
      <c r="C31" s="12" t="n">
        <v>6.77</v>
      </c>
      <c r="D31" s="12" t="n">
        <v>8.8</v>
      </c>
      <c r="E31" s="12" t="n">
        <v>1</v>
      </c>
      <c r="F31" s="12" t="n">
        <v>0</v>
      </c>
      <c r="G31" s="12" t="n">
        <v>1</v>
      </c>
      <c r="H31" s="12" t="n">
        <v>0.47</v>
      </c>
      <c r="I31" s="12" t="n">
        <v>1.3</v>
      </c>
      <c r="J31" s="12" t="n">
        <v>0.7</v>
      </c>
      <c r="K31" s="12" t="n">
        <v>0.6</v>
      </c>
      <c r="L31" s="12" t="n">
        <v>0.9</v>
      </c>
      <c r="M31" s="12" t="n">
        <v>0.8</v>
      </c>
    </row>
    <row r="32" customFormat="false" ht="15.75" hidden="false" customHeight="false" outlineLevel="0" collapsed="false">
      <c r="A32" s="15" t="n">
        <v>10277015</v>
      </c>
      <c r="B32" s="10" t="n">
        <v>15</v>
      </c>
      <c r="C32" s="12" t="n">
        <v>6.77</v>
      </c>
      <c r="D32" s="12" t="n">
        <v>8.8</v>
      </c>
      <c r="E32" s="12" t="n">
        <v>0.75</v>
      </c>
      <c r="F32" s="12" t="n">
        <v>0.55</v>
      </c>
      <c r="G32" s="12" t="n">
        <v>1</v>
      </c>
      <c r="H32" s="12" t="n">
        <v>0.47</v>
      </c>
      <c r="I32" s="12" t="n">
        <v>1.3</v>
      </c>
      <c r="J32" s="12" t="n">
        <v>0.56</v>
      </c>
      <c r="K32" s="12" t="n">
        <v>0.6</v>
      </c>
      <c r="L32" s="12" t="n">
        <v>0.9</v>
      </c>
      <c r="M32" s="12" t="n">
        <v>0.64</v>
      </c>
    </row>
    <row r="33" customFormat="false" ht="15.75" hidden="false" customHeight="false" outlineLevel="0" collapsed="false">
      <c r="A33" s="15" t="n">
        <v>9274382</v>
      </c>
      <c r="B33" s="10" t="n">
        <v>15</v>
      </c>
      <c r="C33" s="12" t="n">
        <v>6.63</v>
      </c>
      <c r="D33" s="12" t="n">
        <v>8.8</v>
      </c>
      <c r="E33" s="12" t="n">
        <v>1</v>
      </c>
      <c r="F33" s="12" t="n">
        <v>1.1</v>
      </c>
      <c r="G33" s="12" t="n">
        <v>1</v>
      </c>
      <c r="H33" s="12" t="n">
        <v>0.93</v>
      </c>
      <c r="I33" s="12" t="n">
        <v>0</v>
      </c>
      <c r="J33" s="12" t="n">
        <v>0.56</v>
      </c>
      <c r="K33" s="12" t="n">
        <v>0.6</v>
      </c>
      <c r="L33" s="12" t="n">
        <v>0.9</v>
      </c>
      <c r="M33" s="12" t="n">
        <v>0.53</v>
      </c>
    </row>
    <row r="34" customFormat="false" ht="15.75" hidden="false" customHeight="false" outlineLevel="0" collapsed="false">
      <c r="A34" s="15" t="n">
        <v>10310888</v>
      </c>
      <c r="B34" s="10" t="n">
        <v>15</v>
      </c>
      <c r="C34" s="12" t="n">
        <v>6.75</v>
      </c>
      <c r="D34" s="12" t="n">
        <v>8.8</v>
      </c>
      <c r="E34" s="12" t="n">
        <v>1</v>
      </c>
      <c r="F34" s="12" t="n">
        <v>0.55</v>
      </c>
      <c r="G34" s="12" t="n">
        <v>1</v>
      </c>
      <c r="H34" s="12" t="n">
        <v>0.47</v>
      </c>
      <c r="I34" s="12" t="n">
        <v>1.3</v>
      </c>
      <c r="J34" s="12" t="n">
        <v>0.7</v>
      </c>
      <c r="K34" s="12" t="n">
        <v>0.6</v>
      </c>
      <c r="L34" s="12" t="n">
        <v>0.6</v>
      </c>
      <c r="M34" s="12" t="n">
        <v>0.53</v>
      </c>
    </row>
    <row r="35" customFormat="false" ht="15.75" hidden="false" customHeight="false" outlineLevel="0" collapsed="false">
      <c r="A35" s="15" t="n">
        <v>10276953</v>
      </c>
      <c r="B35" s="10" t="n">
        <v>15</v>
      </c>
      <c r="C35" s="12" t="n">
        <v>6.69</v>
      </c>
      <c r="D35" s="12" t="n">
        <v>8.8</v>
      </c>
      <c r="E35" s="12" t="n">
        <v>1</v>
      </c>
      <c r="F35" s="12" t="n">
        <v>0.55</v>
      </c>
      <c r="G35" s="12" t="n">
        <v>1</v>
      </c>
      <c r="H35" s="12" t="n">
        <v>0.47</v>
      </c>
      <c r="I35" s="12" t="n">
        <v>1.3</v>
      </c>
      <c r="J35" s="12" t="n">
        <v>0.7</v>
      </c>
      <c r="K35" s="12" t="n">
        <v>0.27</v>
      </c>
      <c r="L35" s="12" t="n">
        <v>0.6</v>
      </c>
      <c r="M35" s="12" t="n">
        <v>0.8</v>
      </c>
    </row>
    <row r="36" customFormat="false" ht="15.75" hidden="false" customHeight="false" outlineLevel="0" collapsed="false">
      <c r="A36" s="15" t="n">
        <v>9805320</v>
      </c>
      <c r="B36" s="10" t="n">
        <v>15.5</v>
      </c>
      <c r="C36" s="12" t="n">
        <v>6.85</v>
      </c>
      <c r="D36" s="12" t="n">
        <v>8.8</v>
      </c>
      <c r="E36" s="12" t="n">
        <v>0.5</v>
      </c>
      <c r="F36" s="12" t="n">
        <v>0.18</v>
      </c>
      <c r="G36" s="12" t="n">
        <v>1</v>
      </c>
      <c r="H36" s="12" t="n">
        <v>1.4</v>
      </c>
      <c r="I36" s="12" t="n">
        <v>1.3</v>
      </c>
      <c r="J36" s="12" t="n">
        <v>0.7</v>
      </c>
      <c r="K36" s="12" t="n">
        <v>0.6</v>
      </c>
      <c r="L36" s="12" t="n">
        <v>0.9</v>
      </c>
      <c r="M36" s="12" t="n">
        <v>0.27</v>
      </c>
    </row>
    <row r="37" customFormat="false" ht="15.75" hidden="false" customHeight="false" outlineLevel="0" collapsed="false">
      <c r="A37" s="15" t="n">
        <v>10276831</v>
      </c>
      <c r="B37" s="10" t="n">
        <v>15.5</v>
      </c>
      <c r="C37" s="12" t="n">
        <v>6.95</v>
      </c>
      <c r="D37" s="12" t="n">
        <v>8.8</v>
      </c>
      <c r="E37" s="12" t="n">
        <v>1</v>
      </c>
      <c r="F37" s="12" t="n">
        <v>0.18</v>
      </c>
      <c r="G37" s="12" t="n">
        <v>1</v>
      </c>
      <c r="H37" s="12" t="n">
        <v>0.47</v>
      </c>
      <c r="I37" s="12" t="n">
        <v>1.3</v>
      </c>
      <c r="J37" s="12" t="n">
        <v>0.7</v>
      </c>
      <c r="K37" s="12" t="n">
        <v>0.6</v>
      </c>
      <c r="L37" s="12" t="n">
        <v>0.9</v>
      </c>
      <c r="M37" s="12" t="n">
        <v>0.8</v>
      </c>
    </row>
    <row r="38" customFormat="false" ht="15.75" hidden="false" customHeight="false" outlineLevel="0" collapsed="false">
      <c r="A38" s="15" t="n">
        <v>9760151</v>
      </c>
      <c r="B38" s="10" t="n">
        <v>15.5</v>
      </c>
      <c r="C38" s="12" t="n">
        <v>6.86</v>
      </c>
      <c r="D38" s="12" t="n">
        <v>8.8</v>
      </c>
      <c r="E38" s="12" t="n">
        <v>1</v>
      </c>
      <c r="F38" s="12" t="n">
        <v>1.1</v>
      </c>
      <c r="G38" s="12" t="n">
        <v>1</v>
      </c>
      <c r="H38" s="12" t="n">
        <v>0.47</v>
      </c>
      <c r="I38" s="12" t="n">
        <v>1.3</v>
      </c>
      <c r="J38" s="12" t="n">
        <v>0.7</v>
      </c>
      <c r="K38" s="12" t="n">
        <v>0.49</v>
      </c>
      <c r="L38" s="12" t="n">
        <v>0</v>
      </c>
      <c r="M38" s="12" t="n">
        <v>0.8</v>
      </c>
    </row>
    <row r="39" customFormat="false" ht="15.75" hidden="false" customHeight="false" outlineLevel="0" collapsed="false">
      <c r="A39" s="15" t="n">
        <v>10310721</v>
      </c>
      <c r="B39" s="10" t="n">
        <v>16</v>
      </c>
      <c r="C39" s="12" t="n">
        <v>7.08</v>
      </c>
      <c r="D39" s="12" t="n">
        <v>8.8</v>
      </c>
      <c r="E39" s="12" t="n">
        <v>0.25</v>
      </c>
      <c r="F39" s="12" t="n">
        <v>0.18</v>
      </c>
      <c r="G39" s="12" t="n">
        <v>1</v>
      </c>
      <c r="H39" s="12" t="n">
        <v>1.4</v>
      </c>
      <c r="I39" s="12" t="n">
        <v>1.3</v>
      </c>
      <c r="J39" s="12" t="n">
        <v>0.7</v>
      </c>
      <c r="K39" s="12" t="n">
        <v>0.55</v>
      </c>
      <c r="L39" s="12" t="n">
        <v>0.9</v>
      </c>
      <c r="M39" s="12" t="n">
        <v>0.8</v>
      </c>
    </row>
    <row r="40" customFormat="false" ht="15.75" hidden="false" customHeight="false" outlineLevel="0" collapsed="false">
      <c r="A40" s="15" t="n">
        <v>10277022</v>
      </c>
      <c r="B40" s="10" t="n">
        <v>16.5</v>
      </c>
      <c r="C40" s="12" t="n">
        <v>7.32</v>
      </c>
      <c r="D40" s="12" t="n">
        <v>8.8</v>
      </c>
      <c r="E40" s="12" t="n">
        <v>0.25</v>
      </c>
      <c r="F40" s="12" t="n">
        <v>1.1</v>
      </c>
      <c r="G40" s="12" t="n">
        <v>1</v>
      </c>
      <c r="H40" s="12" t="n">
        <v>0.93</v>
      </c>
      <c r="I40" s="12" t="n">
        <v>1.3</v>
      </c>
      <c r="J40" s="12" t="n">
        <v>0.7</v>
      </c>
      <c r="K40" s="12" t="n">
        <v>0.6</v>
      </c>
      <c r="L40" s="12" t="n">
        <v>0.9</v>
      </c>
      <c r="M40" s="12" t="n">
        <v>0.53</v>
      </c>
    </row>
    <row r="41" customFormat="false" ht="15.75" hidden="false" customHeight="false" outlineLevel="0" collapsed="false">
      <c r="A41" s="15" t="n">
        <v>9795272</v>
      </c>
      <c r="B41" s="10" t="n">
        <v>16.5</v>
      </c>
      <c r="C41" s="12" t="n">
        <v>7.26</v>
      </c>
      <c r="D41" s="12" t="n">
        <v>8.8</v>
      </c>
      <c r="E41" s="12" t="n">
        <v>1</v>
      </c>
      <c r="F41" s="12" t="n">
        <v>1.1</v>
      </c>
      <c r="G41" s="12" t="n">
        <v>1</v>
      </c>
      <c r="H41" s="12" t="n">
        <v>0</v>
      </c>
      <c r="I41" s="12" t="n">
        <v>1.3</v>
      </c>
      <c r="J41" s="12" t="n">
        <v>0.56</v>
      </c>
      <c r="K41" s="12" t="n">
        <v>0.6</v>
      </c>
      <c r="L41" s="12" t="n">
        <v>0.9</v>
      </c>
      <c r="M41" s="12" t="n">
        <v>0.8</v>
      </c>
    </row>
    <row r="42" customFormat="false" ht="15.75" hidden="false" customHeight="false" outlineLevel="0" collapsed="false">
      <c r="A42" s="15" t="n">
        <v>10276762</v>
      </c>
      <c r="B42" s="10" t="n">
        <v>17.5</v>
      </c>
      <c r="C42" s="12" t="n">
        <v>7.79</v>
      </c>
      <c r="D42" s="12" t="n">
        <v>8.8</v>
      </c>
      <c r="E42" s="12" t="n">
        <v>1</v>
      </c>
      <c r="F42" s="12" t="n">
        <v>1.1</v>
      </c>
      <c r="G42" s="12" t="n">
        <v>1</v>
      </c>
      <c r="H42" s="12" t="n">
        <v>1.4</v>
      </c>
      <c r="I42" s="12" t="n">
        <v>1.3</v>
      </c>
      <c r="J42" s="12" t="n">
        <v>0.7</v>
      </c>
      <c r="K42" s="12" t="n">
        <v>0.49</v>
      </c>
      <c r="L42" s="12" t="n">
        <v>0</v>
      </c>
      <c r="M42" s="12" t="n">
        <v>0.8</v>
      </c>
    </row>
    <row r="43" customFormat="false" ht="15.75" hidden="false" customHeight="false" outlineLevel="0" collapsed="false">
      <c r="A43" s="15" t="n">
        <v>10310655</v>
      </c>
      <c r="B43" s="10" t="n">
        <v>17.5</v>
      </c>
      <c r="C43" s="12" t="n">
        <v>7.87</v>
      </c>
      <c r="D43" s="12" t="n">
        <v>8.8</v>
      </c>
      <c r="E43" s="12" t="n">
        <v>1</v>
      </c>
      <c r="F43" s="12" t="n">
        <v>1.1</v>
      </c>
      <c r="G43" s="12" t="n">
        <v>1</v>
      </c>
      <c r="H43" s="12" t="n">
        <v>0.47</v>
      </c>
      <c r="I43" s="12" t="n">
        <v>1.3</v>
      </c>
      <c r="J43" s="12" t="n">
        <v>0.7</v>
      </c>
      <c r="K43" s="12" t="n">
        <v>0.6</v>
      </c>
      <c r="L43" s="12" t="n">
        <v>0.9</v>
      </c>
      <c r="M43" s="12" t="n">
        <v>0.8</v>
      </c>
    </row>
    <row r="44" customFormat="false" ht="15.75" hidden="false" customHeight="false" outlineLevel="0" collapsed="false">
      <c r="A44" s="15" t="n">
        <v>10310759</v>
      </c>
      <c r="B44" s="10" t="n">
        <v>17.5</v>
      </c>
      <c r="C44" s="12" t="n">
        <v>7.87</v>
      </c>
      <c r="D44" s="12" t="n">
        <v>8.8</v>
      </c>
      <c r="E44" s="12" t="n">
        <v>1</v>
      </c>
      <c r="F44" s="12" t="n">
        <v>1.1</v>
      </c>
      <c r="G44" s="12" t="n">
        <v>1</v>
      </c>
      <c r="H44" s="12" t="n">
        <v>0.47</v>
      </c>
      <c r="I44" s="12" t="n">
        <v>1.3</v>
      </c>
      <c r="J44" s="12" t="n">
        <v>0.7</v>
      </c>
      <c r="K44" s="12" t="n">
        <v>0.6</v>
      </c>
      <c r="L44" s="12" t="n">
        <v>0.9</v>
      </c>
      <c r="M44" s="12" t="n">
        <v>0.8</v>
      </c>
    </row>
    <row r="45" customFormat="false" ht="15.75" hidden="false" customHeight="false" outlineLevel="0" collapsed="false">
      <c r="A45" s="15" t="n">
        <v>10277040</v>
      </c>
      <c r="B45" s="10" t="n">
        <v>17.5</v>
      </c>
      <c r="C45" s="12" t="n">
        <v>7.87</v>
      </c>
      <c r="D45" s="12" t="n">
        <v>8.8</v>
      </c>
      <c r="E45" s="12" t="n">
        <v>1</v>
      </c>
      <c r="F45" s="12" t="n">
        <v>1.1</v>
      </c>
      <c r="G45" s="12" t="n">
        <v>1</v>
      </c>
      <c r="H45" s="12" t="n">
        <v>0.47</v>
      </c>
      <c r="I45" s="12" t="n">
        <v>1.3</v>
      </c>
      <c r="J45" s="12" t="n">
        <v>0.7</v>
      </c>
      <c r="K45" s="12" t="n">
        <v>0.6</v>
      </c>
      <c r="L45" s="12" t="n">
        <v>0.9</v>
      </c>
      <c r="M45" s="12" t="n">
        <v>0.8</v>
      </c>
    </row>
    <row r="46" customFormat="false" ht="15.75" hidden="false" customHeight="false" outlineLevel="0" collapsed="false">
      <c r="A46" s="15" t="n">
        <v>10276675</v>
      </c>
      <c r="B46" s="10" t="n">
        <v>17.5</v>
      </c>
      <c r="C46" s="12" t="n">
        <v>7.9</v>
      </c>
      <c r="D46" s="12" t="n">
        <v>8.8</v>
      </c>
      <c r="E46" s="12" t="n">
        <v>1</v>
      </c>
      <c r="F46" s="12" t="n">
        <v>1.1</v>
      </c>
      <c r="G46" s="12" t="n">
        <v>1</v>
      </c>
      <c r="H46" s="12" t="n">
        <v>1.4</v>
      </c>
      <c r="I46" s="12" t="n">
        <v>1.3</v>
      </c>
      <c r="J46" s="12" t="n">
        <v>0.7</v>
      </c>
      <c r="K46" s="12" t="n">
        <v>0.6</v>
      </c>
      <c r="L46" s="12" t="n">
        <v>0</v>
      </c>
      <c r="M46" s="12" t="n">
        <v>0.8</v>
      </c>
    </row>
    <row r="47" customFormat="false" ht="15.75" hidden="false" customHeight="false" outlineLevel="0" collapsed="false">
      <c r="A47" s="15" t="n">
        <v>10351971</v>
      </c>
      <c r="B47" s="10" t="n">
        <v>17.5</v>
      </c>
      <c r="C47" s="12" t="n">
        <v>7.75</v>
      </c>
      <c r="D47" s="12" t="n">
        <v>8.8</v>
      </c>
      <c r="E47" s="12" t="n">
        <v>0.5</v>
      </c>
      <c r="F47" s="12" t="n">
        <v>0.55</v>
      </c>
      <c r="G47" s="12" t="n">
        <v>1</v>
      </c>
      <c r="H47" s="12" t="n">
        <v>1.4</v>
      </c>
      <c r="I47" s="12" t="n">
        <v>1.3</v>
      </c>
      <c r="J47" s="12" t="n">
        <v>0.7</v>
      </c>
      <c r="K47" s="12" t="n">
        <v>0.6</v>
      </c>
      <c r="L47" s="12" t="n">
        <v>0.9</v>
      </c>
      <c r="M47" s="12" t="n">
        <v>0.8</v>
      </c>
    </row>
    <row r="48" customFormat="false" ht="15.75" hidden="false" customHeight="false" outlineLevel="0" collapsed="false">
      <c r="A48" s="15" t="n">
        <v>10276661</v>
      </c>
      <c r="B48" s="10" t="n">
        <v>17.5</v>
      </c>
      <c r="C48" s="12" t="n">
        <v>7.78</v>
      </c>
      <c r="D48" s="12" t="n">
        <v>8.8</v>
      </c>
      <c r="E48" s="12" t="n">
        <v>1</v>
      </c>
      <c r="F48" s="12" t="n">
        <v>0.55</v>
      </c>
      <c r="G48" s="12" t="n">
        <v>1</v>
      </c>
      <c r="H48" s="12" t="n">
        <v>0.93</v>
      </c>
      <c r="I48" s="12" t="n">
        <v>1.3</v>
      </c>
      <c r="J48" s="12" t="n">
        <v>0.7</v>
      </c>
      <c r="K48" s="12" t="n">
        <v>0.6</v>
      </c>
      <c r="L48" s="12" t="n">
        <v>0.9</v>
      </c>
      <c r="M48" s="12" t="n">
        <v>0.8</v>
      </c>
    </row>
    <row r="49" customFormat="false" ht="15.75" hidden="false" customHeight="false" outlineLevel="0" collapsed="false">
      <c r="A49" s="15" t="n">
        <v>10276928</v>
      </c>
      <c r="B49" s="10" t="n">
        <v>18</v>
      </c>
      <c r="C49" s="12" t="n">
        <v>7.95</v>
      </c>
      <c r="D49" s="12" t="n">
        <v>8.8</v>
      </c>
      <c r="E49" s="12" t="n">
        <v>1</v>
      </c>
      <c r="F49" s="12" t="n">
        <v>0.55</v>
      </c>
      <c r="G49" s="12" t="n">
        <v>1</v>
      </c>
      <c r="H49" s="12" t="n">
        <v>1.4</v>
      </c>
      <c r="I49" s="12" t="n">
        <v>1.3</v>
      </c>
      <c r="J49" s="12" t="n">
        <v>0.7</v>
      </c>
      <c r="K49" s="12" t="n">
        <v>0.6</v>
      </c>
      <c r="L49" s="12" t="n">
        <v>0.6</v>
      </c>
      <c r="M49" s="12" t="n">
        <v>0.8</v>
      </c>
    </row>
    <row r="50" customFormat="false" ht="15.75" hidden="false" customHeight="false" outlineLevel="0" collapsed="false">
      <c r="A50" s="15" t="n">
        <v>10310342</v>
      </c>
      <c r="B50" s="10" t="n">
        <v>18</v>
      </c>
      <c r="C50" s="12" t="n">
        <v>8.05</v>
      </c>
      <c r="D50" s="12" t="n">
        <v>8.8</v>
      </c>
      <c r="E50" s="12" t="n">
        <v>1</v>
      </c>
      <c r="F50" s="12" t="n">
        <v>1.1</v>
      </c>
      <c r="G50" s="12" t="n">
        <v>1</v>
      </c>
      <c r="H50" s="12" t="n">
        <v>1.4</v>
      </c>
      <c r="I50" s="12" t="n">
        <v>1.3</v>
      </c>
      <c r="J50" s="12" t="n">
        <v>0.7</v>
      </c>
      <c r="K50" s="12" t="n">
        <v>0.38</v>
      </c>
      <c r="L50" s="12" t="n">
        <v>0.9</v>
      </c>
      <c r="M50" s="12" t="n">
        <v>0.27</v>
      </c>
    </row>
    <row r="51" customFormat="false" ht="15.75" hidden="false" customHeight="false" outlineLevel="0" collapsed="false">
      <c r="A51" s="15" t="n">
        <v>9065750</v>
      </c>
      <c r="B51" s="10" t="n">
        <v>18</v>
      </c>
      <c r="C51" s="12" t="n">
        <v>7.97</v>
      </c>
      <c r="D51" s="12" t="n">
        <v>8.8</v>
      </c>
      <c r="E51" s="12" t="n">
        <v>1</v>
      </c>
      <c r="F51" s="12" t="n">
        <v>0.55</v>
      </c>
      <c r="G51" s="12" t="n">
        <v>1</v>
      </c>
      <c r="H51" s="12" t="n">
        <v>1.4</v>
      </c>
      <c r="I51" s="12" t="n">
        <v>1.3</v>
      </c>
      <c r="J51" s="12" t="n">
        <v>0.42</v>
      </c>
      <c r="K51" s="12" t="n">
        <v>0.6</v>
      </c>
      <c r="L51" s="12" t="n">
        <v>0.9</v>
      </c>
      <c r="M51" s="12" t="n">
        <v>0.8</v>
      </c>
    </row>
    <row r="52" customFormat="false" ht="15.75" hidden="false" customHeight="false" outlineLevel="0" collapsed="false">
      <c r="A52" s="15" t="n">
        <v>9368772</v>
      </c>
      <c r="B52" s="10" t="n">
        <v>18</v>
      </c>
      <c r="C52" s="12" t="n">
        <v>7.94</v>
      </c>
      <c r="D52" s="12" t="n">
        <v>8.8</v>
      </c>
      <c r="E52" s="12" t="n">
        <v>1</v>
      </c>
      <c r="F52" s="12" t="n">
        <v>1.1</v>
      </c>
      <c r="G52" s="12" t="n">
        <v>1</v>
      </c>
      <c r="H52" s="12" t="n">
        <v>1.4</v>
      </c>
      <c r="I52" s="12" t="n">
        <v>1.3</v>
      </c>
      <c r="J52" s="12" t="n">
        <v>0.22</v>
      </c>
      <c r="K52" s="12" t="n">
        <v>0.22</v>
      </c>
      <c r="L52" s="12" t="n">
        <v>0.9</v>
      </c>
      <c r="M52" s="12" t="n">
        <v>0.8</v>
      </c>
    </row>
    <row r="53" customFormat="false" ht="15.75" hidden="false" customHeight="false" outlineLevel="0" collapsed="false">
      <c r="A53" s="15" t="n">
        <v>10377688</v>
      </c>
      <c r="B53" s="10" t="n">
        <v>18.5</v>
      </c>
      <c r="C53" s="12" t="n">
        <v>8.3</v>
      </c>
      <c r="D53" s="12" t="n">
        <v>8.8</v>
      </c>
      <c r="E53" s="12" t="n">
        <v>0.5</v>
      </c>
      <c r="F53" s="12" t="n">
        <v>1.1</v>
      </c>
      <c r="G53" s="12" t="n">
        <v>1</v>
      </c>
      <c r="H53" s="12" t="n">
        <v>1.4</v>
      </c>
      <c r="I53" s="12" t="n">
        <v>1.3</v>
      </c>
      <c r="J53" s="12" t="n">
        <v>0.7</v>
      </c>
      <c r="K53" s="12" t="n">
        <v>0.6</v>
      </c>
      <c r="L53" s="12" t="n">
        <v>0.9</v>
      </c>
      <c r="M53" s="12" t="n">
        <v>0.8</v>
      </c>
    </row>
    <row r="54" customFormat="false" ht="15.75" hidden="false" customHeight="false" outlineLevel="0" collapsed="false">
      <c r="A54" s="15" t="n">
        <v>10276911</v>
      </c>
      <c r="B54" s="10" t="n">
        <v>18.5</v>
      </c>
      <c r="C54" s="12" t="n">
        <v>8.25</v>
      </c>
      <c r="D54" s="12" t="n">
        <v>8.8</v>
      </c>
      <c r="E54" s="12" t="n">
        <v>1</v>
      </c>
      <c r="F54" s="12" t="n">
        <v>0.55</v>
      </c>
      <c r="G54" s="12" t="n">
        <v>1</v>
      </c>
      <c r="H54" s="12" t="n">
        <v>1.4</v>
      </c>
      <c r="I54" s="12" t="n">
        <v>1.3</v>
      </c>
      <c r="J54" s="12" t="n">
        <v>0.7</v>
      </c>
      <c r="K54" s="12" t="n">
        <v>0.6</v>
      </c>
      <c r="L54" s="12" t="n">
        <v>0.9</v>
      </c>
      <c r="M54" s="12" t="n">
        <v>0.8</v>
      </c>
    </row>
    <row r="55" customFormat="false" ht="15.75" hidden="false" customHeight="false" outlineLevel="0" collapsed="false">
      <c r="A55" s="15" t="n">
        <v>10310551</v>
      </c>
      <c r="B55" s="10" t="n">
        <v>18.5</v>
      </c>
      <c r="C55" s="12" t="n">
        <v>8.33</v>
      </c>
      <c r="D55" s="12" t="n">
        <v>8.8</v>
      </c>
      <c r="E55" s="12" t="n">
        <v>1</v>
      </c>
      <c r="F55" s="12" t="n">
        <v>1.1</v>
      </c>
      <c r="G55" s="12" t="n">
        <v>1</v>
      </c>
      <c r="H55" s="12" t="n">
        <v>0.93</v>
      </c>
      <c r="I55" s="12" t="n">
        <v>1.3</v>
      </c>
      <c r="J55" s="12" t="n">
        <v>0.7</v>
      </c>
      <c r="K55" s="12" t="n">
        <v>0.6</v>
      </c>
      <c r="L55" s="12" t="n">
        <v>0.9</v>
      </c>
      <c r="M55" s="12" t="n">
        <v>0.8</v>
      </c>
    </row>
    <row r="56" customFormat="false" ht="15.75" hidden="false" customHeight="false" outlineLevel="0" collapsed="false">
      <c r="A56" s="15" t="n">
        <v>10310700</v>
      </c>
      <c r="B56" s="10" t="n">
        <v>18.5</v>
      </c>
      <c r="C56" s="12" t="n">
        <v>8.25</v>
      </c>
      <c r="D56" s="12" t="n">
        <v>8.8</v>
      </c>
      <c r="E56" s="12" t="n">
        <v>1</v>
      </c>
      <c r="F56" s="12" t="n">
        <v>0.55</v>
      </c>
      <c r="G56" s="12" t="n">
        <v>1</v>
      </c>
      <c r="H56" s="12" t="n">
        <v>1.4</v>
      </c>
      <c r="I56" s="12" t="n">
        <v>1.3</v>
      </c>
      <c r="J56" s="12" t="n">
        <v>0.7</v>
      </c>
      <c r="K56" s="12" t="n">
        <v>0.6</v>
      </c>
      <c r="L56" s="12" t="n">
        <v>0.9</v>
      </c>
      <c r="M56" s="12" t="n">
        <v>0.8</v>
      </c>
    </row>
    <row r="57" customFormat="false" ht="15.75" hidden="false" customHeight="false" outlineLevel="0" collapsed="false">
      <c r="A57" s="15" t="n">
        <v>10310471</v>
      </c>
      <c r="B57" s="10" t="n">
        <v>18.5</v>
      </c>
      <c r="C57" s="12" t="n">
        <v>8.25</v>
      </c>
      <c r="D57" s="12" t="n">
        <v>8.8</v>
      </c>
      <c r="E57" s="12" t="n">
        <v>1</v>
      </c>
      <c r="F57" s="12" t="n">
        <v>0.55</v>
      </c>
      <c r="G57" s="12" t="n">
        <v>1</v>
      </c>
      <c r="H57" s="12" t="n">
        <v>1.4</v>
      </c>
      <c r="I57" s="12" t="n">
        <v>1.3</v>
      </c>
      <c r="J57" s="12" t="n">
        <v>0.7</v>
      </c>
      <c r="K57" s="12" t="n">
        <v>0.6</v>
      </c>
      <c r="L57" s="12" t="n">
        <v>0.9</v>
      </c>
      <c r="M57" s="12" t="n">
        <v>0.8</v>
      </c>
    </row>
    <row r="58" customFormat="false" ht="15.75" hidden="false" customHeight="false" outlineLevel="0" collapsed="false">
      <c r="A58" s="15" t="n">
        <v>10276932</v>
      </c>
      <c r="B58" s="10" t="n">
        <v>18.5</v>
      </c>
      <c r="C58" s="12" t="n">
        <v>8.25</v>
      </c>
      <c r="D58" s="12" t="n">
        <v>8.8</v>
      </c>
      <c r="E58" s="12" t="n">
        <v>1</v>
      </c>
      <c r="F58" s="12" t="n">
        <v>0.55</v>
      </c>
      <c r="G58" s="12" t="n">
        <v>1</v>
      </c>
      <c r="H58" s="12" t="n">
        <v>1.4</v>
      </c>
      <c r="I58" s="12" t="n">
        <v>1.3</v>
      </c>
      <c r="J58" s="12" t="n">
        <v>0.7</v>
      </c>
      <c r="K58" s="12" t="n">
        <v>0.6</v>
      </c>
      <c r="L58" s="12" t="n">
        <v>0.9</v>
      </c>
      <c r="M58" s="12" t="n">
        <v>0.8</v>
      </c>
    </row>
    <row r="59" customFormat="false" ht="15.75" hidden="false" customHeight="false" outlineLevel="0" collapsed="false">
      <c r="A59" s="15" t="n">
        <v>10276682</v>
      </c>
      <c r="B59" s="10" t="n">
        <v>18.5</v>
      </c>
      <c r="C59" s="12" t="n">
        <v>8.25</v>
      </c>
      <c r="D59" s="12" t="n">
        <v>8.8</v>
      </c>
      <c r="E59" s="12" t="n">
        <v>1</v>
      </c>
      <c r="F59" s="12" t="n">
        <v>0.55</v>
      </c>
      <c r="G59" s="12" t="n">
        <v>1</v>
      </c>
      <c r="H59" s="12" t="n">
        <v>1.4</v>
      </c>
      <c r="I59" s="12" t="n">
        <v>1.3</v>
      </c>
      <c r="J59" s="12" t="n">
        <v>0.7</v>
      </c>
      <c r="K59" s="12" t="n">
        <v>0.6</v>
      </c>
      <c r="L59" s="12" t="n">
        <v>0.9</v>
      </c>
      <c r="M59" s="12" t="n">
        <v>0.8</v>
      </c>
    </row>
    <row r="60" customFormat="false" ht="15.75" hidden="false" customHeight="false" outlineLevel="0" collapsed="false">
      <c r="A60" s="15" t="n">
        <v>10276960</v>
      </c>
      <c r="B60" s="10" t="n">
        <v>19</v>
      </c>
      <c r="C60" s="12" t="n">
        <v>8.45</v>
      </c>
      <c r="D60" s="12" t="n">
        <v>8.8</v>
      </c>
      <c r="E60" s="12" t="n">
        <v>1</v>
      </c>
      <c r="F60" s="12" t="n">
        <v>1.1</v>
      </c>
      <c r="G60" s="12" t="n">
        <v>1</v>
      </c>
      <c r="H60" s="12" t="n">
        <v>1.4</v>
      </c>
      <c r="I60" s="12" t="n">
        <v>1.3</v>
      </c>
      <c r="J60" s="12" t="n">
        <v>0.7</v>
      </c>
      <c r="K60" s="12" t="n">
        <v>0.55</v>
      </c>
      <c r="L60" s="12" t="n">
        <v>0.6</v>
      </c>
      <c r="M60" s="12" t="n">
        <v>0.8</v>
      </c>
    </row>
    <row r="61" customFormat="false" ht="15.75" hidden="false" customHeight="false" outlineLevel="0" collapsed="false">
      <c r="A61" s="15" t="n">
        <v>10276981</v>
      </c>
      <c r="B61" s="10" t="n">
        <v>19</v>
      </c>
      <c r="C61" s="12" t="n">
        <v>8.53</v>
      </c>
      <c r="D61" s="12" t="n">
        <v>8.8</v>
      </c>
      <c r="E61" s="12" t="n">
        <v>1</v>
      </c>
      <c r="F61" s="12" t="n">
        <v>1.1</v>
      </c>
      <c r="G61" s="12" t="n">
        <v>1</v>
      </c>
      <c r="H61" s="12" t="n">
        <v>1.4</v>
      </c>
      <c r="I61" s="12" t="n">
        <v>1.3</v>
      </c>
      <c r="J61" s="12" t="n">
        <v>0.7</v>
      </c>
      <c r="K61" s="12" t="n">
        <v>0.6</v>
      </c>
      <c r="L61" s="12" t="n">
        <v>0.9</v>
      </c>
      <c r="M61" s="12" t="n">
        <v>0.53</v>
      </c>
    </row>
    <row r="62" customFormat="false" ht="15.75" hidden="false" customHeight="false" outlineLevel="0" collapsed="false">
      <c r="A62" s="15" t="n">
        <v>10262669</v>
      </c>
      <c r="B62" s="10" t="n">
        <v>19</v>
      </c>
      <c r="C62" s="12" t="n">
        <v>8.48</v>
      </c>
      <c r="D62" s="12" t="n">
        <v>8.8</v>
      </c>
      <c r="E62" s="12" t="n">
        <v>1</v>
      </c>
      <c r="F62" s="12" t="n">
        <v>1.1</v>
      </c>
      <c r="G62" s="12" t="n">
        <v>1</v>
      </c>
      <c r="H62" s="12" t="n">
        <v>1.4</v>
      </c>
      <c r="I62" s="12" t="n">
        <v>1.3</v>
      </c>
      <c r="J62" s="12" t="n">
        <v>0.7</v>
      </c>
      <c r="K62" s="12" t="n">
        <v>0.55</v>
      </c>
      <c r="L62" s="12" t="n">
        <v>0.9</v>
      </c>
      <c r="M62" s="12" t="n">
        <v>0.53</v>
      </c>
    </row>
    <row r="63" customFormat="false" ht="15.75" hidden="false" customHeight="false" outlineLevel="0" collapsed="false">
      <c r="A63" s="15" t="n">
        <v>9285227</v>
      </c>
      <c r="B63" s="10" t="n">
        <v>19</v>
      </c>
      <c r="C63" s="12" t="n">
        <v>8.53</v>
      </c>
      <c r="D63" s="12" t="n">
        <v>8.8</v>
      </c>
      <c r="E63" s="12" t="n">
        <v>1</v>
      </c>
      <c r="F63" s="12" t="n">
        <v>1.1</v>
      </c>
      <c r="G63" s="12" t="n">
        <v>1</v>
      </c>
      <c r="H63" s="12" t="n">
        <v>1.4</v>
      </c>
      <c r="I63" s="12" t="n">
        <v>1.3</v>
      </c>
      <c r="J63" s="12" t="n">
        <v>0.7</v>
      </c>
      <c r="K63" s="12" t="n">
        <v>0.6</v>
      </c>
      <c r="L63" s="12" t="n">
        <v>0.9</v>
      </c>
      <c r="M63" s="12" t="n">
        <v>0.53</v>
      </c>
    </row>
    <row r="64" customFormat="false" ht="15.75" hidden="false" customHeight="false" outlineLevel="0" collapsed="false">
      <c r="A64" s="15" t="n">
        <v>9842913</v>
      </c>
      <c r="B64" s="10" t="n">
        <v>19</v>
      </c>
      <c r="C64" s="12" t="n">
        <v>8.41</v>
      </c>
      <c r="D64" s="12" t="n">
        <v>8.8</v>
      </c>
      <c r="E64" s="12" t="n">
        <v>0.75</v>
      </c>
      <c r="F64" s="12" t="n">
        <v>1.1</v>
      </c>
      <c r="G64" s="12" t="n">
        <v>1</v>
      </c>
      <c r="H64" s="12" t="n">
        <v>1.4</v>
      </c>
      <c r="I64" s="12" t="n">
        <v>1.3</v>
      </c>
      <c r="J64" s="12" t="n">
        <v>0.56</v>
      </c>
      <c r="K64" s="12" t="n">
        <v>0.6</v>
      </c>
      <c r="L64" s="12" t="n">
        <v>0.9</v>
      </c>
      <c r="M64" s="12" t="n">
        <v>0.8</v>
      </c>
    </row>
    <row r="65" customFormat="false" ht="15.75" hidden="false" customHeight="false" outlineLevel="0" collapsed="false">
      <c r="A65" s="15" t="n">
        <v>9795185</v>
      </c>
      <c r="B65" s="10" t="n">
        <v>19.5</v>
      </c>
      <c r="C65" s="12" t="n">
        <v>8.58</v>
      </c>
      <c r="D65" s="12" t="n">
        <v>8.8</v>
      </c>
      <c r="E65" s="12" t="n">
        <v>1</v>
      </c>
      <c r="F65" s="12" t="n">
        <v>1.1</v>
      </c>
      <c r="G65" s="12" t="n">
        <v>1</v>
      </c>
      <c r="H65" s="12" t="n">
        <v>1.4</v>
      </c>
      <c r="I65" s="12" t="n">
        <v>1.3</v>
      </c>
      <c r="J65" s="12" t="n">
        <v>0.7</v>
      </c>
      <c r="K65" s="12" t="n">
        <v>0.38</v>
      </c>
      <c r="L65" s="12" t="n">
        <v>0.9</v>
      </c>
      <c r="M65" s="12" t="n">
        <v>0.8</v>
      </c>
    </row>
    <row r="66" customFormat="false" ht="15.75" hidden="false" customHeight="false" outlineLevel="0" collapsed="false">
      <c r="A66" s="15" t="n">
        <v>10276720</v>
      </c>
      <c r="B66" s="10" t="n">
        <v>19.5</v>
      </c>
      <c r="C66" s="12" t="n">
        <v>8.68</v>
      </c>
      <c r="D66" s="12" t="n">
        <v>8.8</v>
      </c>
      <c r="E66" s="12" t="n">
        <v>1</v>
      </c>
      <c r="F66" s="12" t="n">
        <v>1.1</v>
      </c>
      <c r="G66" s="12" t="n">
        <v>1</v>
      </c>
      <c r="H66" s="12" t="n">
        <v>1.4</v>
      </c>
      <c r="I66" s="12" t="n">
        <v>1.3</v>
      </c>
      <c r="J66" s="12" t="n">
        <v>0.7</v>
      </c>
      <c r="K66" s="12" t="n">
        <v>0.48</v>
      </c>
      <c r="L66" s="12" t="n">
        <v>0.9</v>
      </c>
      <c r="M66" s="12" t="n">
        <v>0.8</v>
      </c>
    </row>
    <row r="67" customFormat="false" ht="15.75" hidden="false" customHeight="false" outlineLevel="0" collapsed="false">
      <c r="A67" s="15" t="n">
        <v>698531</v>
      </c>
      <c r="B67" s="10" t="n">
        <v>20</v>
      </c>
      <c r="C67" s="12" t="n">
        <v>8.8</v>
      </c>
      <c r="D67" s="12" t="n">
        <v>8.8</v>
      </c>
      <c r="E67" s="12" t="n">
        <v>1</v>
      </c>
      <c r="F67" s="12" t="n">
        <v>1.1</v>
      </c>
      <c r="G67" s="12" t="n">
        <v>1</v>
      </c>
      <c r="H67" s="12" t="n">
        <v>1.4</v>
      </c>
      <c r="I67" s="12" t="n">
        <v>1.3</v>
      </c>
      <c r="J67" s="12" t="n">
        <v>0.7</v>
      </c>
      <c r="K67" s="12" t="n">
        <v>0.6</v>
      </c>
      <c r="L67" s="12" t="n">
        <v>0.9</v>
      </c>
      <c r="M67" s="12" t="n">
        <v>0.8</v>
      </c>
    </row>
    <row r="68" customFormat="false" ht="15.75" hidden="false" customHeight="false" outlineLevel="0" collapsed="false">
      <c r="A68" s="15" t="n">
        <v>10276995</v>
      </c>
      <c r="B68" s="10" t="n">
        <v>20</v>
      </c>
      <c r="C68" s="12" t="n">
        <v>8.8</v>
      </c>
      <c r="D68" s="12" t="n">
        <v>8.8</v>
      </c>
      <c r="E68" s="12" t="n">
        <v>1</v>
      </c>
      <c r="F68" s="12" t="n">
        <v>1.1</v>
      </c>
      <c r="G68" s="12" t="n">
        <v>1</v>
      </c>
      <c r="H68" s="12" t="n">
        <v>1.4</v>
      </c>
      <c r="I68" s="12" t="n">
        <v>1.3</v>
      </c>
      <c r="J68" s="12" t="n">
        <v>0.7</v>
      </c>
      <c r="K68" s="12" t="n">
        <v>0.6</v>
      </c>
      <c r="L68" s="12" t="n">
        <v>0.9</v>
      </c>
      <c r="M68" s="12" t="n">
        <v>0.8</v>
      </c>
    </row>
    <row r="69" customFormat="false" ht="15.75" hidden="false" customHeight="false" outlineLevel="0" collapsed="false">
      <c r="A69" s="15" t="n">
        <v>9805341</v>
      </c>
      <c r="B69" s="10" t="n">
        <v>20</v>
      </c>
      <c r="C69" s="12" t="n">
        <v>8.8</v>
      </c>
      <c r="D69" s="12" t="n">
        <v>8.8</v>
      </c>
      <c r="E69" s="12" t="n">
        <v>1</v>
      </c>
      <c r="F69" s="12" t="n">
        <v>1.1</v>
      </c>
      <c r="G69" s="12" t="n">
        <v>1</v>
      </c>
      <c r="H69" s="12" t="n">
        <v>1.4</v>
      </c>
      <c r="I69" s="12" t="n">
        <v>1.3</v>
      </c>
      <c r="J69" s="12" t="n">
        <v>0.7</v>
      </c>
      <c r="K69" s="12" t="n">
        <v>0.6</v>
      </c>
      <c r="L69" s="12" t="n">
        <v>0.9</v>
      </c>
      <c r="M69" s="12" t="n">
        <v>0.8</v>
      </c>
    </row>
    <row r="70" customFormat="false" ht="15.7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8046875" defaultRowHeight="15.75" zeroHeight="false" outlineLevelRow="0" outlineLevelCol="0"/>
  <cols>
    <col collapsed="false" customWidth="true" hidden="false" outlineLevel="0" max="5" min="5" style="0" width="16.71"/>
  </cols>
  <sheetData>
    <row r="1" customFormat="false" ht="15.7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33</v>
      </c>
    </row>
    <row r="2" customFormat="false" ht="15.75" hidden="false" customHeight="false" outlineLevel="0" collapsed="false">
      <c r="A2" s="9"/>
      <c r="B2" s="10" t="n">
        <v>20</v>
      </c>
      <c r="C2" s="11" t="s">
        <v>14</v>
      </c>
      <c r="D2" s="11"/>
      <c r="E2" s="12" t="n">
        <v>1.2</v>
      </c>
    </row>
    <row r="3" customFormat="false" ht="15.75" hidden="false" customHeight="false" outlineLevel="0" collapsed="false">
      <c r="A3" s="9"/>
      <c r="B3" s="10" t="n">
        <v>17.7</v>
      </c>
      <c r="C3" s="11" t="s">
        <v>22</v>
      </c>
      <c r="D3" s="11"/>
      <c r="E3" s="13" t="n">
        <v>0.89</v>
      </c>
    </row>
    <row r="4" customFormat="false" ht="15.75" hidden="false" customHeight="false" outlineLevel="0" collapsed="false">
      <c r="A4" s="15" t="n">
        <v>9921470</v>
      </c>
      <c r="B4" s="10" t="n">
        <v>0</v>
      </c>
      <c r="C4" s="12" t="n">
        <v>0</v>
      </c>
      <c r="D4" s="12" t="n">
        <v>1.2</v>
      </c>
      <c r="E4" s="12" t="n">
        <v>0</v>
      </c>
    </row>
    <row r="5" customFormat="false" ht="15.75" hidden="false" customHeight="false" outlineLevel="0" collapsed="false">
      <c r="A5" s="15" t="n">
        <v>10310492</v>
      </c>
      <c r="B5" s="11" t="s">
        <v>23</v>
      </c>
      <c r="C5" s="16"/>
      <c r="D5" s="16"/>
      <c r="E5" s="16"/>
    </row>
    <row r="6" customFormat="false" ht="15.75" hidden="false" customHeight="false" outlineLevel="0" collapsed="false">
      <c r="A6" s="15" t="n">
        <v>9755822</v>
      </c>
      <c r="B6" s="11" t="s">
        <v>23</v>
      </c>
      <c r="C6" s="16"/>
      <c r="D6" s="16"/>
      <c r="E6" s="16"/>
    </row>
    <row r="7" customFormat="false" ht="15.75" hidden="false" customHeight="false" outlineLevel="0" collapsed="false">
      <c r="A7" s="15" t="n">
        <v>9760151</v>
      </c>
      <c r="B7" s="10" t="n">
        <v>20</v>
      </c>
      <c r="C7" s="12" t="n">
        <v>1.2</v>
      </c>
      <c r="D7" s="12" t="n">
        <v>1.2</v>
      </c>
      <c r="E7" s="12" t="n">
        <v>1.2</v>
      </c>
    </row>
    <row r="8" customFormat="false" ht="15.75" hidden="false" customHeight="false" outlineLevel="0" collapsed="false">
      <c r="A8" s="15" t="n">
        <v>10310662</v>
      </c>
      <c r="B8" s="11" t="s">
        <v>23</v>
      </c>
      <c r="C8" s="16"/>
      <c r="D8" s="16"/>
      <c r="E8" s="16"/>
    </row>
    <row r="9" customFormat="false" ht="15.75" hidden="false" customHeight="false" outlineLevel="0" collapsed="false">
      <c r="A9" s="15" t="n">
        <v>9311643</v>
      </c>
      <c r="B9" s="11" t="s">
        <v>23</v>
      </c>
      <c r="C9" s="16"/>
      <c r="D9" s="16"/>
      <c r="E9" s="16"/>
    </row>
    <row r="10" customFormat="false" ht="15.75" hidden="false" customHeight="false" outlineLevel="0" collapsed="false">
      <c r="A10" s="15" t="n">
        <v>10277001</v>
      </c>
      <c r="B10" s="11" t="s">
        <v>23</v>
      </c>
      <c r="C10" s="16"/>
      <c r="D10" s="16"/>
      <c r="E10" s="16"/>
    </row>
    <row r="11" customFormat="false" ht="15.75" hidden="false" customHeight="false" outlineLevel="0" collapsed="false">
      <c r="A11" s="15" t="n">
        <v>9424506</v>
      </c>
      <c r="B11" s="11" t="s">
        <v>23</v>
      </c>
      <c r="C11" s="16"/>
      <c r="D11" s="16"/>
      <c r="E11" s="16"/>
    </row>
    <row r="12" customFormat="false" ht="15.75" hidden="false" customHeight="false" outlineLevel="0" collapsed="false">
      <c r="A12" s="15" t="n">
        <v>9292462</v>
      </c>
      <c r="B12" s="11" t="s">
        <v>23</v>
      </c>
      <c r="C12" s="16"/>
      <c r="D12" s="16"/>
      <c r="E12" s="16"/>
    </row>
    <row r="13" customFormat="false" ht="15.75" hidden="false" customHeight="false" outlineLevel="0" collapsed="false">
      <c r="A13" s="15" t="n">
        <v>10273971</v>
      </c>
      <c r="B13" s="11" t="s">
        <v>23</v>
      </c>
      <c r="C13" s="16"/>
      <c r="D13" s="16"/>
      <c r="E13" s="16"/>
    </row>
    <row r="14" customFormat="false" ht="15.75" hidden="false" customHeight="false" outlineLevel="0" collapsed="false">
      <c r="A14" s="15" t="n">
        <v>9846222</v>
      </c>
      <c r="B14" s="11" t="s">
        <v>23</v>
      </c>
      <c r="C14" s="16"/>
      <c r="D14" s="16"/>
      <c r="E14" s="16"/>
    </row>
    <row r="15" customFormat="false" ht="15.75" hidden="false" customHeight="false" outlineLevel="0" collapsed="false">
      <c r="A15" s="15" t="n">
        <v>10377688</v>
      </c>
      <c r="B15" s="10" t="n">
        <v>6.5</v>
      </c>
      <c r="C15" s="12" t="n">
        <v>0.4</v>
      </c>
      <c r="D15" s="12" t="n">
        <v>1.2</v>
      </c>
      <c r="E15" s="12" t="n">
        <v>0.4</v>
      </c>
    </row>
    <row r="16" customFormat="false" ht="15.75" hidden="false" customHeight="false" outlineLevel="0" collapsed="false">
      <c r="A16" s="15" t="n">
        <v>10310676</v>
      </c>
      <c r="B16" s="10" t="n">
        <v>6.5</v>
      </c>
      <c r="C16" s="12" t="n">
        <v>0.4</v>
      </c>
      <c r="D16" s="12" t="n">
        <v>1.2</v>
      </c>
      <c r="E16" s="12" t="n">
        <v>0.4</v>
      </c>
    </row>
    <row r="17" customFormat="false" ht="15.75" hidden="false" customHeight="false" outlineLevel="0" collapsed="false">
      <c r="A17" s="15" t="n">
        <v>10351971</v>
      </c>
      <c r="B17" s="10" t="n">
        <v>6.5</v>
      </c>
      <c r="C17" s="12" t="n">
        <v>0.4</v>
      </c>
      <c r="D17" s="12" t="n">
        <v>1.2</v>
      </c>
      <c r="E17" s="12" t="n">
        <v>0.4</v>
      </c>
    </row>
    <row r="18" customFormat="false" ht="15.75" hidden="false" customHeight="false" outlineLevel="0" collapsed="false">
      <c r="A18" s="15" t="n">
        <v>10377538</v>
      </c>
      <c r="B18" s="10" t="n">
        <v>10</v>
      </c>
      <c r="C18" s="12" t="n">
        <v>0.6</v>
      </c>
      <c r="D18" s="12" t="n">
        <v>1.2</v>
      </c>
      <c r="E18" s="12" t="n">
        <v>0.6</v>
      </c>
    </row>
    <row r="19" customFormat="false" ht="15.75" hidden="false" customHeight="false" outlineLevel="0" collapsed="false">
      <c r="A19" s="15" t="n">
        <v>10352030</v>
      </c>
      <c r="B19" s="10" t="n">
        <v>16.5</v>
      </c>
      <c r="C19" s="12" t="n">
        <v>1</v>
      </c>
      <c r="D19" s="12" t="n">
        <v>1.2</v>
      </c>
      <c r="E19" s="12" t="n">
        <v>1</v>
      </c>
    </row>
    <row r="20" customFormat="false" ht="15.75" hidden="false" customHeight="false" outlineLevel="0" collapsed="false">
      <c r="A20" s="15" t="n">
        <v>10276949</v>
      </c>
      <c r="B20" s="10" t="n">
        <v>16.5</v>
      </c>
      <c r="C20" s="12" t="n">
        <v>1</v>
      </c>
      <c r="D20" s="12" t="n">
        <v>1.2</v>
      </c>
      <c r="E20" s="12" t="n">
        <v>1</v>
      </c>
    </row>
    <row r="21" customFormat="false" ht="15.75" hidden="false" customHeight="false" outlineLevel="0" collapsed="false">
      <c r="A21" s="15" t="n">
        <v>10277015</v>
      </c>
      <c r="B21" s="10" t="n">
        <v>16.5</v>
      </c>
      <c r="C21" s="12" t="n">
        <v>1</v>
      </c>
      <c r="D21" s="12" t="n">
        <v>1.2</v>
      </c>
      <c r="E21" s="12" t="n">
        <v>1</v>
      </c>
    </row>
    <row r="22" customFormat="false" ht="15.75" hidden="false" customHeight="false" outlineLevel="0" collapsed="false">
      <c r="A22" s="15" t="n">
        <v>10276737</v>
      </c>
      <c r="B22" s="10" t="n">
        <v>16.5</v>
      </c>
      <c r="C22" s="12" t="n">
        <v>1</v>
      </c>
      <c r="D22" s="12" t="n">
        <v>1.2</v>
      </c>
      <c r="E22" s="12" t="n">
        <v>1</v>
      </c>
    </row>
    <row r="23" customFormat="false" ht="15.75" hidden="false" customHeight="false" outlineLevel="0" collapsed="false">
      <c r="A23" s="15" t="n">
        <v>10276762</v>
      </c>
      <c r="B23" s="10" t="n">
        <v>16.5</v>
      </c>
      <c r="C23" s="12" t="n">
        <v>1</v>
      </c>
      <c r="D23" s="12" t="n">
        <v>1.2</v>
      </c>
      <c r="E23" s="12" t="n">
        <v>1</v>
      </c>
    </row>
    <row r="24" customFormat="false" ht="15.75" hidden="false" customHeight="false" outlineLevel="0" collapsed="false">
      <c r="A24" s="15" t="n">
        <v>10310471</v>
      </c>
      <c r="B24" s="10" t="n">
        <v>16.5</v>
      </c>
      <c r="C24" s="12" t="n">
        <v>1</v>
      </c>
      <c r="D24" s="12" t="n">
        <v>1.2</v>
      </c>
      <c r="E24" s="12" t="n">
        <v>1</v>
      </c>
    </row>
    <row r="25" customFormat="false" ht="15.75" hidden="false" customHeight="false" outlineLevel="0" collapsed="false">
      <c r="A25" s="15" t="n">
        <v>9795185</v>
      </c>
      <c r="B25" s="10" t="n">
        <v>16.5</v>
      </c>
      <c r="C25" s="12" t="n">
        <v>1</v>
      </c>
      <c r="D25" s="12" t="n">
        <v>1.2</v>
      </c>
      <c r="E25" s="12" t="n">
        <v>1</v>
      </c>
    </row>
    <row r="26" customFormat="false" ht="15.75" hidden="false" customHeight="false" outlineLevel="0" collapsed="false">
      <c r="A26" s="15" t="n">
        <v>9363926</v>
      </c>
      <c r="B26" s="10" t="n">
        <v>16.5</v>
      </c>
      <c r="C26" s="12" t="n">
        <v>1</v>
      </c>
      <c r="D26" s="12" t="n">
        <v>1.2</v>
      </c>
      <c r="E26" s="12" t="n">
        <v>1</v>
      </c>
    </row>
    <row r="27" customFormat="false" ht="15.75" hidden="false" customHeight="false" outlineLevel="0" collapsed="false">
      <c r="A27" s="15" t="n">
        <v>9285227</v>
      </c>
      <c r="B27" s="10" t="n">
        <v>16.5</v>
      </c>
      <c r="C27" s="12" t="n">
        <v>1</v>
      </c>
      <c r="D27" s="12" t="n">
        <v>1.2</v>
      </c>
      <c r="E27" s="12" t="n">
        <v>1</v>
      </c>
    </row>
    <row r="28" customFormat="false" ht="15.75" hidden="false" customHeight="false" outlineLevel="0" collapsed="false">
      <c r="A28" s="15" t="n">
        <v>10276953</v>
      </c>
      <c r="B28" s="10" t="n">
        <v>16.5</v>
      </c>
      <c r="C28" s="12" t="n">
        <v>1</v>
      </c>
      <c r="D28" s="12" t="n">
        <v>1.2</v>
      </c>
      <c r="E28" s="12" t="n">
        <v>1</v>
      </c>
    </row>
    <row r="29" customFormat="false" ht="15.75" hidden="false" customHeight="false" outlineLevel="0" collapsed="false">
      <c r="A29" s="15" t="n">
        <v>10277036</v>
      </c>
      <c r="B29" s="10" t="n">
        <v>16.5</v>
      </c>
      <c r="C29" s="12" t="n">
        <v>1</v>
      </c>
      <c r="D29" s="12" t="n">
        <v>1.2</v>
      </c>
      <c r="E29" s="12" t="n">
        <v>1</v>
      </c>
    </row>
    <row r="30" customFormat="false" ht="15.75" hidden="false" customHeight="false" outlineLevel="0" collapsed="false">
      <c r="A30" s="15" t="n">
        <v>9368772</v>
      </c>
      <c r="B30" s="10" t="n">
        <v>16.5</v>
      </c>
      <c r="C30" s="12" t="n">
        <v>1</v>
      </c>
      <c r="D30" s="12" t="n">
        <v>1.2</v>
      </c>
      <c r="E30" s="12" t="n">
        <v>1</v>
      </c>
    </row>
    <row r="31" customFormat="false" ht="15.75" hidden="false" customHeight="false" outlineLevel="0" collapsed="false">
      <c r="A31" s="15" t="n">
        <v>10276911</v>
      </c>
      <c r="B31" s="10" t="n">
        <v>20</v>
      </c>
      <c r="C31" s="12" t="n">
        <v>1.2</v>
      </c>
      <c r="D31" s="12" t="n">
        <v>1.2</v>
      </c>
      <c r="E31" s="12" t="n">
        <v>1.2</v>
      </c>
    </row>
    <row r="32" customFormat="false" ht="15.75" hidden="false" customHeight="false" outlineLevel="0" collapsed="false">
      <c r="A32" s="15" t="n">
        <v>10276974</v>
      </c>
      <c r="B32" s="10" t="n">
        <v>20</v>
      </c>
      <c r="C32" s="12" t="n">
        <v>1.2</v>
      </c>
      <c r="D32" s="12" t="n">
        <v>1.2</v>
      </c>
      <c r="E32" s="12" t="n">
        <v>1.2</v>
      </c>
    </row>
    <row r="33" customFormat="false" ht="15.75" hidden="false" customHeight="false" outlineLevel="0" collapsed="false">
      <c r="A33" s="15" t="n">
        <v>10310551</v>
      </c>
      <c r="B33" s="10" t="n">
        <v>20</v>
      </c>
      <c r="C33" s="12" t="n">
        <v>1.2</v>
      </c>
      <c r="D33" s="12" t="n">
        <v>1.2</v>
      </c>
      <c r="E33" s="12" t="n">
        <v>1.2</v>
      </c>
    </row>
    <row r="34" customFormat="false" ht="15.75" hidden="false" customHeight="false" outlineLevel="0" collapsed="false">
      <c r="A34" s="15" t="n">
        <v>10276928</v>
      </c>
      <c r="B34" s="10" t="n">
        <v>20</v>
      </c>
      <c r="C34" s="12" t="n">
        <v>1.2</v>
      </c>
      <c r="D34" s="12" t="n">
        <v>1.2</v>
      </c>
      <c r="E34" s="12" t="n">
        <v>1.2</v>
      </c>
    </row>
    <row r="35" customFormat="false" ht="15.75" hidden="false" customHeight="false" outlineLevel="0" collapsed="false">
      <c r="A35" s="15" t="n">
        <v>8656201</v>
      </c>
      <c r="B35" s="10" t="n">
        <v>20</v>
      </c>
      <c r="C35" s="12" t="n">
        <v>1.2</v>
      </c>
      <c r="D35" s="12" t="n">
        <v>1.2</v>
      </c>
      <c r="E35" s="12" t="n">
        <v>1.2</v>
      </c>
    </row>
    <row r="36" customFormat="false" ht="15.75" hidden="false" customHeight="false" outlineLevel="0" collapsed="false">
      <c r="A36" s="15" t="n">
        <v>698531</v>
      </c>
      <c r="B36" s="10" t="n">
        <v>20</v>
      </c>
      <c r="C36" s="12" t="n">
        <v>1.2</v>
      </c>
      <c r="D36" s="12" t="n">
        <v>1.2</v>
      </c>
      <c r="E36" s="12" t="n">
        <v>1.2</v>
      </c>
    </row>
    <row r="37" customFormat="false" ht="15.75" hidden="false" customHeight="false" outlineLevel="0" collapsed="false">
      <c r="A37" s="15" t="n">
        <v>10277022</v>
      </c>
      <c r="B37" s="10" t="n">
        <v>20</v>
      </c>
      <c r="C37" s="12" t="n">
        <v>1.2</v>
      </c>
      <c r="D37" s="12" t="n">
        <v>1.2</v>
      </c>
      <c r="E37" s="12" t="n">
        <v>1.2</v>
      </c>
    </row>
    <row r="38" customFormat="false" ht="15.75" hidden="false" customHeight="false" outlineLevel="0" collapsed="false">
      <c r="A38" s="15" t="n">
        <v>10276995</v>
      </c>
      <c r="B38" s="10" t="n">
        <v>20</v>
      </c>
      <c r="C38" s="12" t="n">
        <v>1.2</v>
      </c>
      <c r="D38" s="12" t="n">
        <v>1.2</v>
      </c>
      <c r="E38" s="12" t="n">
        <v>1.2</v>
      </c>
    </row>
    <row r="39" customFormat="false" ht="15.75" hidden="false" customHeight="false" outlineLevel="0" collapsed="false">
      <c r="A39" s="15" t="n">
        <v>10310342</v>
      </c>
      <c r="B39" s="10" t="n">
        <v>20</v>
      </c>
      <c r="C39" s="12" t="n">
        <v>1.2</v>
      </c>
      <c r="D39" s="12" t="n">
        <v>1.2</v>
      </c>
      <c r="E39" s="12" t="n">
        <v>1.2</v>
      </c>
    </row>
    <row r="40" customFormat="false" ht="15.75" hidden="false" customHeight="false" outlineLevel="0" collapsed="false">
      <c r="A40" s="15" t="n">
        <v>9065750</v>
      </c>
      <c r="B40" s="10" t="n">
        <v>20</v>
      </c>
      <c r="C40" s="12" t="n">
        <v>1.2</v>
      </c>
      <c r="D40" s="12" t="n">
        <v>1.2</v>
      </c>
      <c r="E40" s="12" t="n">
        <v>1.2</v>
      </c>
    </row>
    <row r="41" customFormat="false" ht="15.75" hidden="false" customHeight="false" outlineLevel="0" collapsed="false">
      <c r="A41" s="15" t="n">
        <v>10310700</v>
      </c>
      <c r="B41" s="10" t="n">
        <v>20</v>
      </c>
      <c r="C41" s="12" t="n">
        <v>1.2</v>
      </c>
      <c r="D41" s="12" t="n">
        <v>1.2</v>
      </c>
      <c r="E41" s="12" t="n">
        <v>1.2</v>
      </c>
    </row>
    <row r="42" customFormat="false" ht="15.75" hidden="false" customHeight="false" outlineLevel="0" collapsed="false">
      <c r="A42" s="15" t="n">
        <v>10276960</v>
      </c>
      <c r="B42" s="10" t="n">
        <v>20</v>
      </c>
      <c r="C42" s="12" t="n">
        <v>1.2</v>
      </c>
      <c r="D42" s="12" t="n">
        <v>1.2</v>
      </c>
      <c r="E42" s="12" t="n">
        <v>1.2</v>
      </c>
    </row>
    <row r="43" customFormat="false" ht="15.75" hidden="false" customHeight="false" outlineLevel="0" collapsed="false">
      <c r="A43" s="15" t="n">
        <v>9805320</v>
      </c>
      <c r="B43" s="10" t="n">
        <v>20</v>
      </c>
      <c r="C43" s="12" t="n">
        <v>1.2</v>
      </c>
      <c r="D43" s="12" t="n">
        <v>1.2</v>
      </c>
      <c r="E43" s="12" t="n">
        <v>1.2</v>
      </c>
    </row>
    <row r="44" customFormat="false" ht="15.75" hidden="false" customHeight="false" outlineLevel="0" collapsed="false">
      <c r="A44" s="15" t="n">
        <v>9274382</v>
      </c>
      <c r="B44" s="10" t="n">
        <v>20</v>
      </c>
      <c r="C44" s="12" t="n">
        <v>1.2</v>
      </c>
      <c r="D44" s="12" t="n">
        <v>1.2</v>
      </c>
      <c r="E44" s="12" t="n">
        <v>1.2</v>
      </c>
    </row>
    <row r="45" customFormat="false" ht="15.75" hidden="false" customHeight="false" outlineLevel="0" collapsed="false">
      <c r="A45" s="15" t="n">
        <v>10276831</v>
      </c>
      <c r="B45" s="10" t="n">
        <v>20</v>
      </c>
      <c r="C45" s="12" t="n">
        <v>1.2</v>
      </c>
      <c r="D45" s="12" t="n">
        <v>1.2</v>
      </c>
      <c r="E45" s="12" t="n">
        <v>1.2</v>
      </c>
    </row>
    <row r="46" customFormat="false" ht="15.75" hidden="false" customHeight="false" outlineLevel="0" collapsed="false">
      <c r="A46" s="15" t="n">
        <v>10260351</v>
      </c>
      <c r="B46" s="10" t="n">
        <v>20</v>
      </c>
      <c r="C46" s="12" t="n">
        <v>1.2</v>
      </c>
      <c r="D46" s="12" t="n">
        <v>1.2</v>
      </c>
      <c r="E46" s="12" t="n">
        <v>1.2</v>
      </c>
    </row>
    <row r="47" customFormat="false" ht="15.75" hidden="false" customHeight="false" outlineLevel="0" collapsed="false">
      <c r="A47" s="15" t="n">
        <v>10310888</v>
      </c>
      <c r="B47" s="10" t="n">
        <v>20</v>
      </c>
      <c r="C47" s="12" t="n">
        <v>1.2</v>
      </c>
      <c r="D47" s="12" t="n">
        <v>1.2</v>
      </c>
      <c r="E47" s="12" t="n">
        <v>1.2</v>
      </c>
    </row>
    <row r="48" customFormat="false" ht="15.75" hidden="false" customHeight="false" outlineLevel="0" collapsed="false">
      <c r="A48" s="15" t="n">
        <v>10276981</v>
      </c>
      <c r="B48" s="10" t="n">
        <v>20</v>
      </c>
      <c r="C48" s="12" t="n">
        <v>1.2</v>
      </c>
      <c r="D48" s="12" t="n">
        <v>1.2</v>
      </c>
      <c r="E48" s="12" t="n">
        <v>1.2</v>
      </c>
    </row>
    <row r="49" customFormat="false" ht="15.75" hidden="false" customHeight="false" outlineLevel="0" collapsed="false">
      <c r="A49" s="15" t="n">
        <v>9795272</v>
      </c>
      <c r="B49" s="10" t="n">
        <v>20</v>
      </c>
      <c r="C49" s="12" t="n">
        <v>1.2</v>
      </c>
      <c r="D49" s="12" t="n">
        <v>1.2</v>
      </c>
      <c r="E49" s="12" t="n">
        <v>1.2</v>
      </c>
    </row>
    <row r="50" customFormat="false" ht="15.75" hidden="false" customHeight="false" outlineLevel="0" collapsed="false">
      <c r="A50" s="15" t="n">
        <v>10310655</v>
      </c>
      <c r="B50" s="10" t="n">
        <v>20</v>
      </c>
      <c r="C50" s="12" t="n">
        <v>1.2</v>
      </c>
      <c r="D50" s="12" t="n">
        <v>1.2</v>
      </c>
      <c r="E50" s="12" t="n">
        <v>1.2</v>
      </c>
    </row>
    <row r="51" customFormat="false" ht="15.75" hidden="false" customHeight="false" outlineLevel="0" collapsed="false">
      <c r="A51" s="15" t="n">
        <v>10262669</v>
      </c>
      <c r="B51" s="10" t="n">
        <v>20</v>
      </c>
      <c r="C51" s="12" t="n">
        <v>1.2</v>
      </c>
      <c r="D51" s="12" t="n">
        <v>1.2</v>
      </c>
      <c r="E51" s="12" t="n">
        <v>1.2</v>
      </c>
    </row>
    <row r="52" customFormat="false" ht="15.75" hidden="false" customHeight="false" outlineLevel="0" collapsed="false">
      <c r="A52" s="15" t="n">
        <v>10310759</v>
      </c>
      <c r="B52" s="10" t="n">
        <v>20</v>
      </c>
      <c r="C52" s="12" t="n">
        <v>1.2</v>
      </c>
      <c r="D52" s="12" t="n">
        <v>1.2</v>
      </c>
      <c r="E52" s="12" t="n">
        <v>1.2</v>
      </c>
    </row>
    <row r="53" customFormat="false" ht="15.75" hidden="false" customHeight="false" outlineLevel="0" collapsed="false">
      <c r="A53" s="15" t="n">
        <v>10277040</v>
      </c>
      <c r="B53" s="10" t="n">
        <v>20</v>
      </c>
      <c r="C53" s="12" t="n">
        <v>1.2</v>
      </c>
      <c r="D53" s="12" t="n">
        <v>1.2</v>
      </c>
      <c r="E53" s="12" t="n">
        <v>1.2</v>
      </c>
    </row>
    <row r="54" customFormat="false" ht="15.75" hidden="false" customHeight="false" outlineLevel="0" collapsed="false">
      <c r="A54" s="15" t="n">
        <v>10276675</v>
      </c>
      <c r="B54" s="10" t="n">
        <v>20</v>
      </c>
      <c r="C54" s="12" t="n">
        <v>1.2</v>
      </c>
      <c r="D54" s="12" t="n">
        <v>1.2</v>
      </c>
      <c r="E54" s="12" t="n">
        <v>1.2</v>
      </c>
    </row>
    <row r="55" customFormat="false" ht="15.75" hidden="false" customHeight="false" outlineLevel="0" collapsed="false">
      <c r="A55" s="15" t="n">
        <v>10310721</v>
      </c>
      <c r="B55" s="10" t="n">
        <v>20</v>
      </c>
      <c r="C55" s="12" t="n">
        <v>1.2</v>
      </c>
      <c r="D55" s="12" t="n">
        <v>1.2</v>
      </c>
      <c r="E55" s="12" t="n">
        <v>1.2</v>
      </c>
    </row>
    <row r="56" customFormat="false" ht="15.75" hidden="false" customHeight="false" outlineLevel="0" collapsed="false">
      <c r="A56" s="15" t="n">
        <v>9790781</v>
      </c>
      <c r="B56" s="10" t="n">
        <v>20</v>
      </c>
      <c r="C56" s="12" t="n">
        <v>1.2</v>
      </c>
      <c r="D56" s="12" t="n">
        <v>1.2</v>
      </c>
      <c r="E56" s="12" t="n">
        <v>1.2</v>
      </c>
    </row>
    <row r="57" customFormat="false" ht="15.75" hidden="false" customHeight="false" outlineLevel="0" collapsed="false">
      <c r="A57" s="15" t="n">
        <v>9082496</v>
      </c>
      <c r="B57" s="10" t="n">
        <v>20</v>
      </c>
      <c r="C57" s="12" t="n">
        <v>1.2</v>
      </c>
      <c r="D57" s="12" t="n">
        <v>1.2</v>
      </c>
      <c r="E57" s="12" t="n">
        <v>1.2</v>
      </c>
    </row>
    <row r="58" customFormat="false" ht="15.75" hidden="false" customHeight="false" outlineLevel="0" collapsed="false">
      <c r="A58" s="15" t="n">
        <v>10351992</v>
      </c>
      <c r="B58" s="10" t="n">
        <v>20</v>
      </c>
      <c r="C58" s="12" t="n">
        <v>1.2</v>
      </c>
      <c r="D58" s="12" t="n">
        <v>1.2</v>
      </c>
      <c r="E58" s="12" t="n">
        <v>1.2</v>
      </c>
    </row>
    <row r="59" customFormat="false" ht="15.75" hidden="false" customHeight="false" outlineLevel="0" collapsed="false">
      <c r="A59" s="15" t="n">
        <v>10276932</v>
      </c>
      <c r="B59" s="10" t="n">
        <v>20</v>
      </c>
      <c r="C59" s="12" t="n">
        <v>1.2</v>
      </c>
      <c r="D59" s="12" t="n">
        <v>1.2</v>
      </c>
      <c r="E59" s="12" t="n">
        <v>1.2</v>
      </c>
    </row>
    <row r="60" customFormat="false" ht="15.75" hidden="false" customHeight="false" outlineLevel="0" collapsed="false">
      <c r="A60" s="15" t="n">
        <v>10276682</v>
      </c>
      <c r="B60" s="10" t="n">
        <v>20</v>
      </c>
      <c r="C60" s="12" t="n">
        <v>1.2</v>
      </c>
      <c r="D60" s="12" t="n">
        <v>1.2</v>
      </c>
      <c r="E60" s="12" t="n">
        <v>1.2</v>
      </c>
    </row>
    <row r="61" customFormat="false" ht="15.75" hidden="false" customHeight="false" outlineLevel="0" collapsed="false">
      <c r="A61" s="15" t="n">
        <v>10276720</v>
      </c>
      <c r="B61" s="10" t="n">
        <v>20</v>
      </c>
      <c r="C61" s="12" t="n">
        <v>1.2</v>
      </c>
      <c r="D61" s="12" t="n">
        <v>1.2</v>
      </c>
      <c r="E61" s="12" t="n">
        <v>1.2</v>
      </c>
    </row>
    <row r="62" customFormat="false" ht="15.75" hidden="false" customHeight="false" outlineLevel="0" collapsed="false">
      <c r="A62" s="15" t="n">
        <v>10276866</v>
      </c>
      <c r="B62" s="10" t="n">
        <v>20</v>
      </c>
      <c r="C62" s="12" t="n">
        <v>1.2</v>
      </c>
      <c r="D62" s="12" t="n">
        <v>1.2</v>
      </c>
      <c r="E62" s="12" t="n">
        <v>1.2</v>
      </c>
    </row>
    <row r="63" customFormat="false" ht="15.75" hidden="false" customHeight="false" outlineLevel="0" collapsed="false">
      <c r="A63" s="15" t="n">
        <v>10276852</v>
      </c>
      <c r="B63" s="10" t="n">
        <v>20</v>
      </c>
      <c r="C63" s="12" t="n">
        <v>1.2</v>
      </c>
      <c r="D63" s="12" t="n">
        <v>1.2</v>
      </c>
      <c r="E63" s="12" t="n">
        <v>1.2</v>
      </c>
    </row>
    <row r="64" customFormat="false" ht="15.75" hidden="false" customHeight="false" outlineLevel="0" collapsed="false">
      <c r="A64" s="15" t="n">
        <v>9805341</v>
      </c>
      <c r="B64" s="10" t="n">
        <v>20</v>
      </c>
      <c r="C64" s="12" t="n">
        <v>1.2</v>
      </c>
      <c r="D64" s="12" t="n">
        <v>1.2</v>
      </c>
      <c r="E64" s="12" t="n">
        <v>1.2</v>
      </c>
    </row>
    <row r="65" customFormat="false" ht="15.75" hidden="false" customHeight="false" outlineLevel="0" collapsed="false">
      <c r="A65" s="15" t="n">
        <v>10276654</v>
      </c>
      <c r="B65" s="10" t="n">
        <v>20</v>
      </c>
      <c r="C65" s="12" t="n">
        <v>1.2</v>
      </c>
      <c r="D65" s="12" t="n">
        <v>1.2</v>
      </c>
      <c r="E65" s="12" t="n">
        <v>1.2</v>
      </c>
    </row>
    <row r="66" customFormat="false" ht="15.75" hidden="false" customHeight="false" outlineLevel="0" collapsed="false">
      <c r="A66" s="15" t="n">
        <v>10276661</v>
      </c>
      <c r="B66" s="10" t="n">
        <v>20</v>
      </c>
      <c r="C66" s="12" t="n">
        <v>1.2</v>
      </c>
      <c r="D66" s="12" t="n">
        <v>1.2</v>
      </c>
      <c r="E66" s="12" t="n">
        <v>1.2</v>
      </c>
    </row>
    <row r="67" customFormat="false" ht="15.75" hidden="false" customHeight="false" outlineLevel="0" collapsed="false">
      <c r="A67" s="15" t="n">
        <v>10276907</v>
      </c>
      <c r="B67" s="10" t="n">
        <v>20</v>
      </c>
      <c r="C67" s="12" t="n">
        <v>1.2</v>
      </c>
      <c r="D67" s="12" t="n">
        <v>1.2</v>
      </c>
      <c r="E67" s="12" t="n">
        <v>1.2</v>
      </c>
    </row>
    <row r="68" customFormat="false" ht="15.75" hidden="false" customHeight="false" outlineLevel="0" collapsed="false">
      <c r="A68" s="15" t="n">
        <v>9436110</v>
      </c>
      <c r="B68" s="10" t="n">
        <v>20</v>
      </c>
      <c r="C68" s="12" t="n">
        <v>1.2</v>
      </c>
      <c r="D68" s="12" t="n">
        <v>1.2</v>
      </c>
      <c r="E68" s="12" t="n">
        <v>1.2</v>
      </c>
    </row>
    <row r="69" customFormat="false" ht="15.75" hidden="false" customHeight="false" outlineLevel="0" collapsed="false">
      <c r="A69" s="15" t="n">
        <v>9842913</v>
      </c>
      <c r="B69" s="10" t="n">
        <v>20</v>
      </c>
      <c r="C69" s="12" t="n">
        <v>1.2</v>
      </c>
      <c r="D69" s="12" t="n">
        <v>1.2</v>
      </c>
      <c r="E69" s="12" t="n">
        <v>1.2</v>
      </c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2" style="0" width="10.86"/>
    <col collapsed="false" customWidth="true" hidden="false" outlineLevel="0" max="5" min="5" style="0" width="19.57"/>
    <col collapsed="false" customWidth="true" hidden="false" outlineLevel="0" max="6" min="6" style="0" width="14.86"/>
    <col collapsed="false" customWidth="true" hidden="false" outlineLevel="0" max="7" min="7" style="0" width="17.86"/>
    <col collapsed="false" customWidth="true" hidden="false" outlineLevel="0" max="8" min="8" style="0" width="22.01"/>
    <col collapsed="false" customWidth="true" hidden="false" outlineLevel="0" max="9" min="9" style="0" width="20.3"/>
    <col collapsed="false" customWidth="true" hidden="false" outlineLevel="0" max="10" min="10" style="0" width="23.71"/>
    <col collapsed="false" customWidth="true" hidden="false" outlineLevel="0" max="11" min="11" style="0" width="22.01"/>
    <col collapsed="false" customWidth="true" hidden="false" outlineLevel="0" max="12" min="12" style="0" width="24.71"/>
    <col collapsed="false" customWidth="true" hidden="false" outlineLevel="0" max="13" min="13" style="0" width="23.01"/>
  </cols>
  <sheetData>
    <row r="1" customFormat="false" ht="12.75" hidden="false" customHeight="true" outlineLevel="0" collapsed="false">
      <c r="A1" s="20" t="s">
        <v>11</v>
      </c>
      <c r="B1" s="8" t="s">
        <v>12</v>
      </c>
      <c r="C1" s="8" t="s">
        <v>13</v>
      </c>
      <c r="D1" s="8" t="s">
        <v>14</v>
      </c>
      <c r="E1" s="8" t="s">
        <v>30</v>
      </c>
      <c r="F1" s="8" t="s">
        <v>17</v>
      </c>
      <c r="G1" s="8" t="s">
        <v>18</v>
      </c>
      <c r="H1" s="8" t="s">
        <v>19</v>
      </c>
      <c r="I1" s="8" t="s">
        <v>31</v>
      </c>
      <c r="J1" s="8" t="s">
        <v>20</v>
      </c>
      <c r="K1" s="8" t="s">
        <v>28</v>
      </c>
      <c r="L1" s="8" t="s">
        <v>21</v>
      </c>
      <c r="M1" s="8" t="s">
        <v>32</v>
      </c>
      <c r="N1" s="21"/>
      <c r="O1" s="21"/>
      <c r="P1" s="21"/>
      <c r="Q1" s="21"/>
    </row>
    <row r="2" customFormat="false" ht="12.75" hidden="false" customHeight="true" outlineLevel="0" collapsed="false">
      <c r="A2" s="22"/>
      <c r="B2" s="23" t="n">
        <v>20</v>
      </c>
      <c r="C2" s="11" t="s">
        <v>14</v>
      </c>
      <c r="D2" s="11"/>
      <c r="E2" s="24" t="n">
        <v>1</v>
      </c>
      <c r="F2" s="24" t="n">
        <v>1.1</v>
      </c>
      <c r="G2" s="24" t="n">
        <v>1</v>
      </c>
      <c r="H2" s="24" t="n">
        <v>1.4</v>
      </c>
      <c r="I2" s="24" t="n">
        <v>1.3</v>
      </c>
      <c r="J2" s="24" t="n">
        <v>0.7</v>
      </c>
      <c r="K2" s="24" t="n">
        <v>0.6</v>
      </c>
      <c r="L2" s="24" t="n">
        <v>0.9</v>
      </c>
      <c r="M2" s="24" t="n">
        <v>0.8</v>
      </c>
      <c r="N2" s="21"/>
      <c r="O2" s="21"/>
      <c r="P2" s="21"/>
      <c r="Q2" s="21"/>
    </row>
    <row r="3" customFormat="false" ht="12.75" hidden="false" customHeight="true" outlineLevel="0" collapsed="false">
      <c r="A3" s="22"/>
      <c r="B3" s="23" t="n">
        <v>13.3</v>
      </c>
      <c r="C3" s="11" t="s">
        <v>22</v>
      </c>
      <c r="D3" s="11"/>
      <c r="E3" s="13" t="n">
        <v>0.6</v>
      </c>
      <c r="F3" s="13" t="n">
        <v>0.6</v>
      </c>
      <c r="G3" s="13" t="n">
        <v>0.88</v>
      </c>
      <c r="H3" s="13" t="n">
        <v>0.53</v>
      </c>
      <c r="I3" s="13" t="n">
        <v>0.8</v>
      </c>
      <c r="J3" s="13" t="n">
        <v>0.72</v>
      </c>
      <c r="K3" s="13" t="n">
        <v>0.79</v>
      </c>
      <c r="L3" s="13" t="n">
        <v>0.5</v>
      </c>
      <c r="M3" s="13" t="n">
        <v>0.75</v>
      </c>
      <c r="N3" s="21"/>
      <c r="O3" s="21"/>
      <c r="P3" s="21"/>
      <c r="Q3" s="21"/>
    </row>
    <row r="4" customFormat="false" ht="12.75" hidden="false" customHeight="true" outlineLevel="0" collapsed="false">
      <c r="A4" s="25" t="n">
        <v>10310662</v>
      </c>
      <c r="B4" s="11" t="s">
        <v>23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1"/>
      <c r="O4" s="21"/>
      <c r="P4" s="21"/>
      <c r="Q4" s="21"/>
    </row>
    <row r="5" customFormat="false" ht="12.75" hidden="false" customHeight="true" outlineLevel="0" collapsed="false">
      <c r="A5" s="25" t="n">
        <v>10277001</v>
      </c>
      <c r="B5" s="11" t="s">
        <v>23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1"/>
      <c r="O5" s="21"/>
      <c r="P5" s="21"/>
      <c r="Q5" s="21"/>
    </row>
    <row r="6" customFormat="false" ht="12.75" hidden="false" customHeight="true" outlineLevel="0" collapsed="false">
      <c r="A6" s="25" t="n">
        <v>9846222</v>
      </c>
      <c r="B6" s="11" t="s">
        <v>23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1"/>
      <c r="O6" s="21"/>
      <c r="P6" s="21"/>
      <c r="Q6" s="21"/>
    </row>
    <row r="7" customFormat="false" ht="12.75" hidden="false" customHeight="true" outlineLevel="0" collapsed="false">
      <c r="A7" s="25" t="n">
        <v>9755822</v>
      </c>
      <c r="B7" s="23" t="n">
        <v>4</v>
      </c>
      <c r="C7" s="24" t="n">
        <v>1.94</v>
      </c>
      <c r="D7" s="24" t="n">
        <v>8.8</v>
      </c>
      <c r="E7" s="24" t="n">
        <v>0</v>
      </c>
      <c r="F7" s="24" t="n">
        <v>0</v>
      </c>
      <c r="G7" s="24" t="n">
        <v>0</v>
      </c>
      <c r="H7" s="24" t="n">
        <v>0.35</v>
      </c>
      <c r="I7" s="24" t="n">
        <v>0</v>
      </c>
      <c r="J7" s="24" t="n">
        <v>0.46</v>
      </c>
      <c r="K7" s="24" t="n">
        <v>0.6</v>
      </c>
      <c r="L7" s="24" t="n">
        <v>0</v>
      </c>
      <c r="M7" s="24" t="n">
        <v>0.53</v>
      </c>
      <c r="N7" s="21"/>
      <c r="O7" s="21"/>
      <c r="P7" s="21"/>
      <c r="Q7" s="21"/>
    </row>
    <row r="8" customFormat="false" ht="12.75" hidden="false" customHeight="true" outlineLevel="0" collapsed="false">
      <c r="A8" s="25" t="n">
        <v>10276654</v>
      </c>
      <c r="B8" s="23" t="n">
        <v>4</v>
      </c>
      <c r="C8" s="24" t="n">
        <v>1.93</v>
      </c>
      <c r="D8" s="24" t="n">
        <v>8.8</v>
      </c>
      <c r="E8" s="27"/>
      <c r="F8" s="24" t="n">
        <v>1.1</v>
      </c>
      <c r="G8" s="27"/>
      <c r="H8" s="27"/>
      <c r="I8" s="27"/>
      <c r="J8" s="24" t="n">
        <v>0.56</v>
      </c>
      <c r="K8" s="24" t="n">
        <v>0</v>
      </c>
      <c r="L8" s="27"/>
      <c r="M8" s="24" t="n">
        <v>0.27</v>
      </c>
      <c r="N8" s="21"/>
      <c r="O8" s="21"/>
      <c r="P8" s="21"/>
      <c r="Q8" s="21"/>
    </row>
    <row r="9" customFormat="false" ht="12.75" hidden="false" customHeight="true" outlineLevel="0" collapsed="false">
      <c r="A9" s="25" t="n">
        <v>8656201</v>
      </c>
      <c r="B9" s="23" t="n">
        <v>4.5</v>
      </c>
      <c r="C9" s="24" t="n">
        <v>2.14</v>
      </c>
      <c r="D9" s="24" t="n">
        <v>8.8</v>
      </c>
      <c r="E9" s="24" t="n">
        <v>0</v>
      </c>
      <c r="F9" s="24" t="n">
        <v>0</v>
      </c>
      <c r="G9" s="24" t="n">
        <v>0</v>
      </c>
      <c r="H9" s="24" t="n">
        <v>1.4</v>
      </c>
      <c r="I9" s="24" t="n">
        <v>0</v>
      </c>
      <c r="J9" s="24" t="n">
        <v>0</v>
      </c>
      <c r="K9" s="24" t="n">
        <v>0.21</v>
      </c>
      <c r="L9" s="24" t="n">
        <v>0</v>
      </c>
      <c r="M9" s="24" t="n">
        <v>0.53</v>
      </c>
      <c r="N9" s="21"/>
      <c r="O9" s="21"/>
      <c r="P9" s="21"/>
      <c r="Q9" s="21"/>
    </row>
    <row r="10" customFormat="false" ht="12.75" hidden="false" customHeight="true" outlineLevel="0" collapsed="false">
      <c r="A10" s="25" t="n">
        <v>9368772</v>
      </c>
      <c r="B10" s="23" t="n">
        <v>6.5</v>
      </c>
      <c r="C10" s="24" t="n">
        <v>3.05</v>
      </c>
      <c r="D10" s="24" t="n">
        <v>8.8</v>
      </c>
      <c r="E10" s="24" t="n">
        <v>0</v>
      </c>
      <c r="F10" s="27"/>
      <c r="G10" s="24" t="n">
        <v>0.5</v>
      </c>
      <c r="H10" s="24" t="n">
        <v>0</v>
      </c>
      <c r="I10" s="24" t="n">
        <v>0.87</v>
      </c>
      <c r="J10" s="24" t="n">
        <v>0.22</v>
      </c>
      <c r="K10" s="24" t="n">
        <v>0.48</v>
      </c>
      <c r="L10" s="24" t="n">
        <v>0.45</v>
      </c>
      <c r="M10" s="24" t="n">
        <v>0.53</v>
      </c>
      <c r="N10" s="21"/>
      <c r="O10" s="21"/>
      <c r="P10" s="21"/>
      <c r="Q10" s="21"/>
    </row>
    <row r="11" customFormat="false" ht="12.75" hidden="false" customHeight="true" outlineLevel="0" collapsed="false">
      <c r="A11" s="25" t="n">
        <v>9292462</v>
      </c>
      <c r="B11" s="23" t="n">
        <v>7.5</v>
      </c>
      <c r="C11" s="24" t="n">
        <v>3.44</v>
      </c>
      <c r="D11" s="24" t="n">
        <v>8.8</v>
      </c>
      <c r="E11" s="24" t="n">
        <v>0</v>
      </c>
      <c r="F11" s="24" t="n">
        <v>0.18</v>
      </c>
      <c r="G11" s="24" t="n">
        <v>1</v>
      </c>
      <c r="H11" s="24" t="n">
        <v>0.35</v>
      </c>
      <c r="I11" s="24" t="n">
        <v>0</v>
      </c>
      <c r="J11" s="24" t="n">
        <v>0.56</v>
      </c>
      <c r="K11" s="24" t="n">
        <v>0.55</v>
      </c>
      <c r="L11" s="24" t="n">
        <v>0</v>
      </c>
      <c r="M11" s="24" t="n">
        <v>0.8</v>
      </c>
      <c r="N11" s="21"/>
      <c r="O11" s="21"/>
      <c r="P11" s="21"/>
      <c r="Q11" s="21"/>
    </row>
    <row r="12" customFormat="false" ht="12.75" hidden="false" customHeight="true" outlineLevel="0" collapsed="false">
      <c r="A12" s="25" t="n">
        <v>10352030</v>
      </c>
      <c r="B12" s="23" t="n">
        <v>8.5</v>
      </c>
      <c r="C12" s="24" t="n">
        <v>3.79</v>
      </c>
      <c r="D12" s="24" t="n">
        <v>8.8</v>
      </c>
      <c r="E12" s="24" t="n">
        <v>1</v>
      </c>
      <c r="F12" s="24" t="n">
        <v>0.18</v>
      </c>
      <c r="G12" s="24" t="n">
        <v>0</v>
      </c>
      <c r="H12" s="24" t="n">
        <v>0.35</v>
      </c>
      <c r="I12" s="24" t="n">
        <v>0</v>
      </c>
      <c r="J12" s="24" t="n">
        <v>0.46</v>
      </c>
      <c r="K12" s="24" t="n">
        <v>0.55</v>
      </c>
      <c r="L12" s="24" t="n">
        <v>0.45</v>
      </c>
      <c r="M12" s="24" t="n">
        <v>0.8</v>
      </c>
      <c r="N12" s="21"/>
      <c r="O12" s="21"/>
      <c r="P12" s="21"/>
      <c r="Q12" s="21"/>
    </row>
    <row r="13" customFormat="false" ht="12.75" hidden="false" customHeight="true" outlineLevel="0" collapsed="false">
      <c r="A13" s="25" t="n">
        <v>9082496</v>
      </c>
      <c r="B13" s="23" t="n">
        <v>8.5</v>
      </c>
      <c r="C13" s="24" t="n">
        <v>3.86</v>
      </c>
      <c r="D13" s="24" t="n">
        <v>8.8</v>
      </c>
      <c r="E13" s="24" t="n">
        <v>0</v>
      </c>
      <c r="F13" s="24" t="n">
        <v>0.18</v>
      </c>
      <c r="G13" s="24" t="n">
        <v>0</v>
      </c>
      <c r="H13" s="24" t="n">
        <v>1.4</v>
      </c>
      <c r="I13" s="24" t="n">
        <v>0.87</v>
      </c>
      <c r="J13" s="24" t="n">
        <v>0.6</v>
      </c>
      <c r="K13" s="24" t="n">
        <v>0.27</v>
      </c>
      <c r="L13" s="24" t="n">
        <v>0</v>
      </c>
      <c r="M13" s="24" t="n">
        <v>0.53</v>
      </c>
      <c r="N13" s="21"/>
      <c r="O13" s="21"/>
      <c r="P13" s="21"/>
      <c r="Q13" s="21"/>
    </row>
    <row r="14" customFormat="false" ht="12.75" hidden="false" customHeight="true" outlineLevel="0" collapsed="false">
      <c r="A14" s="25" t="n">
        <v>10310888</v>
      </c>
      <c r="B14" s="23" t="n">
        <v>9</v>
      </c>
      <c r="C14" s="24" t="n">
        <v>4.08</v>
      </c>
      <c r="D14" s="24" t="n">
        <v>8.8</v>
      </c>
      <c r="E14" s="27"/>
      <c r="F14" s="24" t="n">
        <v>0.18</v>
      </c>
      <c r="G14" s="24" t="n">
        <v>1</v>
      </c>
      <c r="H14" s="24" t="n">
        <v>0.7</v>
      </c>
      <c r="I14" s="24" t="n">
        <v>0.87</v>
      </c>
      <c r="J14" s="24" t="n">
        <v>0.12</v>
      </c>
      <c r="K14" s="24" t="n">
        <v>0.38</v>
      </c>
      <c r="L14" s="24" t="n">
        <v>0.45</v>
      </c>
      <c r="M14" s="24" t="n">
        <v>0.37</v>
      </c>
      <c r="N14" s="21"/>
      <c r="O14" s="21"/>
      <c r="P14" s="21"/>
      <c r="Q14" s="21"/>
    </row>
    <row r="15" customFormat="false" ht="12.75" hidden="false" customHeight="true" outlineLevel="0" collapsed="false">
      <c r="A15" s="25" t="n">
        <v>9274382</v>
      </c>
      <c r="B15" s="23" t="n">
        <v>9.5</v>
      </c>
      <c r="C15" s="24" t="n">
        <v>4.39</v>
      </c>
      <c r="D15" s="24" t="n">
        <v>8.8</v>
      </c>
      <c r="E15" s="24" t="n">
        <v>1</v>
      </c>
      <c r="F15" s="24" t="n">
        <v>0.18</v>
      </c>
      <c r="G15" s="24" t="n">
        <v>1</v>
      </c>
      <c r="H15" s="24" t="n">
        <v>0.7</v>
      </c>
      <c r="I15" s="24" t="n">
        <v>0</v>
      </c>
      <c r="J15" s="24" t="n">
        <v>0.46</v>
      </c>
      <c r="K15" s="24" t="n">
        <v>0.07</v>
      </c>
      <c r="L15" s="24" t="n">
        <v>0.45</v>
      </c>
      <c r="M15" s="24" t="n">
        <v>0.53</v>
      </c>
      <c r="N15" s="21"/>
      <c r="O15" s="21"/>
      <c r="P15" s="21"/>
      <c r="Q15" s="21"/>
    </row>
    <row r="16" customFormat="false" ht="12.75" hidden="false" customHeight="true" outlineLevel="0" collapsed="false">
      <c r="A16" s="25" t="n">
        <v>10276682</v>
      </c>
      <c r="B16" s="23" t="n">
        <v>9.5</v>
      </c>
      <c r="C16" s="24" t="n">
        <v>4.24</v>
      </c>
      <c r="D16" s="24" t="n">
        <v>8.8</v>
      </c>
      <c r="E16" s="24" t="n">
        <v>0</v>
      </c>
      <c r="F16" s="24" t="n">
        <v>0.18</v>
      </c>
      <c r="G16" s="24" t="n">
        <v>1</v>
      </c>
      <c r="H16" s="24" t="n">
        <v>0</v>
      </c>
      <c r="I16" s="24" t="n">
        <v>0.87</v>
      </c>
      <c r="J16" s="24" t="n">
        <v>0.5</v>
      </c>
      <c r="K16" s="24" t="n">
        <v>0.6</v>
      </c>
      <c r="L16" s="24" t="n">
        <v>0.45</v>
      </c>
      <c r="M16" s="24" t="n">
        <v>0.64</v>
      </c>
      <c r="N16" s="21"/>
      <c r="O16" s="21"/>
      <c r="P16" s="21"/>
      <c r="Q16" s="21"/>
    </row>
    <row r="17" customFormat="false" ht="12.75" hidden="false" customHeight="true" outlineLevel="0" collapsed="false">
      <c r="A17" s="25" t="n">
        <v>698531</v>
      </c>
      <c r="B17" s="23" t="n">
        <v>10.5</v>
      </c>
      <c r="C17" s="24" t="n">
        <v>4.66</v>
      </c>
      <c r="D17" s="24" t="n">
        <v>8.8</v>
      </c>
      <c r="E17" s="24" t="n">
        <v>1</v>
      </c>
      <c r="F17" s="24" t="n">
        <v>1.1</v>
      </c>
      <c r="G17" s="24" t="n">
        <v>1</v>
      </c>
      <c r="H17" s="24" t="n">
        <v>0</v>
      </c>
      <c r="I17" s="24" t="n">
        <v>0</v>
      </c>
      <c r="J17" s="24" t="n">
        <v>0.7</v>
      </c>
      <c r="K17" s="24" t="n">
        <v>0.49</v>
      </c>
      <c r="L17" s="27"/>
      <c r="M17" s="24" t="n">
        <v>0.37</v>
      </c>
      <c r="N17" s="21"/>
      <c r="O17" s="21"/>
      <c r="P17" s="21"/>
      <c r="Q17" s="21"/>
    </row>
    <row r="18" customFormat="false" ht="12.75" hidden="false" customHeight="true" outlineLevel="0" collapsed="false">
      <c r="A18" s="25" t="n">
        <v>10310655</v>
      </c>
      <c r="B18" s="23" t="n">
        <v>10.5</v>
      </c>
      <c r="C18" s="24" t="n">
        <v>4.83</v>
      </c>
      <c r="D18" s="24" t="n">
        <v>8.8</v>
      </c>
      <c r="E18" s="28"/>
      <c r="F18" s="24" t="n">
        <v>0.55</v>
      </c>
      <c r="G18" s="24" t="n">
        <v>1</v>
      </c>
      <c r="H18" s="24" t="n">
        <v>0.7</v>
      </c>
      <c r="I18" s="24" t="n">
        <v>0.87</v>
      </c>
      <c r="J18" s="24" t="n">
        <v>0.46</v>
      </c>
      <c r="K18" s="24" t="n">
        <v>0.43</v>
      </c>
      <c r="L18" s="24" t="n">
        <v>0.45</v>
      </c>
      <c r="M18" s="24" t="n">
        <v>0.37</v>
      </c>
      <c r="N18" s="21"/>
      <c r="O18" s="21"/>
      <c r="P18" s="21"/>
      <c r="Q18" s="21"/>
    </row>
    <row r="19" customFormat="false" ht="12.75" hidden="false" customHeight="true" outlineLevel="0" collapsed="false">
      <c r="A19" s="25" t="n">
        <v>10276932</v>
      </c>
      <c r="B19" s="23" t="n">
        <v>10.5</v>
      </c>
      <c r="C19" s="24" t="n">
        <v>4.75</v>
      </c>
      <c r="D19" s="24" t="n">
        <v>8.8</v>
      </c>
      <c r="E19" s="24" t="n">
        <v>0</v>
      </c>
      <c r="F19" s="24" t="n">
        <v>0.55</v>
      </c>
      <c r="G19" s="24" t="n">
        <v>1</v>
      </c>
      <c r="H19" s="24" t="n">
        <v>0</v>
      </c>
      <c r="I19" s="24" t="n">
        <v>0.87</v>
      </c>
      <c r="J19" s="24" t="n">
        <v>0.46</v>
      </c>
      <c r="K19" s="24" t="n">
        <v>0.6</v>
      </c>
      <c r="L19" s="24" t="n">
        <v>0.9</v>
      </c>
      <c r="M19" s="24" t="n">
        <v>0.37</v>
      </c>
      <c r="N19" s="21"/>
      <c r="O19" s="21"/>
      <c r="P19" s="21"/>
      <c r="Q19" s="21"/>
    </row>
    <row r="20" customFormat="false" ht="12.75" hidden="false" customHeight="true" outlineLevel="0" collapsed="false">
      <c r="A20" s="25" t="n">
        <v>9805320</v>
      </c>
      <c r="B20" s="23" t="n">
        <v>11</v>
      </c>
      <c r="C20" s="24" t="n">
        <v>5.04</v>
      </c>
      <c r="D20" s="24" t="n">
        <v>8.8</v>
      </c>
      <c r="E20" s="27"/>
      <c r="F20" s="27"/>
      <c r="G20" s="24" t="n">
        <v>1</v>
      </c>
      <c r="H20" s="24" t="n">
        <v>0.7</v>
      </c>
      <c r="I20" s="24" t="n">
        <v>1.3</v>
      </c>
      <c r="J20" s="24" t="n">
        <v>0.46</v>
      </c>
      <c r="K20" s="24" t="n">
        <v>0.6</v>
      </c>
      <c r="L20" s="24" t="n">
        <v>0.45</v>
      </c>
      <c r="M20" s="24" t="n">
        <v>0.53</v>
      </c>
      <c r="N20" s="21"/>
      <c r="O20" s="21"/>
      <c r="P20" s="21"/>
      <c r="Q20" s="21"/>
    </row>
    <row r="21" customFormat="false" ht="12.75" hidden="false" customHeight="true" outlineLevel="0" collapsed="false">
      <c r="A21" s="25" t="n">
        <v>10260351</v>
      </c>
      <c r="B21" s="23" t="n">
        <v>11</v>
      </c>
      <c r="C21" s="24" t="n">
        <v>5.06</v>
      </c>
      <c r="D21" s="24" t="n">
        <v>8.8</v>
      </c>
      <c r="E21" s="24" t="n">
        <v>0</v>
      </c>
      <c r="F21" s="24" t="n">
        <v>0</v>
      </c>
      <c r="G21" s="24" t="n">
        <v>0.5</v>
      </c>
      <c r="H21" s="24" t="n">
        <v>1.4</v>
      </c>
      <c r="I21" s="24" t="n">
        <v>0.87</v>
      </c>
      <c r="J21" s="24" t="n">
        <v>0.6</v>
      </c>
      <c r="K21" s="24" t="n">
        <v>0.6</v>
      </c>
      <c r="L21" s="24" t="n">
        <v>0.45</v>
      </c>
      <c r="M21" s="24" t="n">
        <v>0.64</v>
      </c>
      <c r="N21" s="21"/>
      <c r="O21" s="21"/>
      <c r="P21" s="21"/>
      <c r="Q21" s="21"/>
    </row>
    <row r="22" customFormat="false" ht="12.75" hidden="false" customHeight="true" outlineLevel="0" collapsed="false">
      <c r="A22" s="25" t="n">
        <v>10310551</v>
      </c>
      <c r="B22" s="23" t="n">
        <v>11.5</v>
      </c>
      <c r="C22" s="24" t="n">
        <v>5.23</v>
      </c>
      <c r="D22" s="24" t="n">
        <v>8.8</v>
      </c>
      <c r="E22" s="24" t="n">
        <v>0</v>
      </c>
      <c r="F22" s="24" t="n">
        <v>1.1</v>
      </c>
      <c r="G22" s="24" t="n">
        <v>1</v>
      </c>
      <c r="H22" s="24" t="n">
        <v>0</v>
      </c>
      <c r="I22" s="24" t="n">
        <v>1.3</v>
      </c>
      <c r="J22" s="24" t="n">
        <v>0.7</v>
      </c>
      <c r="K22" s="24" t="n">
        <v>0.49</v>
      </c>
      <c r="L22" s="24" t="n">
        <v>0</v>
      </c>
      <c r="M22" s="24" t="n">
        <v>0.64</v>
      </c>
      <c r="N22" s="21"/>
      <c r="O22" s="21"/>
      <c r="P22" s="21"/>
      <c r="Q22" s="21"/>
    </row>
    <row r="23" customFormat="false" ht="12.75" hidden="false" customHeight="true" outlineLevel="0" collapsed="false">
      <c r="A23" s="25" t="n">
        <v>9921470</v>
      </c>
      <c r="B23" s="23" t="n">
        <v>11.5</v>
      </c>
      <c r="C23" s="24" t="n">
        <v>5.08</v>
      </c>
      <c r="D23" s="24" t="n">
        <v>8.8</v>
      </c>
      <c r="E23" s="24" t="n">
        <v>0</v>
      </c>
      <c r="F23" s="24" t="n">
        <v>0.55</v>
      </c>
      <c r="G23" s="24" t="n">
        <v>1</v>
      </c>
      <c r="H23" s="24" t="n">
        <v>0.35</v>
      </c>
      <c r="I23" s="24" t="n">
        <v>1.3</v>
      </c>
      <c r="J23" s="24" t="n">
        <v>0.36</v>
      </c>
      <c r="K23" s="24" t="n">
        <v>0.09</v>
      </c>
      <c r="L23" s="24" t="n">
        <v>0.9</v>
      </c>
      <c r="M23" s="24" t="n">
        <v>0.53</v>
      </c>
      <c r="N23" s="21"/>
      <c r="O23" s="21"/>
      <c r="P23" s="21"/>
      <c r="Q23" s="21"/>
    </row>
    <row r="24" customFormat="false" ht="12.75" hidden="false" customHeight="true" outlineLevel="0" collapsed="false">
      <c r="A24" s="25" t="n">
        <v>10277015</v>
      </c>
      <c r="B24" s="23" t="n">
        <v>11.5</v>
      </c>
      <c r="C24" s="24" t="n">
        <v>5.2</v>
      </c>
      <c r="D24" s="24" t="n">
        <v>8.8</v>
      </c>
      <c r="E24" s="24" t="n">
        <v>0</v>
      </c>
      <c r="F24" s="24" t="n">
        <v>0.55</v>
      </c>
      <c r="G24" s="24" t="n">
        <v>0.5</v>
      </c>
      <c r="H24" s="24" t="n">
        <v>1.4</v>
      </c>
      <c r="I24" s="24" t="n">
        <v>1.3</v>
      </c>
      <c r="J24" s="24" t="n">
        <v>0.6</v>
      </c>
      <c r="K24" s="24" t="n">
        <v>0.48</v>
      </c>
      <c r="L24" s="24" t="n">
        <v>0</v>
      </c>
      <c r="M24" s="24" t="n">
        <v>0.37</v>
      </c>
      <c r="N24" s="21"/>
      <c r="O24" s="21"/>
      <c r="P24" s="21"/>
      <c r="Q24" s="21"/>
    </row>
    <row r="25" customFormat="false" ht="12.75" hidden="false" customHeight="true" outlineLevel="0" collapsed="false">
      <c r="A25" s="25" t="n">
        <v>10277036</v>
      </c>
      <c r="B25" s="23" t="n">
        <v>11.5</v>
      </c>
      <c r="C25" s="24" t="n">
        <v>5.27</v>
      </c>
      <c r="D25" s="24" t="n">
        <v>8.8</v>
      </c>
      <c r="E25" s="24" t="n">
        <v>1</v>
      </c>
      <c r="F25" s="24" t="n">
        <v>0.55</v>
      </c>
      <c r="G25" s="24" t="n">
        <v>1</v>
      </c>
      <c r="H25" s="24" t="n">
        <v>0.7</v>
      </c>
      <c r="I25" s="24" t="n">
        <v>0</v>
      </c>
      <c r="J25" s="24" t="n">
        <v>0.6</v>
      </c>
      <c r="K25" s="24" t="n">
        <v>0.33</v>
      </c>
      <c r="L25" s="24" t="n">
        <v>0.45</v>
      </c>
      <c r="M25" s="24" t="n">
        <v>0.64</v>
      </c>
      <c r="N25" s="21"/>
      <c r="O25" s="21"/>
      <c r="P25" s="21"/>
      <c r="Q25" s="21"/>
    </row>
    <row r="26" customFormat="false" ht="12.75" hidden="false" customHeight="true" outlineLevel="0" collapsed="false">
      <c r="A26" s="25" t="n">
        <v>9436110</v>
      </c>
      <c r="B26" s="23" t="n">
        <v>11.5</v>
      </c>
      <c r="C26" s="24" t="n">
        <v>5.27</v>
      </c>
      <c r="D26" s="24" t="n">
        <v>8.8</v>
      </c>
      <c r="E26" s="24" t="n">
        <v>0</v>
      </c>
      <c r="F26" s="24" t="n">
        <v>0.18</v>
      </c>
      <c r="G26" s="24" t="n">
        <v>1</v>
      </c>
      <c r="H26" s="24" t="n">
        <v>0.35</v>
      </c>
      <c r="I26" s="24" t="n">
        <v>1.3</v>
      </c>
      <c r="J26" s="24" t="n">
        <v>0.42</v>
      </c>
      <c r="K26" s="24" t="n">
        <v>0.48</v>
      </c>
      <c r="L26" s="24" t="n">
        <v>0.9</v>
      </c>
      <c r="M26" s="24" t="n">
        <v>0.64</v>
      </c>
      <c r="N26" s="21"/>
      <c r="O26" s="21"/>
      <c r="P26" s="21"/>
      <c r="Q26" s="21"/>
    </row>
    <row r="27" customFormat="false" ht="12.75" hidden="false" customHeight="true" outlineLevel="0" collapsed="false">
      <c r="A27" s="25" t="n">
        <v>10262669</v>
      </c>
      <c r="B27" s="23" t="n">
        <v>12</v>
      </c>
      <c r="C27" s="24" t="n">
        <v>5.4</v>
      </c>
      <c r="D27" s="24" t="n">
        <v>8.8</v>
      </c>
      <c r="E27" s="24" t="n">
        <v>0</v>
      </c>
      <c r="F27" s="24" t="n">
        <v>0.55</v>
      </c>
      <c r="G27" s="24" t="n">
        <v>1</v>
      </c>
      <c r="H27" s="24" t="n">
        <v>0</v>
      </c>
      <c r="I27" s="24" t="n">
        <v>1.3</v>
      </c>
      <c r="J27" s="24" t="n">
        <v>0.7</v>
      </c>
      <c r="K27" s="24" t="n">
        <v>0.6</v>
      </c>
      <c r="L27" s="24" t="n">
        <v>0.45</v>
      </c>
      <c r="M27" s="24" t="n">
        <v>0.8</v>
      </c>
      <c r="N27" s="21"/>
      <c r="O27" s="21"/>
      <c r="P27" s="21"/>
      <c r="Q27" s="21"/>
    </row>
    <row r="28" customFormat="false" ht="12.75" hidden="false" customHeight="true" outlineLevel="0" collapsed="false">
      <c r="A28" s="25" t="n">
        <v>10276661</v>
      </c>
      <c r="B28" s="23" t="n">
        <v>12</v>
      </c>
      <c r="C28" s="24" t="n">
        <v>5.41</v>
      </c>
      <c r="D28" s="24" t="n">
        <v>8.8</v>
      </c>
      <c r="E28" s="24" t="n">
        <v>0</v>
      </c>
      <c r="F28" s="24" t="n">
        <v>1.1</v>
      </c>
      <c r="G28" s="24" t="n">
        <v>1</v>
      </c>
      <c r="H28" s="24" t="n">
        <v>0.7</v>
      </c>
      <c r="I28" s="24" t="n">
        <v>1.3</v>
      </c>
      <c r="J28" s="24" t="n">
        <v>0.12</v>
      </c>
      <c r="K28" s="24" t="n">
        <v>0.55</v>
      </c>
      <c r="L28" s="24" t="n">
        <v>0</v>
      </c>
      <c r="M28" s="24" t="n">
        <v>0.64</v>
      </c>
      <c r="N28" s="21"/>
      <c r="O28" s="21"/>
      <c r="P28" s="21"/>
      <c r="Q28" s="21"/>
    </row>
    <row r="29" customFormat="false" ht="12.75" hidden="false" customHeight="true" outlineLevel="0" collapsed="false">
      <c r="A29" s="25" t="n">
        <v>10276907</v>
      </c>
      <c r="B29" s="23" t="n">
        <v>12</v>
      </c>
      <c r="C29" s="24" t="n">
        <v>5.32</v>
      </c>
      <c r="D29" s="24" t="n">
        <v>8.8</v>
      </c>
      <c r="E29" s="24" t="n">
        <v>1</v>
      </c>
      <c r="F29" s="24" t="n">
        <v>1.1</v>
      </c>
      <c r="G29" s="24" t="n">
        <v>1</v>
      </c>
      <c r="H29" s="24" t="n">
        <v>0.7</v>
      </c>
      <c r="I29" s="24" t="n">
        <v>0</v>
      </c>
      <c r="J29" s="24" t="n">
        <v>0.26</v>
      </c>
      <c r="K29" s="24" t="n">
        <v>0.27</v>
      </c>
      <c r="L29" s="24" t="n">
        <v>0.45</v>
      </c>
      <c r="M29" s="24" t="n">
        <v>0.53</v>
      </c>
      <c r="N29" s="21"/>
      <c r="O29" s="21"/>
      <c r="P29" s="21"/>
      <c r="Q29" s="21"/>
    </row>
    <row r="30" customFormat="false" ht="12.75" hidden="false" customHeight="true" outlineLevel="0" collapsed="false">
      <c r="A30" s="25" t="n">
        <v>10276949</v>
      </c>
      <c r="B30" s="23" t="n">
        <v>12.5</v>
      </c>
      <c r="C30" s="24" t="n">
        <v>5.6</v>
      </c>
      <c r="D30" s="24" t="n">
        <v>8.8</v>
      </c>
      <c r="E30" s="24" t="n">
        <v>0</v>
      </c>
      <c r="F30" s="24" t="n">
        <v>1.1</v>
      </c>
      <c r="G30" s="24" t="n">
        <v>1</v>
      </c>
      <c r="H30" s="24" t="n">
        <v>0.35</v>
      </c>
      <c r="I30" s="24" t="n">
        <v>0.87</v>
      </c>
      <c r="J30" s="24" t="n">
        <v>0.7</v>
      </c>
      <c r="K30" s="24" t="n">
        <v>0.6</v>
      </c>
      <c r="L30" s="24" t="n">
        <v>0.45</v>
      </c>
      <c r="M30" s="24" t="n">
        <v>0.53</v>
      </c>
      <c r="N30" s="21"/>
      <c r="O30" s="21"/>
      <c r="P30" s="21"/>
      <c r="Q30" s="21"/>
    </row>
    <row r="31" customFormat="false" ht="12.75" hidden="false" customHeight="true" outlineLevel="0" collapsed="false">
      <c r="A31" s="25" t="n">
        <v>9790781</v>
      </c>
      <c r="B31" s="23" t="n">
        <v>12.5</v>
      </c>
      <c r="C31" s="24" t="n">
        <v>5.6</v>
      </c>
      <c r="D31" s="24" t="n">
        <v>8.8</v>
      </c>
      <c r="E31" s="24" t="n">
        <v>1</v>
      </c>
      <c r="F31" s="24" t="n">
        <v>0.55</v>
      </c>
      <c r="G31" s="24" t="n">
        <v>1</v>
      </c>
      <c r="H31" s="24" t="n">
        <v>0</v>
      </c>
      <c r="I31" s="24" t="n">
        <v>1.3</v>
      </c>
      <c r="J31" s="24" t="n">
        <v>0.22</v>
      </c>
      <c r="K31" s="24" t="n">
        <v>0.44</v>
      </c>
      <c r="L31" s="24" t="n">
        <v>0.45</v>
      </c>
      <c r="M31" s="24" t="n">
        <v>0.64</v>
      </c>
      <c r="N31" s="21"/>
      <c r="O31" s="21"/>
      <c r="P31" s="21"/>
      <c r="Q31" s="21"/>
    </row>
    <row r="32" customFormat="false" ht="12.75" hidden="false" customHeight="true" outlineLevel="0" collapsed="false">
      <c r="A32" s="25" t="n">
        <v>10276911</v>
      </c>
      <c r="B32" s="23" t="n">
        <v>13</v>
      </c>
      <c r="C32" s="24" t="n">
        <v>5.92</v>
      </c>
      <c r="D32" s="24" t="n">
        <v>8.8</v>
      </c>
      <c r="E32" s="24" t="n">
        <v>1</v>
      </c>
      <c r="F32" s="24" t="n">
        <v>0</v>
      </c>
      <c r="G32" s="24" t="n">
        <v>1</v>
      </c>
      <c r="H32" s="24" t="n">
        <v>0</v>
      </c>
      <c r="I32" s="24" t="n">
        <v>1.3</v>
      </c>
      <c r="J32" s="24" t="n">
        <v>0.7</v>
      </c>
      <c r="K32" s="24" t="n">
        <v>0.49</v>
      </c>
      <c r="L32" s="24" t="n">
        <v>0.9</v>
      </c>
      <c r="M32" s="24" t="n">
        <v>0.53</v>
      </c>
      <c r="N32" s="21"/>
      <c r="O32" s="21"/>
      <c r="P32" s="21"/>
      <c r="Q32" s="21"/>
    </row>
    <row r="33" customFormat="false" ht="12.75" hidden="false" customHeight="true" outlineLevel="0" collapsed="false">
      <c r="A33" s="25" t="n">
        <v>10276960</v>
      </c>
      <c r="B33" s="23" t="n">
        <v>13</v>
      </c>
      <c r="C33" s="24" t="n">
        <v>5.89</v>
      </c>
      <c r="D33" s="24" t="n">
        <v>8.8</v>
      </c>
      <c r="E33" s="24" t="n">
        <v>1</v>
      </c>
      <c r="F33" s="24" t="n">
        <v>0.18</v>
      </c>
      <c r="G33" s="24" t="n">
        <v>1</v>
      </c>
      <c r="H33" s="24" t="n">
        <v>1.4</v>
      </c>
      <c r="I33" s="24" t="n">
        <v>1.3</v>
      </c>
      <c r="J33" s="24" t="n">
        <v>0</v>
      </c>
      <c r="K33" s="24" t="n">
        <v>0.37</v>
      </c>
      <c r="L33" s="24" t="n">
        <v>0</v>
      </c>
      <c r="M33" s="24" t="n">
        <v>0.64</v>
      </c>
      <c r="N33" s="21"/>
      <c r="O33" s="21"/>
      <c r="P33" s="21"/>
      <c r="Q33" s="21"/>
    </row>
    <row r="34" customFormat="false" ht="12.75" hidden="false" customHeight="true" outlineLevel="0" collapsed="false">
      <c r="A34" s="25" t="n">
        <v>10310492</v>
      </c>
      <c r="B34" s="23" t="n">
        <v>13</v>
      </c>
      <c r="C34" s="24" t="n">
        <v>5.73</v>
      </c>
      <c r="D34" s="24" t="n">
        <v>8.8</v>
      </c>
      <c r="E34" s="24" t="n">
        <v>1</v>
      </c>
      <c r="F34" s="24" t="n">
        <v>0.18</v>
      </c>
      <c r="G34" s="24" t="n">
        <v>1</v>
      </c>
      <c r="H34" s="24" t="n">
        <v>1.4</v>
      </c>
      <c r="I34" s="24" t="n">
        <v>0.87</v>
      </c>
      <c r="J34" s="24" t="n">
        <v>0</v>
      </c>
      <c r="K34" s="24" t="n">
        <v>0.19</v>
      </c>
      <c r="L34" s="24" t="n">
        <v>0.45</v>
      </c>
      <c r="M34" s="24" t="n">
        <v>0.64</v>
      </c>
      <c r="N34" s="21"/>
      <c r="O34" s="21"/>
      <c r="P34" s="21"/>
      <c r="Q34" s="21"/>
    </row>
    <row r="35" customFormat="false" ht="12.75" hidden="false" customHeight="true" outlineLevel="0" collapsed="false">
      <c r="A35" s="25" t="n">
        <v>9760151</v>
      </c>
      <c r="B35" s="23" t="n">
        <v>13</v>
      </c>
      <c r="C35" s="24" t="n">
        <v>5.73</v>
      </c>
      <c r="D35" s="24" t="n">
        <v>8.8</v>
      </c>
      <c r="E35" s="24" t="n">
        <v>0</v>
      </c>
      <c r="F35" s="24" t="n">
        <v>0.55</v>
      </c>
      <c r="G35" s="24" t="n">
        <v>1</v>
      </c>
      <c r="H35" s="24" t="n">
        <v>0.7</v>
      </c>
      <c r="I35" s="24" t="n">
        <v>1.3</v>
      </c>
      <c r="J35" s="24" t="n">
        <v>0.6</v>
      </c>
      <c r="K35" s="24" t="n">
        <v>0.49</v>
      </c>
      <c r="L35" s="24" t="n">
        <v>0.45</v>
      </c>
      <c r="M35" s="24" t="n">
        <v>0.64</v>
      </c>
      <c r="N35" s="21"/>
      <c r="O35" s="21"/>
      <c r="P35" s="21"/>
      <c r="Q35" s="21"/>
    </row>
    <row r="36" customFormat="false" ht="12.75" hidden="false" customHeight="true" outlineLevel="0" collapsed="false">
      <c r="A36" s="25" t="n">
        <v>10276720</v>
      </c>
      <c r="B36" s="23" t="n">
        <v>13.5</v>
      </c>
      <c r="C36" s="24" t="n">
        <v>6.02</v>
      </c>
      <c r="D36" s="24" t="n">
        <v>8.8</v>
      </c>
      <c r="E36" s="24" t="n">
        <v>1</v>
      </c>
      <c r="F36" s="24" t="n">
        <v>0.55</v>
      </c>
      <c r="G36" s="24" t="n">
        <v>1</v>
      </c>
      <c r="H36" s="24" t="n">
        <v>0</v>
      </c>
      <c r="I36" s="24" t="n">
        <v>1.3</v>
      </c>
      <c r="J36" s="24" t="n">
        <v>0.7</v>
      </c>
      <c r="K36" s="24" t="n">
        <v>0.38</v>
      </c>
      <c r="L36" s="24" t="n">
        <v>0.45</v>
      </c>
      <c r="M36" s="24" t="n">
        <v>0.64</v>
      </c>
      <c r="N36" s="21"/>
      <c r="O36" s="21"/>
      <c r="P36" s="21"/>
      <c r="Q36" s="21"/>
    </row>
    <row r="37" customFormat="false" ht="12.75" hidden="false" customHeight="true" outlineLevel="0" collapsed="false">
      <c r="A37" s="25" t="n">
        <v>9424506</v>
      </c>
      <c r="B37" s="23" t="n">
        <v>13.5</v>
      </c>
      <c r="C37" s="24" t="n">
        <v>5.99</v>
      </c>
      <c r="D37" s="24" t="n">
        <v>8.8</v>
      </c>
      <c r="E37" s="24" t="n">
        <v>0</v>
      </c>
      <c r="F37" s="24" t="n">
        <v>1.1</v>
      </c>
      <c r="G37" s="24" t="n">
        <v>1</v>
      </c>
      <c r="H37" s="24" t="n">
        <v>0.35</v>
      </c>
      <c r="I37" s="24" t="n">
        <v>1.3</v>
      </c>
      <c r="J37" s="24" t="n">
        <v>0.56</v>
      </c>
      <c r="K37" s="24" t="n">
        <v>0.43</v>
      </c>
      <c r="L37" s="24" t="n">
        <v>0.45</v>
      </c>
      <c r="M37" s="24" t="n">
        <v>0.8</v>
      </c>
      <c r="N37" s="21"/>
      <c r="O37" s="21"/>
      <c r="P37" s="21"/>
      <c r="Q37" s="21"/>
    </row>
    <row r="38" customFormat="false" ht="12.75" hidden="false" customHeight="true" outlineLevel="0" collapsed="false">
      <c r="A38" s="25" t="n">
        <v>10276953</v>
      </c>
      <c r="B38" s="23" t="n">
        <v>13.5</v>
      </c>
      <c r="C38" s="24" t="n">
        <v>5.99</v>
      </c>
      <c r="D38" s="24" t="n">
        <v>8.8</v>
      </c>
      <c r="E38" s="24" t="n">
        <v>1</v>
      </c>
      <c r="F38" s="24" t="n">
        <v>0.55</v>
      </c>
      <c r="G38" s="24" t="n">
        <v>1</v>
      </c>
      <c r="H38" s="24" t="n">
        <v>0.35</v>
      </c>
      <c r="I38" s="24" t="n">
        <v>1.3</v>
      </c>
      <c r="J38" s="24" t="n">
        <v>0.6</v>
      </c>
      <c r="K38" s="24" t="n">
        <v>0.55</v>
      </c>
      <c r="L38" s="24" t="n">
        <v>0</v>
      </c>
      <c r="M38" s="24" t="n">
        <v>0.64</v>
      </c>
      <c r="N38" s="21"/>
      <c r="O38" s="21"/>
      <c r="P38" s="21"/>
      <c r="Q38" s="21"/>
    </row>
    <row r="39" customFormat="false" ht="12.75" hidden="false" customHeight="true" outlineLevel="0" collapsed="false">
      <c r="A39" s="25" t="n">
        <v>10276737</v>
      </c>
      <c r="B39" s="23" t="n">
        <v>14</v>
      </c>
      <c r="C39" s="24" t="n">
        <v>6.28</v>
      </c>
      <c r="D39" s="24" t="n">
        <v>8.8</v>
      </c>
      <c r="E39" s="24" t="n">
        <v>1</v>
      </c>
      <c r="F39" s="24" t="n">
        <v>1.1</v>
      </c>
      <c r="G39" s="24" t="n">
        <v>0</v>
      </c>
      <c r="H39" s="24" t="n">
        <v>0.7</v>
      </c>
      <c r="I39" s="24" t="n">
        <v>1.3</v>
      </c>
      <c r="J39" s="24" t="n">
        <v>0.6</v>
      </c>
      <c r="K39" s="24" t="n">
        <v>0.6</v>
      </c>
      <c r="L39" s="24" t="n">
        <v>0.45</v>
      </c>
      <c r="M39" s="24" t="n">
        <v>0.53</v>
      </c>
      <c r="N39" s="21"/>
      <c r="O39" s="21"/>
      <c r="P39" s="21"/>
      <c r="Q39" s="21"/>
    </row>
    <row r="40" customFormat="false" ht="12.75" hidden="false" customHeight="true" outlineLevel="0" collapsed="false">
      <c r="A40" s="25" t="n">
        <v>10276831</v>
      </c>
      <c r="B40" s="23" t="n">
        <v>16.5</v>
      </c>
      <c r="C40" s="24" t="n">
        <v>7.27</v>
      </c>
      <c r="D40" s="24" t="n">
        <v>8.8</v>
      </c>
      <c r="E40" s="29" t="n">
        <v>1</v>
      </c>
      <c r="F40" s="24" t="n">
        <v>0.55</v>
      </c>
      <c r="G40" s="24" t="n">
        <v>1</v>
      </c>
      <c r="H40" s="24" t="n">
        <v>1.4</v>
      </c>
      <c r="I40" s="24" t="n">
        <v>1.3</v>
      </c>
      <c r="J40" s="24" t="n">
        <v>0.7</v>
      </c>
      <c r="K40" s="24" t="n">
        <v>0.6</v>
      </c>
      <c r="L40" s="24" t="n">
        <v>0.45</v>
      </c>
      <c r="M40" s="24" t="n">
        <v>0.27</v>
      </c>
      <c r="N40" s="21"/>
      <c r="O40" s="21"/>
      <c r="P40" s="21"/>
      <c r="Q40" s="21"/>
    </row>
    <row r="41" customFormat="false" ht="12.75" hidden="false" customHeight="true" outlineLevel="0" collapsed="false">
      <c r="A41" s="25" t="n">
        <v>9795272</v>
      </c>
      <c r="B41" s="23" t="n">
        <v>14</v>
      </c>
      <c r="C41" s="24" t="n">
        <v>6.37</v>
      </c>
      <c r="D41" s="24" t="n">
        <v>8.8</v>
      </c>
      <c r="E41" s="24" t="n">
        <v>0</v>
      </c>
      <c r="F41" s="24" t="n">
        <v>0.55</v>
      </c>
      <c r="G41" s="24" t="n">
        <v>1</v>
      </c>
      <c r="H41" s="24" t="n">
        <v>1.4</v>
      </c>
      <c r="I41" s="24" t="n">
        <v>1.3</v>
      </c>
      <c r="J41" s="24" t="n">
        <v>0.56</v>
      </c>
      <c r="K41" s="24" t="n">
        <v>0.31</v>
      </c>
      <c r="L41" s="24" t="n">
        <v>0.45</v>
      </c>
      <c r="M41" s="24" t="n">
        <v>0.8</v>
      </c>
      <c r="N41" s="21"/>
      <c r="O41" s="21"/>
      <c r="P41" s="21"/>
      <c r="Q41" s="21"/>
    </row>
    <row r="42" customFormat="false" ht="12.75" hidden="false" customHeight="true" outlineLevel="0" collapsed="false">
      <c r="A42" s="25" t="n">
        <v>10351992</v>
      </c>
      <c r="B42" s="23" t="n">
        <v>14</v>
      </c>
      <c r="C42" s="24" t="n">
        <v>6.18</v>
      </c>
      <c r="D42" s="24" t="n">
        <v>8.8</v>
      </c>
      <c r="E42" s="24" t="n">
        <v>0</v>
      </c>
      <c r="F42" s="24" t="n">
        <v>1.1</v>
      </c>
      <c r="G42" s="24" t="n">
        <v>1</v>
      </c>
      <c r="H42" s="24" t="n">
        <v>1.4</v>
      </c>
      <c r="I42" s="24" t="n">
        <v>0.87</v>
      </c>
      <c r="J42" s="24" t="n">
        <v>0</v>
      </c>
      <c r="K42" s="24" t="n">
        <v>0.44</v>
      </c>
      <c r="L42" s="24" t="n">
        <v>0.9</v>
      </c>
      <c r="M42" s="24" t="n">
        <v>0.48</v>
      </c>
      <c r="N42" s="21"/>
      <c r="O42" s="21"/>
      <c r="P42" s="21"/>
      <c r="Q42" s="21"/>
    </row>
    <row r="43" customFormat="false" ht="12.75" hidden="false" customHeight="true" outlineLevel="0" collapsed="false">
      <c r="A43" s="25" t="n">
        <v>9805341</v>
      </c>
      <c r="B43" s="23" t="n">
        <v>14</v>
      </c>
      <c r="C43" s="24" t="n">
        <v>6.26</v>
      </c>
      <c r="D43" s="24" t="n">
        <v>8.8</v>
      </c>
      <c r="E43" s="24" t="n">
        <v>1</v>
      </c>
      <c r="F43" s="24" t="n">
        <v>1.1</v>
      </c>
      <c r="G43" s="24" t="n">
        <v>1</v>
      </c>
      <c r="H43" s="24" t="n">
        <v>0</v>
      </c>
      <c r="I43" s="24" t="n">
        <v>1.3</v>
      </c>
      <c r="J43" s="24" t="n">
        <v>0.28</v>
      </c>
      <c r="K43" s="24" t="n">
        <v>0.6</v>
      </c>
      <c r="L43" s="24" t="n">
        <v>0.45</v>
      </c>
      <c r="M43" s="24" t="n">
        <v>0.53</v>
      </c>
      <c r="N43" s="21"/>
      <c r="O43" s="21"/>
      <c r="P43" s="21"/>
      <c r="Q43" s="21"/>
    </row>
    <row r="44" customFormat="false" ht="12.75" hidden="false" customHeight="true" outlineLevel="0" collapsed="false">
      <c r="A44" s="25" t="n">
        <v>9842913</v>
      </c>
      <c r="B44" s="23" t="n">
        <v>14</v>
      </c>
      <c r="C44" s="24" t="n">
        <v>6.33</v>
      </c>
      <c r="D44" s="24" t="n">
        <v>8.8</v>
      </c>
      <c r="E44" s="24" t="n">
        <v>1</v>
      </c>
      <c r="F44" s="24" t="n">
        <v>0.55</v>
      </c>
      <c r="G44" s="24" t="n">
        <v>1</v>
      </c>
      <c r="H44" s="24" t="n">
        <v>0.7</v>
      </c>
      <c r="I44" s="24" t="n">
        <v>1.3</v>
      </c>
      <c r="J44" s="24" t="n">
        <v>0.7</v>
      </c>
      <c r="K44" s="24" t="n">
        <v>0.44</v>
      </c>
      <c r="L44" s="24" t="n">
        <v>0</v>
      </c>
      <c r="M44" s="24" t="n">
        <v>0.64</v>
      </c>
      <c r="N44" s="21"/>
      <c r="O44" s="21"/>
      <c r="P44" s="21"/>
      <c r="Q44" s="21"/>
    </row>
    <row r="45" customFormat="false" ht="12.75" hidden="false" customHeight="true" outlineLevel="0" collapsed="false">
      <c r="A45" s="25" t="n">
        <v>10276762</v>
      </c>
      <c r="B45" s="23" t="n">
        <v>14.5</v>
      </c>
      <c r="C45" s="24" t="n">
        <v>6.54</v>
      </c>
      <c r="D45" s="24" t="n">
        <v>8.8</v>
      </c>
      <c r="E45" s="24" t="n">
        <v>1</v>
      </c>
      <c r="F45" s="24" t="n">
        <v>0.55</v>
      </c>
      <c r="G45" s="24" t="n">
        <v>1</v>
      </c>
      <c r="H45" s="24" t="n">
        <v>0</v>
      </c>
      <c r="I45" s="24" t="n">
        <v>1.3</v>
      </c>
      <c r="J45" s="24" t="n">
        <v>0.6</v>
      </c>
      <c r="K45" s="24" t="n">
        <v>0.55</v>
      </c>
      <c r="L45" s="24" t="n">
        <v>0.9</v>
      </c>
      <c r="M45" s="24" t="n">
        <v>0.64</v>
      </c>
      <c r="N45" s="21"/>
      <c r="O45" s="21"/>
      <c r="P45" s="21"/>
      <c r="Q45" s="21"/>
    </row>
    <row r="46" customFormat="false" ht="12.75" hidden="false" customHeight="true" outlineLevel="0" collapsed="false">
      <c r="A46" s="25" t="n">
        <v>9795185</v>
      </c>
      <c r="B46" s="23" t="n">
        <v>14.5</v>
      </c>
      <c r="C46" s="24" t="n">
        <v>6.47</v>
      </c>
      <c r="D46" s="24" t="n">
        <v>8.8</v>
      </c>
      <c r="E46" s="24" t="n">
        <v>1</v>
      </c>
      <c r="F46" s="24" t="n">
        <v>0.55</v>
      </c>
      <c r="G46" s="24" t="n">
        <v>1</v>
      </c>
      <c r="H46" s="24" t="n">
        <v>0</v>
      </c>
      <c r="I46" s="24" t="n">
        <v>1.3</v>
      </c>
      <c r="J46" s="24" t="n">
        <v>0.6</v>
      </c>
      <c r="K46" s="24" t="n">
        <v>0.48</v>
      </c>
      <c r="L46" s="24" t="n">
        <v>0.9</v>
      </c>
      <c r="M46" s="24" t="n">
        <v>0.64</v>
      </c>
      <c r="N46" s="21"/>
      <c r="O46" s="21"/>
      <c r="P46" s="21"/>
      <c r="Q46" s="21"/>
    </row>
    <row r="47" customFormat="false" ht="12.75" hidden="false" customHeight="true" outlineLevel="0" collapsed="false">
      <c r="A47" s="25" t="n">
        <v>10351971</v>
      </c>
      <c r="B47" s="23" t="n">
        <v>14.5</v>
      </c>
      <c r="C47" s="24" t="n">
        <v>6.49</v>
      </c>
      <c r="D47" s="24" t="n">
        <v>8.8</v>
      </c>
      <c r="E47" s="24" t="n">
        <v>1</v>
      </c>
      <c r="F47" s="24" t="n">
        <v>0.55</v>
      </c>
      <c r="G47" s="24" t="n">
        <v>1</v>
      </c>
      <c r="H47" s="24" t="n">
        <v>0.35</v>
      </c>
      <c r="I47" s="24" t="n">
        <v>1.3</v>
      </c>
      <c r="J47" s="24" t="n">
        <v>0.6</v>
      </c>
      <c r="K47" s="24" t="n">
        <v>0.6</v>
      </c>
      <c r="L47" s="24" t="n">
        <v>0.45</v>
      </c>
      <c r="M47" s="24" t="n">
        <v>0.64</v>
      </c>
      <c r="N47" s="21"/>
      <c r="O47" s="21"/>
      <c r="P47" s="21"/>
      <c r="Q47" s="21"/>
    </row>
    <row r="48" customFormat="false" ht="12.75" hidden="false" customHeight="true" outlineLevel="0" collapsed="false">
      <c r="A48" s="25" t="n">
        <v>9285227</v>
      </c>
      <c r="B48" s="23" t="n">
        <v>14.5</v>
      </c>
      <c r="C48" s="24" t="n">
        <v>6.38</v>
      </c>
      <c r="D48" s="24" t="n">
        <v>8.8</v>
      </c>
      <c r="E48" s="24" t="n">
        <v>1</v>
      </c>
      <c r="F48" s="24" t="n">
        <v>0.55</v>
      </c>
      <c r="G48" s="24" t="n">
        <v>1</v>
      </c>
      <c r="H48" s="24" t="n">
        <v>0.35</v>
      </c>
      <c r="I48" s="24" t="n">
        <v>1.3</v>
      </c>
      <c r="J48" s="24" t="n">
        <v>0.6</v>
      </c>
      <c r="K48" s="24" t="n">
        <v>0.6</v>
      </c>
      <c r="L48" s="24" t="n">
        <v>0.45</v>
      </c>
      <c r="M48" s="24" t="n">
        <v>0.53</v>
      </c>
      <c r="N48" s="21"/>
      <c r="O48" s="21"/>
      <c r="P48" s="21"/>
      <c r="Q48" s="21"/>
    </row>
    <row r="49" customFormat="false" ht="12.75" hidden="false" customHeight="true" outlineLevel="0" collapsed="false">
      <c r="A49" s="25" t="n">
        <v>10276866</v>
      </c>
      <c r="B49" s="23" t="n">
        <v>14.5</v>
      </c>
      <c r="C49" s="24" t="n">
        <v>6.59</v>
      </c>
      <c r="D49" s="24" t="n">
        <v>8.8</v>
      </c>
      <c r="E49" s="24" t="n">
        <v>1</v>
      </c>
      <c r="F49" s="24" t="n">
        <v>0.55</v>
      </c>
      <c r="G49" s="24" t="n">
        <v>1</v>
      </c>
      <c r="H49" s="24" t="n">
        <v>0.35</v>
      </c>
      <c r="I49" s="24" t="n">
        <v>1.3</v>
      </c>
      <c r="J49" s="24" t="n">
        <v>0.7</v>
      </c>
      <c r="K49" s="24" t="n">
        <v>0.6</v>
      </c>
      <c r="L49" s="24" t="n">
        <v>0.45</v>
      </c>
      <c r="M49" s="24" t="n">
        <v>0.64</v>
      </c>
      <c r="N49" s="21"/>
      <c r="O49" s="21"/>
      <c r="P49" s="21"/>
      <c r="Q49" s="21"/>
    </row>
    <row r="50" customFormat="false" ht="12.75" hidden="false" customHeight="true" outlineLevel="0" collapsed="false">
      <c r="A50" s="25" t="n">
        <v>10310759</v>
      </c>
      <c r="B50" s="23" t="n">
        <v>15</v>
      </c>
      <c r="C50" s="24" t="n">
        <v>6.79</v>
      </c>
      <c r="D50" s="24" t="n">
        <v>8.8</v>
      </c>
      <c r="E50" s="24" t="n">
        <v>1</v>
      </c>
      <c r="F50" s="24" t="n">
        <v>1.1</v>
      </c>
      <c r="G50" s="24" t="n">
        <v>1</v>
      </c>
      <c r="H50" s="24" t="n">
        <v>0</v>
      </c>
      <c r="I50" s="24" t="n">
        <v>1.3</v>
      </c>
      <c r="J50" s="24" t="n">
        <v>0.7</v>
      </c>
      <c r="K50" s="24" t="n">
        <v>0.6</v>
      </c>
      <c r="L50" s="24" t="n">
        <v>0.45</v>
      </c>
      <c r="M50" s="24" t="n">
        <v>0.64</v>
      </c>
      <c r="N50" s="21"/>
      <c r="O50" s="21"/>
      <c r="P50" s="21"/>
      <c r="Q50" s="21"/>
    </row>
    <row r="51" customFormat="false" ht="12.75" hidden="false" customHeight="true" outlineLevel="0" collapsed="false">
      <c r="A51" s="25" t="n">
        <v>10276852</v>
      </c>
      <c r="B51" s="23" t="n">
        <v>15</v>
      </c>
      <c r="C51" s="24" t="n">
        <v>6.6</v>
      </c>
      <c r="D51" s="24" t="n">
        <v>8.8</v>
      </c>
      <c r="E51" s="24" t="n">
        <v>1</v>
      </c>
      <c r="F51" s="24" t="n">
        <v>0.55</v>
      </c>
      <c r="G51" s="24" t="n">
        <v>1</v>
      </c>
      <c r="H51" s="24" t="n">
        <v>0.7</v>
      </c>
      <c r="I51" s="24" t="n">
        <v>1.3</v>
      </c>
      <c r="J51" s="24" t="n">
        <v>0.7</v>
      </c>
      <c r="K51" s="24" t="n">
        <v>0.26</v>
      </c>
      <c r="L51" s="24" t="n">
        <v>0.45</v>
      </c>
      <c r="M51" s="24" t="n">
        <v>0.64</v>
      </c>
      <c r="N51" s="21"/>
      <c r="O51" s="21"/>
      <c r="P51" s="21"/>
      <c r="Q51" s="21"/>
    </row>
    <row r="52" customFormat="false" ht="12.75" hidden="false" customHeight="true" outlineLevel="0" collapsed="false">
      <c r="A52" s="25" t="n">
        <v>10310342</v>
      </c>
      <c r="B52" s="23" t="n">
        <v>15.5</v>
      </c>
      <c r="C52" s="24" t="n">
        <v>6.96</v>
      </c>
      <c r="D52" s="24" t="n">
        <v>8.8</v>
      </c>
      <c r="E52" s="24" t="n">
        <v>1</v>
      </c>
      <c r="F52" s="24" t="n">
        <v>1.1</v>
      </c>
      <c r="G52" s="24" t="n">
        <v>1</v>
      </c>
      <c r="H52" s="24" t="n">
        <v>0.7</v>
      </c>
      <c r="I52" s="24" t="n">
        <v>1.3</v>
      </c>
      <c r="J52" s="24" t="n">
        <v>0.22</v>
      </c>
      <c r="K52" s="24" t="n">
        <v>0.55</v>
      </c>
      <c r="L52" s="24" t="n">
        <v>0.45</v>
      </c>
      <c r="M52" s="24" t="n">
        <v>0.64</v>
      </c>
      <c r="N52" s="21"/>
      <c r="O52" s="21"/>
      <c r="P52" s="21"/>
      <c r="Q52" s="21"/>
    </row>
    <row r="53" customFormat="false" ht="12.75" hidden="false" customHeight="true" outlineLevel="0" collapsed="false">
      <c r="A53" s="25" t="n">
        <v>10277040</v>
      </c>
      <c r="B53" s="23" t="n">
        <v>15.5</v>
      </c>
      <c r="C53" s="24" t="n">
        <v>6.95</v>
      </c>
      <c r="D53" s="24" t="n">
        <v>8.8</v>
      </c>
      <c r="E53" s="24" t="n">
        <v>1</v>
      </c>
      <c r="F53" s="24" t="n">
        <v>1.1</v>
      </c>
      <c r="G53" s="24" t="n">
        <v>1</v>
      </c>
      <c r="H53" s="24" t="n">
        <v>0.35</v>
      </c>
      <c r="I53" s="24" t="n">
        <v>1.3</v>
      </c>
      <c r="J53" s="24" t="n">
        <v>0.18</v>
      </c>
      <c r="K53" s="24" t="n">
        <v>0.48</v>
      </c>
      <c r="L53" s="24" t="n">
        <v>0.9</v>
      </c>
      <c r="M53" s="24" t="n">
        <v>0.64</v>
      </c>
      <c r="N53" s="21"/>
      <c r="O53" s="21"/>
      <c r="P53" s="21"/>
      <c r="Q53" s="21"/>
    </row>
    <row r="54" customFormat="false" ht="12.75" hidden="false" customHeight="true" outlineLevel="0" collapsed="false">
      <c r="A54" s="25" t="n">
        <v>10276928</v>
      </c>
      <c r="B54" s="23" t="n">
        <v>16</v>
      </c>
      <c r="C54" s="24" t="n">
        <v>7.08</v>
      </c>
      <c r="D54" s="24" t="n">
        <v>8.8</v>
      </c>
      <c r="E54" s="24" t="n">
        <v>0</v>
      </c>
      <c r="F54" s="24" t="n">
        <v>1.1</v>
      </c>
      <c r="G54" s="24" t="n">
        <v>1</v>
      </c>
      <c r="H54" s="24" t="n">
        <v>1.4</v>
      </c>
      <c r="I54" s="24" t="n">
        <v>1.3</v>
      </c>
      <c r="J54" s="24" t="n">
        <v>0.7</v>
      </c>
      <c r="K54" s="24" t="n">
        <v>0.6</v>
      </c>
      <c r="L54" s="24" t="n">
        <v>0.45</v>
      </c>
      <c r="M54" s="24" t="n">
        <v>0.53</v>
      </c>
      <c r="N54" s="21"/>
      <c r="O54" s="21"/>
      <c r="P54" s="21"/>
      <c r="Q54" s="21"/>
    </row>
    <row r="55" customFormat="false" ht="12.75" hidden="false" customHeight="true" outlineLevel="0" collapsed="false">
      <c r="A55" s="25" t="n">
        <v>10377538</v>
      </c>
      <c r="B55" s="23" t="n">
        <v>16</v>
      </c>
      <c r="C55" s="24" t="n">
        <v>7.19</v>
      </c>
      <c r="D55" s="24" t="n">
        <v>8.8</v>
      </c>
      <c r="E55" s="24" t="n">
        <v>1</v>
      </c>
      <c r="F55" s="24" t="n">
        <v>0.55</v>
      </c>
      <c r="G55" s="24" t="n">
        <v>1</v>
      </c>
      <c r="H55" s="24" t="n">
        <v>1.4</v>
      </c>
      <c r="I55" s="24" t="n">
        <v>1.3</v>
      </c>
      <c r="J55" s="24" t="n">
        <v>0.7</v>
      </c>
      <c r="K55" s="24" t="n">
        <v>0.6</v>
      </c>
      <c r="L55" s="24" t="n">
        <v>0</v>
      </c>
      <c r="M55" s="24" t="n">
        <v>0.64</v>
      </c>
      <c r="N55" s="21"/>
      <c r="O55" s="21"/>
      <c r="P55" s="21"/>
      <c r="Q55" s="21"/>
    </row>
    <row r="56" customFormat="false" ht="12.75" hidden="false" customHeight="true" outlineLevel="0" collapsed="false">
      <c r="A56" s="25" t="n">
        <v>10276675</v>
      </c>
      <c r="B56" s="23" t="n">
        <v>16</v>
      </c>
      <c r="C56" s="24" t="n">
        <v>7.19</v>
      </c>
      <c r="D56" s="24" t="n">
        <v>8.8</v>
      </c>
      <c r="E56" s="24" t="n">
        <v>1</v>
      </c>
      <c r="F56" s="24" t="n">
        <v>0.55</v>
      </c>
      <c r="G56" s="24" t="n">
        <v>1</v>
      </c>
      <c r="H56" s="24" t="n">
        <v>1.4</v>
      </c>
      <c r="I56" s="24" t="n">
        <v>1.3</v>
      </c>
      <c r="J56" s="24" t="n">
        <v>0.7</v>
      </c>
      <c r="K56" s="24" t="n">
        <v>0.6</v>
      </c>
      <c r="L56" s="24" t="n">
        <v>0</v>
      </c>
      <c r="M56" s="24" t="n">
        <v>0.64</v>
      </c>
      <c r="N56" s="21"/>
      <c r="O56" s="21"/>
      <c r="P56" s="21"/>
      <c r="Q56" s="21"/>
    </row>
    <row r="57" customFormat="false" ht="12.75" hidden="false" customHeight="true" outlineLevel="0" collapsed="false">
      <c r="A57" s="25" t="n">
        <v>10310676</v>
      </c>
      <c r="B57" s="23" t="n">
        <v>16.5</v>
      </c>
      <c r="C57" s="24" t="n">
        <v>7.32</v>
      </c>
      <c r="D57" s="24" t="n">
        <v>8.8</v>
      </c>
      <c r="E57" s="24" t="n">
        <v>1</v>
      </c>
      <c r="F57" s="24" t="n">
        <v>0.55</v>
      </c>
      <c r="G57" s="24" t="n">
        <v>1</v>
      </c>
      <c r="H57" s="24" t="n">
        <v>1.4</v>
      </c>
      <c r="I57" s="24" t="n">
        <v>0.87</v>
      </c>
      <c r="J57" s="24" t="n">
        <v>0.6</v>
      </c>
      <c r="K57" s="24" t="n">
        <v>0.36</v>
      </c>
      <c r="L57" s="24" t="n">
        <v>0.9</v>
      </c>
      <c r="M57" s="24" t="n">
        <v>0.64</v>
      </c>
      <c r="N57" s="21"/>
      <c r="O57" s="21"/>
      <c r="P57" s="21"/>
      <c r="Q57" s="21"/>
    </row>
    <row r="58" customFormat="false" ht="12.75" hidden="false" customHeight="true" outlineLevel="0" collapsed="false">
      <c r="A58" s="25" t="n">
        <v>10377688</v>
      </c>
      <c r="B58" s="23" t="n">
        <v>17</v>
      </c>
      <c r="C58" s="24" t="n">
        <v>7.55</v>
      </c>
      <c r="D58" s="24" t="n">
        <v>8.8</v>
      </c>
      <c r="E58" s="24" t="n">
        <v>1</v>
      </c>
      <c r="F58" s="24" t="n">
        <v>1.1</v>
      </c>
      <c r="G58" s="24" t="n">
        <v>1</v>
      </c>
      <c r="H58" s="24" t="n">
        <v>0.7</v>
      </c>
      <c r="I58" s="24" t="n">
        <v>1.3</v>
      </c>
      <c r="J58" s="24" t="n">
        <v>0.6</v>
      </c>
      <c r="K58" s="24" t="n">
        <v>0.6</v>
      </c>
      <c r="L58" s="24" t="n">
        <v>0.45</v>
      </c>
      <c r="M58" s="24" t="n">
        <v>0.8</v>
      </c>
      <c r="N58" s="21"/>
      <c r="O58" s="21"/>
      <c r="P58" s="21"/>
      <c r="Q58" s="21"/>
    </row>
    <row r="59" customFormat="false" ht="12.75" hidden="false" customHeight="true" outlineLevel="0" collapsed="false">
      <c r="A59" s="25" t="n">
        <v>9363926</v>
      </c>
      <c r="B59" s="23" t="n">
        <v>17</v>
      </c>
      <c r="C59" s="24" t="n">
        <v>7.62</v>
      </c>
      <c r="D59" s="24" t="n">
        <v>8.8</v>
      </c>
      <c r="E59" s="24" t="n">
        <v>1</v>
      </c>
      <c r="F59" s="24" t="n">
        <v>1.1</v>
      </c>
      <c r="G59" s="24" t="n">
        <v>1</v>
      </c>
      <c r="H59" s="24" t="n">
        <v>1.4</v>
      </c>
      <c r="I59" s="24" t="n">
        <v>1.3</v>
      </c>
      <c r="J59" s="24" t="n">
        <v>0.46</v>
      </c>
      <c r="K59" s="24" t="n">
        <v>0.27</v>
      </c>
      <c r="L59" s="24" t="n">
        <v>0.45</v>
      </c>
      <c r="M59" s="24" t="n">
        <v>0.64</v>
      </c>
      <c r="N59" s="21"/>
      <c r="O59" s="21"/>
      <c r="P59" s="21"/>
      <c r="Q59" s="21"/>
    </row>
    <row r="60" customFormat="false" ht="12.75" hidden="false" customHeight="true" outlineLevel="0" collapsed="false">
      <c r="A60" s="25" t="n">
        <v>10276974</v>
      </c>
      <c r="B60" s="23" t="n">
        <v>17.5</v>
      </c>
      <c r="C60" s="24" t="n">
        <v>7.91</v>
      </c>
      <c r="D60" s="24" t="n">
        <v>8.8</v>
      </c>
      <c r="E60" s="24" t="n">
        <v>1</v>
      </c>
      <c r="F60" s="24" t="n">
        <v>1.1</v>
      </c>
      <c r="G60" s="24" t="n">
        <v>1</v>
      </c>
      <c r="H60" s="24" t="n">
        <v>1.4</v>
      </c>
      <c r="I60" s="24" t="n">
        <v>1.3</v>
      </c>
      <c r="J60" s="24" t="n">
        <v>0.42</v>
      </c>
      <c r="K60" s="24" t="n">
        <v>0.6</v>
      </c>
      <c r="L60" s="24" t="n">
        <v>0.45</v>
      </c>
      <c r="M60" s="24" t="n">
        <v>0.64</v>
      </c>
      <c r="N60" s="21"/>
      <c r="O60" s="21"/>
      <c r="P60" s="21"/>
      <c r="Q60" s="21"/>
    </row>
    <row r="61" customFormat="false" ht="12.75" hidden="false" customHeight="true" outlineLevel="0" collapsed="false">
      <c r="A61" s="25" t="n">
        <v>10277022</v>
      </c>
      <c r="B61" s="23" t="n">
        <v>18</v>
      </c>
      <c r="C61" s="24" t="n">
        <v>7.96</v>
      </c>
      <c r="D61" s="24" t="n">
        <v>8.8</v>
      </c>
      <c r="E61" s="24" t="n">
        <v>1</v>
      </c>
      <c r="F61" s="24" t="n">
        <v>1.1</v>
      </c>
      <c r="G61" s="24" t="n">
        <v>1</v>
      </c>
      <c r="H61" s="24" t="n">
        <v>1.4</v>
      </c>
      <c r="I61" s="24" t="n">
        <v>1.3</v>
      </c>
      <c r="J61" s="24" t="n">
        <v>0.7</v>
      </c>
      <c r="K61" s="24" t="n">
        <v>0.48</v>
      </c>
      <c r="L61" s="24" t="n">
        <v>0.45</v>
      </c>
      <c r="M61" s="24" t="n">
        <v>0.53</v>
      </c>
      <c r="N61" s="21"/>
      <c r="O61" s="21"/>
      <c r="P61" s="21"/>
      <c r="Q61" s="21"/>
    </row>
    <row r="62" customFormat="false" ht="12.75" hidden="false" customHeight="true" outlineLevel="0" collapsed="false">
      <c r="A62" s="25" t="n">
        <v>9065750</v>
      </c>
      <c r="B62" s="23" t="n">
        <v>18</v>
      </c>
      <c r="C62" s="24" t="n">
        <v>7.99</v>
      </c>
      <c r="D62" s="24" t="n">
        <v>8.8</v>
      </c>
      <c r="E62" s="24" t="n">
        <v>1</v>
      </c>
      <c r="F62" s="24" t="n">
        <v>1.1</v>
      </c>
      <c r="G62" s="24" t="n">
        <v>1</v>
      </c>
      <c r="H62" s="24" t="n">
        <v>1.4</v>
      </c>
      <c r="I62" s="24" t="n">
        <v>1.3</v>
      </c>
      <c r="J62" s="24" t="n">
        <v>0.56</v>
      </c>
      <c r="K62" s="24" t="n">
        <v>0.38</v>
      </c>
      <c r="L62" s="24" t="n">
        <v>0.45</v>
      </c>
      <c r="M62" s="24" t="n">
        <v>0.8</v>
      </c>
      <c r="N62" s="21"/>
      <c r="O62" s="21"/>
      <c r="P62" s="21"/>
      <c r="Q62" s="21"/>
    </row>
    <row r="63" customFormat="false" ht="12.75" hidden="false" customHeight="true" outlineLevel="0" collapsed="false">
      <c r="A63" s="25" t="n">
        <v>10310700</v>
      </c>
      <c r="B63" s="23" t="n">
        <v>18</v>
      </c>
      <c r="C63" s="24" t="n">
        <v>8.09</v>
      </c>
      <c r="D63" s="24" t="n">
        <v>8.8</v>
      </c>
      <c r="E63" s="24" t="n">
        <v>1</v>
      </c>
      <c r="F63" s="24" t="n">
        <v>1.1</v>
      </c>
      <c r="G63" s="24" t="n">
        <v>1</v>
      </c>
      <c r="H63" s="24" t="n">
        <v>1.4</v>
      </c>
      <c r="I63" s="24" t="n">
        <v>1.3</v>
      </c>
      <c r="J63" s="24" t="n">
        <v>0.6</v>
      </c>
      <c r="K63" s="24" t="n">
        <v>0.6</v>
      </c>
      <c r="L63" s="24" t="n">
        <v>0.45</v>
      </c>
      <c r="M63" s="24" t="n">
        <v>0.64</v>
      </c>
      <c r="N63" s="21"/>
      <c r="O63" s="21"/>
      <c r="P63" s="21"/>
      <c r="Q63" s="21"/>
    </row>
    <row r="64" customFormat="false" ht="12.75" hidden="false" customHeight="true" outlineLevel="0" collapsed="false">
      <c r="A64" s="25" t="n">
        <v>10276981</v>
      </c>
      <c r="B64" s="23" t="n">
        <v>18</v>
      </c>
      <c r="C64" s="24" t="n">
        <v>7.95</v>
      </c>
      <c r="D64" s="24" t="n">
        <v>8.8</v>
      </c>
      <c r="E64" s="24" t="n">
        <v>1</v>
      </c>
      <c r="F64" s="24" t="n">
        <v>0.55</v>
      </c>
      <c r="G64" s="24" t="n">
        <v>1</v>
      </c>
      <c r="H64" s="24" t="n">
        <v>1.4</v>
      </c>
      <c r="I64" s="24" t="n">
        <v>1.3</v>
      </c>
      <c r="J64" s="24" t="n">
        <v>0.56</v>
      </c>
      <c r="K64" s="24" t="n">
        <v>0.6</v>
      </c>
      <c r="L64" s="24" t="n">
        <v>0.9</v>
      </c>
      <c r="M64" s="24" t="n">
        <v>0.64</v>
      </c>
      <c r="N64" s="21"/>
      <c r="O64" s="21"/>
      <c r="P64" s="21"/>
      <c r="Q64" s="21"/>
    </row>
    <row r="65" customFormat="false" ht="12.75" hidden="false" customHeight="true" outlineLevel="0" collapsed="false">
      <c r="A65" s="25" t="n">
        <v>10310721</v>
      </c>
      <c r="B65" s="23" t="n">
        <v>18</v>
      </c>
      <c r="C65" s="24" t="n">
        <v>8.08</v>
      </c>
      <c r="D65" s="24" t="n">
        <v>8.8</v>
      </c>
      <c r="E65" s="24" t="n">
        <v>1</v>
      </c>
      <c r="F65" s="24" t="n">
        <v>1.1</v>
      </c>
      <c r="G65" s="24" t="n">
        <v>1</v>
      </c>
      <c r="H65" s="24" t="n">
        <v>1.4</v>
      </c>
      <c r="I65" s="24" t="n">
        <v>1.3</v>
      </c>
      <c r="J65" s="24" t="n">
        <v>0.7</v>
      </c>
      <c r="K65" s="24" t="n">
        <v>0.6</v>
      </c>
      <c r="L65" s="24" t="n">
        <v>0.45</v>
      </c>
      <c r="M65" s="24" t="n">
        <v>0.53</v>
      </c>
      <c r="N65" s="21"/>
      <c r="O65" s="21"/>
      <c r="P65" s="21"/>
      <c r="Q65" s="21"/>
    </row>
    <row r="66" customFormat="false" ht="12.75" hidden="false" customHeight="true" outlineLevel="0" collapsed="false">
      <c r="A66" s="25" t="n">
        <v>10276995</v>
      </c>
      <c r="B66" s="23" t="n">
        <v>19</v>
      </c>
      <c r="C66" s="24" t="n">
        <v>8.39</v>
      </c>
      <c r="D66" s="24" t="n">
        <v>8.8</v>
      </c>
      <c r="E66" s="24" t="n">
        <v>1</v>
      </c>
      <c r="F66" s="24" t="n">
        <v>1.1</v>
      </c>
      <c r="G66" s="24" t="n">
        <v>1</v>
      </c>
      <c r="H66" s="24" t="n">
        <v>1.4</v>
      </c>
      <c r="I66" s="24" t="n">
        <v>1.3</v>
      </c>
      <c r="J66" s="24" t="n">
        <v>0.56</v>
      </c>
      <c r="K66" s="24" t="n">
        <v>0.6</v>
      </c>
      <c r="L66" s="24" t="n">
        <v>0.9</v>
      </c>
      <c r="M66" s="24" t="n">
        <v>0.53</v>
      </c>
      <c r="N66" s="21"/>
      <c r="O66" s="21"/>
      <c r="P66" s="21"/>
      <c r="Q66" s="21"/>
    </row>
    <row r="67" customFormat="false" ht="12.75" hidden="false" customHeight="true" outlineLevel="0" collapsed="false">
      <c r="A67" s="25" t="n">
        <v>10310471</v>
      </c>
      <c r="B67" s="23" t="n">
        <v>19</v>
      </c>
      <c r="C67" s="24" t="n">
        <v>8.54</v>
      </c>
      <c r="D67" s="24" t="n">
        <v>8.8</v>
      </c>
      <c r="E67" s="24" t="n">
        <v>1</v>
      </c>
      <c r="F67" s="24" t="n">
        <v>1.1</v>
      </c>
      <c r="G67" s="24" t="n">
        <v>1</v>
      </c>
      <c r="H67" s="24" t="n">
        <v>1.4</v>
      </c>
      <c r="I67" s="24" t="n">
        <v>1.3</v>
      </c>
      <c r="J67" s="24" t="n">
        <v>0.6</v>
      </c>
      <c r="K67" s="24" t="n">
        <v>0.6</v>
      </c>
      <c r="L67" s="24" t="n">
        <v>0.9</v>
      </c>
      <c r="M67" s="24" t="n">
        <v>0.64</v>
      </c>
      <c r="N67" s="21"/>
      <c r="O67" s="21"/>
      <c r="P67" s="21"/>
      <c r="Q67" s="21"/>
    </row>
    <row r="68" customFormat="false" ht="12.75" hidden="false" customHeight="true" outlineLevel="0" collapsed="false">
      <c r="A68" s="25" t="n">
        <v>9311643</v>
      </c>
      <c r="B68" s="23" t="n">
        <v>19.5</v>
      </c>
      <c r="C68" s="24" t="n">
        <v>8.65</v>
      </c>
      <c r="D68" s="24" t="n">
        <v>8.8</v>
      </c>
      <c r="E68" s="24" t="n">
        <v>1</v>
      </c>
      <c r="F68" s="24" t="n">
        <v>1.1</v>
      </c>
      <c r="G68" s="24" t="n">
        <v>1</v>
      </c>
      <c r="H68" s="24" t="n">
        <v>1.4</v>
      </c>
      <c r="I68" s="24" t="n">
        <v>1.3</v>
      </c>
      <c r="J68" s="24" t="n">
        <v>0.6</v>
      </c>
      <c r="K68" s="24" t="n">
        <v>0.55</v>
      </c>
      <c r="L68" s="24" t="n">
        <v>0.9</v>
      </c>
      <c r="M68" s="24" t="n">
        <v>0.8</v>
      </c>
      <c r="N68" s="21"/>
      <c r="O68" s="21"/>
      <c r="P68" s="21"/>
      <c r="Q68" s="21"/>
    </row>
    <row r="69" customFormat="false" ht="12.75" hidden="false" customHeight="true" outlineLevel="0" collapsed="false">
      <c r="A69" s="25" t="n">
        <v>10273971</v>
      </c>
      <c r="B69" s="23" t="n">
        <v>19.5</v>
      </c>
      <c r="C69" s="24" t="n">
        <v>8.7</v>
      </c>
      <c r="D69" s="24" t="n">
        <v>8.8</v>
      </c>
      <c r="E69" s="24" t="n">
        <v>1</v>
      </c>
      <c r="F69" s="24" t="n">
        <v>1.1</v>
      </c>
      <c r="G69" s="24" t="n">
        <v>1</v>
      </c>
      <c r="H69" s="24" t="n">
        <v>1.4</v>
      </c>
      <c r="I69" s="24" t="n">
        <v>1.3</v>
      </c>
      <c r="J69" s="24" t="n">
        <v>0.6</v>
      </c>
      <c r="K69" s="24" t="n">
        <v>0.6</v>
      </c>
      <c r="L69" s="24" t="n">
        <v>0.9</v>
      </c>
      <c r="M69" s="24" t="n">
        <v>0.8</v>
      </c>
      <c r="N69" s="21"/>
      <c r="O69" s="21"/>
      <c r="P69" s="21"/>
      <c r="Q69" s="21"/>
    </row>
    <row r="70" customFormat="false" ht="12.75" hidden="false" customHeight="true" outlineLevel="0" collapsed="false">
      <c r="A70" s="3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customFormat="false" ht="12.75" hidden="false" customHeight="true" outlineLevel="0" collapsed="false">
      <c r="A71" s="3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customFormat="false" ht="12.75" hidden="false" customHeight="true" outlineLevel="0" collapsed="false">
      <c r="A72" s="3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customFormat="false" ht="12.75" hidden="false" customHeight="true" outlineLevel="0" collapsed="false">
      <c r="A73" s="3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customFormat="false" ht="12.75" hidden="false" customHeight="true" outlineLevel="0" collapsed="false">
      <c r="A74" s="3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customFormat="false" ht="12.75" hidden="false" customHeight="true" outlineLevel="0" collapsed="false">
      <c r="A75" s="3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customFormat="false" ht="12.75" hidden="false" customHeight="true" outlineLevel="0" collapsed="false">
      <c r="A76" s="3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customFormat="false" ht="12.75" hidden="false" customHeight="true" outlineLevel="0" collapsed="false">
      <c r="A77" s="3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customFormat="false" ht="12.75" hidden="false" customHeight="true" outlineLevel="0" collapsed="false">
      <c r="A78" s="3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customFormat="false" ht="12.75" hidden="false" customHeight="true" outlineLevel="0" collapsed="false">
      <c r="A79" s="3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customFormat="false" ht="12.75" hidden="false" customHeight="true" outlineLevel="0" collapsed="false">
      <c r="A80" s="3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customFormat="false" ht="12.75" hidden="false" customHeight="true" outlineLevel="0" collapsed="false">
      <c r="A81" s="3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customFormat="false" ht="12.75" hidden="false" customHeight="true" outlineLevel="0" collapsed="false">
      <c r="A82" s="3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customFormat="false" ht="12.75" hidden="false" customHeight="true" outlineLevel="0" collapsed="false">
      <c r="A83" s="3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customFormat="false" ht="12.75" hidden="false" customHeight="true" outlineLevel="0" collapsed="false">
      <c r="A84" s="3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customFormat="false" ht="12.75" hidden="false" customHeight="true" outlineLevel="0" collapsed="false">
      <c r="A85" s="3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customFormat="false" ht="12.75" hidden="false" customHeight="true" outlineLevel="0" collapsed="false">
      <c r="A86" s="3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customFormat="false" ht="12.75" hidden="false" customHeight="true" outlineLevel="0" collapsed="false">
      <c r="A87" s="3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customFormat="false" ht="12.75" hidden="false" customHeight="true" outlineLevel="0" collapsed="false">
      <c r="A88" s="3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customFormat="false" ht="12.75" hidden="false" customHeight="true" outlineLevel="0" collapsed="false">
      <c r="A89" s="3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customFormat="false" ht="12.75" hidden="false" customHeight="true" outlineLevel="0" collapsed="false">
      <c r="A90" s="3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customFormat="false" ht="12.75" hidden="false" customHeight="true" outlineLevel="0" collapsed="false">
      <c r="A91" s="3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customFormat="false" ht="12.75" hidden="false" customHeight="true" outlineLevel="0" collapsed="false">
      <c r="A92" s="3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customFormat="false" ht="12.75" hidden="false" customHeight="true" outlineLevel="0" collapsed="false">
      <c r="A93" s="3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customFormat="false" ht="12.75" hidden="false" customHeight="true" outlineLevel="0" collapsed="false">
      <c r="A94" s="3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customFormat="false" ht="12.75" hidden="false" customHeight="true" outlineLevel="0" collapsed="false">
      <c r="A95" s="3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customFormat="false" ht="12.75" hidden="false" customHeight="true" outlineLevel="0" collapsed="false">
      <c r="A96" s="3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customFormat="false" ht="12.75" hidden="false" customHeight="true" outlineLevel="0" collapsed="false">
      <c r="A97" s="3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customFormat="false" ht="12.75" hidden="false" customHeight="true" outlineLevel="0" collapsed="false">
      <c r="A98" s="3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customFormat="false" ht="12.75" hidden="false" customHeight="true" outlineLevel="0" collapsed="false">
      <c r="A99" s="3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customFormat="false" ht="12.75" hidden="false" customHeight="true" outlineLevel="0" collapsed="false">
      <c r="A100" s="3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customFormat="false" ht="12.75" hidden="false" customHeight="true" outlineLevel="0" collapsed="false">
      <c r="A101" s="3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customFormat="false" ht="12.75" hidden="false" customHeight="true" outlineLevel="0" collapsed="false">
      <c r="A102" s="3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customFormat="false" ht="12.75" hidden="false" customHeight="true" outlineLevel="0" collapsed="false">
      <c r="A103" s="3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customFormat="false" ht="12.75" hidden="false" customHeight="true" outlineLevel="0" collapsed="false">
      <c r="A104" s="3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customFormat="false" ht="12.75" hidden="false" customHeight="true" outlineLevel="0" collapsed="false">
      <c r="A105" s="3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customFormat="false" ht="12.75" hidden="false" customHeight="true" outlineLevel="0" collapsed="false">
      <c r="A106" s="3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customFormat="false" ht="12.75" hidden="false" customHeight="true" outlineLevel="0" collapsed="false">
      <c r="A107" s="3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customFormat="false" ht="12.75" hidden="false" customHeight="true" outlineLevel="0" collapsed="false">
      <c r="A108" s="3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customFormat="false" ht="12.75" hidden="false" customHeight="true" outlineLevel="0" collapsed="false">
      <c r="A109" s="3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customFormat="false" ht="12.75" hidden="false" customHeight="true" outlineLevel="0" collapsed="false">
      <c r="A110" s="3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customFormat="false" ht="12.75" hidden="false" customHeight="true" outlineLevel="0" collapsed="false">
      <c r="A111" s="3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customFormat="false" ht="12.75" hidden="false" customHeight="true" outlineLevel="0" collapsed="false">
      <c r="A112" s="3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customFormat="false" ht="12.75" hidden="false" customHeight="true" outlineLevel="0" collapsed="false">
      <c r="A113" s="3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customFormat="false" ht="12.75" hidden="false" customHeight="true" outlineLevel="0" collapsed="false">
      <c r="A114" s="3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customFormat="false" ht="12.75" hidden="false" customHeight="true" outlineLevel="0" collapsed="false">
      <c r="A115" s="3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customFormat="false" ht="12.75" hidden="false" customHeight="true" outlineLevel="0" collapsed="false">
      <c r="A116" s="3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customFormat="false" ht="12.75" hidden="false" customHeight="true" outlineLevel="0" collapsed="false">
      <c r="A117" s="3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customFormat="false" ht="12.75" hidden="false" customHeight="true" outlineLevel="0" collapsed="false">
      <c r="A118" s="3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customFormat="false" ht="12.75" hidden="false" customHeight="true" outlineLevel="0" collapsed="false">
      <c r="A119" s="3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customFormat="false" ht="12.75" hidden="false" customHeight="true" outlineLevel="0" collapsed="false">
      <c r="A120" s="3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customFormat="false" ht="12.75" hidden="false" customHeight="true" outlineLevel="0" collapsed="false">
      <c r="A121" s="3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customFormat="false" ht="12.75" hidden="false" customHeight="true" outlineLevel="0" collapsed="false">
      <c r="A122" s="3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customFormat="false" ht="12.75" hidden="false" customHeight="true" outlineLevel="0" collapsed="false">
      <c r="A123" s="3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customFormat="false" ht="12.75" hidden="false" customHeight="true" outlineLevel="0" collapsed="false">
      <c r="A124" s="3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customFormat="false" ht="12.75" hidden="false" customHeight="true" outlineLevel="0" collapsed="false">
      <c r="A125" s="3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customFormat="false" ht="12.75" hidden="false" customHeight="true" outlineLevel="0" collapsed="false">
      <c r="A126" s="3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customFormat="false" ht="12.75" hidden="false" customHeight="true" outlineLevel="0" collapsed="false">
      <c r="A127" s="3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customFormat="false" ht="12.75" hidden="false" customHeight="true" outlineLevel="0" collapsed="false">
      <c r="A128" s="3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customFormat="false" ht="12.75" hidden="false" customHeight="true" outlineLevel="0" collapsed="false">
      <c r="A129" s="3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customFormat="false" ht="12.75" hidden="false" customHeight="true" outlineLevel="0" collapsed="false">
      <c r="A130" s="3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customFormat="false" ht="12.75" hidden="false" customHeight="true" outlineLevel="0" collapsed="false">
      <c r="A131" s="3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customFormat="false" ht="12.75" hidden="false" customHeight="true" outlineLevel="0" collapsed="false">
      <c r="A132" s="3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customFormat="false" ht="12.75" hidden="false" customHeight="true" outlineLevel="0" collapsed="false">
      <c r="A133" s="3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customFormat="false" ht="12.75" hidden="false" customHeight="true" outlineLevel="0" collapsed="false">
      <c r="A134" s="3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customFormat="false" ht="12.75" hidden="false" customHeight="true" outlineLevel="0" collapsed="false">
      <c r="A135" s="3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customFormat="false" ht="12.75" hidden="false" customHeight="true" outlineLevel="0" collapsed="false">
      <c r="A136" s="3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customFormat="false" ht="12.75" hidden="false" customHeight="true" outlineLevel="0" collapsed="false">
      <c r="A137" s="3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customFormat="false" ht="12.75" hidden="false" customHeight="true" outlineLevel="0" collapsed="false">
      <c r="A138" s="3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customFormat="false" ht="12.75" hidden="false" customHeight="true" outlineLevel="0" collapsed="false">
      <c r="A139" s="3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customFormat="false" ht="12.75" hidden="false" customHeight="true" outlineLevel="0" collapsed="false">
      <c r="A140" s="3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customFormat="false" ht="12.75" hidden="false" customHeight="true" outlineLevel="0" collapsed="false">
      <c r="A141" s="3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customFormat="false" ht="12.75" hidden="false" customHeight="true" outlineLevel="0" collapsed="false">
      <c r="A142" s="3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customFormat="false" ht="12.75" hidden="false" customHeight="true" outlineLevel="0" collapsed="false">
      <c r="A143" s="3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customFormat="false" ht="12.75" hidden="false" customHeight="true" outlineLevel="0" collapsed="false">
      <c r="A144" s="3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customFormat="false" ht="12.75" hidden="false" customHeight="true" outlineLevel="0" collapsed="false">
      <c r="A145" s="3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customFormat="false" ht="12.75" hidden="false" customHeight="true" outlineLevel="0" collapsed="false">
      <c r="A146" s="3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customFormat="false" ht="12.75" hidden="false" customHeight="true" outlineLevel="0" collapsed="false">
      <c r="A147" s="3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customFormat="false" ht="12.75" hidden="false" customHeight="true" outlineLevel="0" collapsed="false">
      <c r="A148" s="3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customFormat="false" ht="12.75" hidden="false" customHeight="true" outlineLevel="0" collapsed="false">
      <c r="A149" s="3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customFormat="false" ht="12.75" hidden="false" customHeight="true" outlineLevel="0" collapsed="false">
      <c r="A150" s="3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customFormat="false" ht="12.75" hidden="false" customHeight="true" outlineLevel="0" collapsed="false">
      <c r="A151" s="3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customFormat="false" ht="12.75" hidden="false" customHeight="true" outlineLevel="0" collapsed="false">
      <c r="A152" s="3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customFormat="false" ht="12.75" hidden="false" customHeight="true" outlineLevel="0" collapsed="false">
      <c r="A153" s="3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customFormat="false" ht="12.75" hidden="false" customHeight="true" outlineLevel="0" collapsed="false">
      <c r="A154" s="3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customFormat="false" ht="12.75" hidden="false" customHeight="true" outlineLevel="0" collapsed="false">
      <c r="A155" s="3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customFormat="false" ht="12.75" hidden="false" customHeight="true" outlineLevel="0" collapsed="false">
      <c r="A156" s="3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customFormat="false" ht="12.75" hidden="false" customHeight="true" outlineLevel="0" collapsed="false">
      <c r="A157" s="3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customFormat="false" ht="12.75" hidden="false" customHeight="true" outlineLevel="0" collapsed="false">
      <c r="A158" s="3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customFormat="false" ht="12.75" hidden="false" customHeight="true" outlineLevel="0" collapsed="false">
      <c r="A159" s="3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customFormat="false" ht="12.75" hidden="false" customHeight="true" outlineLevel="0" collapsed="false">
      <c r="A160" s="3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customFormat="false" ht="12.75" hidden="false" customHeight="true" outlineLevel="0" collapsed="false">
      <c r="A161" s="3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customFormat="false" ht="12.75" hidden="false" customHeight="true" outlineLevel="0" collapsed="false">
      <c r="A162" s="3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customFormat="false" ht="12.75" hidden="false" customHeight="true" outlineLevel="0" collapsed="false">
      <c r="A163" s="3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customFormat="false" ht="12.75" hidden="false" customHeight="true" outlineLevel="0" collapsed="false">
      <c r="A164" s="3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customFormat="false" ht="12.75" hidden="false" customHeight="true" outlineLevel="0" collapsed="false">
      <c r="A165" s="3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customFormat="false" ht="12.75" hidden="false" customHeight="true" outlineLevel="0" collapsed="false">
      <c r="A166" s="3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customFormat="false" ht="12.75" hidden="false" customHeight="true" outlineLevel="0" collapsed="false">
      <c r="A167" s="3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customFormat="false" ht="12.75" hidden="false" customHeight="true" outlineLevel="0" collapsed="false">
      <c r="A168" s="3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customFormat="false" ht="12.75" hidden="false" customHeight="true" outlineLevel="0" collapsed="false">
      <c r="A169" s="3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customFormat="false" ht="12.75" hidden="false" customHeight="true" outlineLevel="0" collapsed="false">
      <c r="A170" s="3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customFormat="false" ht="12.75" hidden="false" customHeight="true" outlineLevel="0" collapsed="false">
      <c r="A171" s="3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customFormat="false" ht="12.75" hidden="false" customHeight="true" outlineLevel="0" collapsed="false">
      <c r="A172" s="3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customFormat="false" ht="12.75" hidden="false" customHeight="true" outlineLevel="0" collapsed="false">
      <c r="A173" s="3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customFormat="false" ht="12.75" hidden="false" customHeight="true" outlineLevel="0" collapsed="false">
      <c r="A174" s="3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customFormat="false" ht="12.75" hidden="false" customHeight="true" outlineLevel="0" collapsed="false">
      <c r="A175" s="3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customFormat="false" ht="12.75" hidden="false" customHeight="true" outlineLevel="0" collapsed="false">
      <c r="A176" s="3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customFormat="false" ht="12.75" hidden="false" customHeight="true" outlineLevel="0" collapsed="false">
      <c r="A177" s="3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customFormat="false" ht="12.75" hidden="false" customHeight="true" outlineLevel="0" collapsed="false">
      <c r="A178" s="3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customFormat="false" ht="12.75" hidden="false" customHeight="true" outlineLevel="0" collapsed="false">
      <c r="A179" s="3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customFormat="false" ht="12.75" hidden="false" customHeight="true" outlineLevel="0" collapsed="false">
      <c r="A180" s="3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customFormat="false" ht="12.75" hidden="false" customHeight="true" outlineLevel="0" collapsed="false">
      <c r="A181" s="3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customFormat="false" ht="12.75" hidden="false" customHeight="true" outlineLevel="0" collapsed="false">
      <c r="A182" s="3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customFormat="false" ht="12.75" hidden="false" customHeight="true" outlineLevel="0" collapsed="false">
      <c r="A183" s="3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customFormat="false" ht="12.75" hidden="false" customHeight="true" outlineLevel="0" collapsed="false">
      <c r="A184" s="3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customFormat="false" ht="12.75" hidden="false" customHeight="true" outlineLevel="0" collapsed="false">
      <c r="A185" s="3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customFormat="false" ht="12.75" hidden="false" customHeight="true" outlineLevel="0" collapsed="false">
      <c r="A186" s="3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customFormat="false" ht="12.75" hidden="false" customHeight="true" outlineLevel="0" collapsed="false">
      <c r="A187" s="3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customFormat="false" ht="12.75" hidden="false" customHeight="true" outlineLevel="0" collapsed="false">
      <c r="A188" s="3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customFormat="false" ht="12.75" hidden="false" customHeight="true" outlineLevel="0" collapsed="false">
      <c r="A189" s="3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customFormat="false" ht="12.75" hidden="false" customHeight="true" outlineLevel="0" collapsed="false">
      <c r="A190" s="3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customFormat="false" ht="12.75" hidden="false" customHeight="true" outlineLevel="0" collapsed="false">
      <c r="A191" s="3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customFormat="false" ht="12.75" hidden="false" customHeight="true" outlineLevel="0" collapsed="false">
      <c r="A192" s="3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customFormat="false" ht="12.75" hidden="false" customHeight="true" outlineLevel="0" collapsed="false">
      <c r="A193" s="3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customFormat="false" ht="12.75" hidden="false" customHeight="true" outlineLevel="0" collapsed="false">
      <c r="A194" s="3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customFormat="false" ht="12.75" hidden="false" customHeight="true" outlineLevel="0" collapsed="false">
      <c r="A195" s="3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customFormat="false" ht="12.75" hidden="false" customHeight="true" outlineLevel="0" collapsed="false">
      <c r="A196" s="3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customFormat="false" ht="12.75" hidden="false" customHeight="true" outlineLevel="0" collapsed="false">
      <c r="A197" s="3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customFormat="false" ht="12.75" hidden="false" customHeight="true" outlineLevel="0" collapsed="false">
      <c r="A198" s="3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customFormat="false" ht="12.75" hidden="false" customHeight="true" outlineLevel="0" collapsed="false">
      <c r="A199" s="3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customFormat="false" ht="12.75" hidden="false" customHeight="true" outlineLevel="0" collapsed="false">
      <c r="A200" s="3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customFormat="false" ht="12.75" hidden="false" customHeight="true" outlineLevel="0" collapsed="false">
      <c r="A201" s="3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customFormat="false" ht="12.75" hidden="false" customHeight="true" outlineLevel="0" collapsed="false">
      <c r="A202" s="3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customFormat="false" ht="12.75" hidden="false" customHeight="true" outlineLevel="0" collapsed="false">
      <c r="A203" s="3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customFormat="false" ht="12.75" hidden="false" customHeight="true" outlineLevel="0" collapsed="false">
      <c r="A204" s="3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customFormat="false" ht="12.75" hidden="false" customHeight="true" outlineLevel="0" collapsed="false">
      <c r="A205" s="3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customFormat="false" ht="12.75" hidden="false" customHeight="true" outlineLevel="0" collapsed="false">
      <c r="A206" s="3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customFormat="false" ht="12.75" hidden="false" customHeight="true" outlineLevel="0" collapsed="false">
      <c r="A207" s="3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customFormat="false" ht="12.75" hidden="false" customHeight="true" outlineLevel="0" collapsed="false">
      <c r="A208" s="3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customFormat="false" ht="12.75" hidden="false" customHeight="true" outlineLevel="0" collapsed="false">
      <c r="A209" s="3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customFormat="false" ht="12.75" hidden="false" customHeight="true" outlineLevel="0" collapsed="false">
      <c r="A210" s="3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customFormat="false" ht="12.75" hidden="false" customHeight="true" outlineLevel="0" collapsed="false">
      <c r="A211" s="3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customFormat="false" ht="12.75" hidden="false" customHeight="true" outlineLevel="0" collapsed="false">
      <c r="A212" s="3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customFormat="false" ht="12.75" hidden="false" customHeight="true" outlineLevel="0" collapsed="false">
      <c r="A213" s="3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customFormat="false" ht="12.75" hidden="false" customHeight="true" outlineLevel="0" collapsed="false">
      <c r="A214" s="3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customFormat="false" ht="12.75" hidden="false" customHeight="true" outlineLevel="0" collapsed="false">
      <c r="A215" s="3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customFormat="false" ht="12.75" hidden="false" customHeight="true" outlineLevel="0" collapsed="false">
      <c r="A216" s="3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customFormat="false" ht="12.75" hidden="false" customHeight="true" outlineLevel="0" collapsed="false">
      <c r="A217" s="3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customFormat="false" ht="12.75" hidden="false" customHeight="true" outlineLevel="0" collapsed="false">
      <c r="A218" s="3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customFormat="false" ht="12.75" hidden="false" customHeight="true" outlineLevel="0" collapsed="false">
      <c r="A219" s="3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customFormat="false" ht="12.75" hidden="false" customHeight="true" outlineLevel="0" collapsed="false">
      <c r="A220" s="3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customFormat="false" ht="12.75" hidden="false" customHeight="true" outlineLevel="0" collapsed="false">
      <c r="A221" s="3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customFormat="false" ht="12.75" hidden="false" customHeight="true" outlineLevel="0" collapsed="false">
      <c r="A222" s="3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customFormat="false" ht="12.75" hidden="false" customHeight="true" outlineLevel="0" collapsed="false">
      <c r="A223" s="3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customFormat="false" ht="12.75" hidden="false" customHeight="true" outlineLevel="0" collapsed="false">
      <c r="A224" s="3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customFormat="false" ht="12.75" hidden="false" customHeight="true" outlineLevel="0" collapsed="false">
      <c r="A225" s="3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customFormat="false" ht="12.75" hidden="false" customHeight="true" outlineLevel="0" collapsed="false">
      <c r="A226" s="3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customFormat="false" ht="12.75" hidden="false" customHeight="true" outlineLevel="0" collapsed="false">
      <c r="A227" s="3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customFormat="false" ht="12.75" hidden="false" customHeight="true" outlineLevel="0" collapsed="false">
      <c r="A228" s="3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customFormat="false" ht="12.75" hidden="false" customHeight="true" outlineLevel="0" collapsed="false">
      <c r="A229" s="3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customFormat="false" ht="12.75" hidden="false" customHeight="true" outlineLevel="0" collapsed="false">
      <c r="A230" s="3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customFormat="false" ht="12.75" hidden="false" customHeight="true" outlineLevel="0" collapsed="false">
      <c r="A231" s="3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customFormat="false" ht="12.75" hidden="false" customHeight="true" outlineLevel="0" collapsed="false">
      <c r="A232" s="3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customFormat="false" ht="12.75" hidden="false" customHeight="true" outlineLevel="0" collapsed="false">
      <c r="A233" s="3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customFormat="false" ht="12.75" hidden="false" customHeight="true" outlineLevel="0" collapsed="false">
      <c r="A234" s="3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customFormat="false" ht="12.75" hidden="false" customHeight="true" outlineLevel="0" collapsed="false">
      <c r="A235" s="3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customFormat="false" ht="12.75" hidden="false" customHeight="true" outlineLevel="0" collapsed="false">
      <c r="A236" s="3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customFormat="false" ht="12.75" hidden="false" customHeight="true" outlineLevel="0" collapsed="false">
      <c r="A237" s="3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customFormat="false" ht="12.75" hidden="false" customHeight="true" outlineLevel="0" collapsed="false">
      <c r="A238" s="3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customFormat="false" ht="12.75" hidden="false" customHeight="true" outlineLevel="0" collapsed="false">
      <c r="A239" s="3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customFormat="false" ht="12.75" hidden="false" customHeight="true" outlineLevel="0" collapsed="false">
      <c r="A240" s="3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customFormat="false" ht="12.75" hidden="false" customHeight="true" outlineLevel="0" collapsed="false">
      <c r="A241" s="3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customFormat="false" ht="12.75" hidden="false" customHeight="true" outlineLevel="0" collapsed="false">
      <c r="A242" s="3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customFormat="false" ht="12.75" hidden="false" customHeight="true" outlineLevel="0" collapsed="false">
      <c r="A243" s="3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customFormat="false" ht="12.75" hidden="false" customHeight="true" outlineLevel="0" collapsed="false">
      <c r="A244" s="3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customFormat="false" ht="12.75" hidden="false" customHeight="true" outlineLevel="0" collapsed="false">
      <c r="A245" s="3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customFormat="false" ht="12.75" hidden="false" customHeight="true" outlineLevel="0" collapsed="false">
      <c r="A246" s="3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customFormat="false" ht="12.75" hidden="false" customHeight="true" outlineLevel="0" collapsed="false">
      <c r="A247" s="3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customFormat="false" ht="12.75" hidden="false" customHeight="true" outlineLevel="0" collapsed="false">
      <c r="A248" s="3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customFormat="false" ht="12.75" hidden="false" customHeight="true" outlineLevel="0" collapsed="false">
      <c r="A249" s="3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customFormat="false" ht="12.75" hidden="false" customHeight="true" outlineLevel="0" collapsed="false">
      <c r="A250" s="3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customFormat="false" ht="12.75" hidden="false" customHeight="true" outlineLevel="0" collapsed="false">
      <c r="A251" s="3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customFormat="false" ht="12.75" hidden="false" customHeight="true" outlineLevel="0" collapsed="false">
      <c r="A252" s="3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customFormat="false" ht="12.75" hidden="false" customHeight="true" outlineLevel="0" collapsed="false">
      <c r="A253" s="3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customFormat="false" ht="12.75" hidden="false" customHeight="true" outlineLevel="0" collapsed="false">
      <c r="A254" s="3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customFormat="false" ht="12.75" hidden="false" customHeight="true" outlineLevel="0" collapsed="false">
      <c r="A255" s="3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customFormat="false" ht="12.75" hidden="false" customHeight="true" outlineLevel="0" collapsed="false">
      <c r="A256" s="3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customFormat="false" ht="12.75" hidden="false" customHeight="true" outlineLevel="0" collapsed="false">
      <c r="A257" s="3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customFormat="false" ht="12.75" hidden="false" customHeight="true" outlineLevel="0" collapsed="false">
      <c r="A258" s="3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customFormat="false" ht="12.75" hidden="false" customHeight="true" outlineLevel="0" collapsed="false">
      <c r="A259" s="3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customFormat="false" ht="12.75" hidden="false" customHeight="true" outlineLevel="0" collapsed="false">
      <c r="A260" s="3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customFormat="false" ht="12.75" hidden="false" customHeight="true" outlineLevel="0" collapsed="false">
      <c r="A261" s="3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customFormat="false" ht="12.75" hidden="false" customHeight="true" outlineLevel="0" collapsed="false">
      <c r="A262" s="3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customFormat="false" ht="12.75" hidden="false" customHeight="true" outlineLevel="0" collapsed="false">
      <c r="A263" s="3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customFormat="false" ht="12.75" hidden="false" customHeight="true" outlineLevel="0" collapsed="false">
      <c r="A264" s="3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customFormat="false" ht="12.75" hidden="false" customHeight="true" outlineLevel="0" collapsed="false">
      <c r="A265" s="3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customFormat="false" ht="12.75" hidden="false" customHeight="true" outlineLevel="0" collapsed="false">
      <c r="A266" s="3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customFormat="false" ht="12.75" hidden="false" customHeight="true" outlineLevel="0" collapsed="false">
      <c r="A267" s="3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customFormat="false" ht="12.75" hidden="false" customHeight="true" outlineLevel="0" collapsed="false">
      <c r="A268" s="3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customFormat="false" ht="12.75" hidden="false" customHeight="true" outlineLevel="0" collapsed="false">
      <c r="A269" s="3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customFormat="false" ht="12.75" hidden="false" customHeight="true" outlineLevel="0" collapsed="false">
      <c r="A270" s="3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customFormat="false" ht="12.75" hidden="false" customHeight="true" outlineLevel="0" collapsed="false">
      <c r="A271" s="3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customFormat="false" ht="12.75" hidden="false" customHeight="true" outlineLevel="0" collapsed="false">
      <c r="A272" s="3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customFormat="false" ht="12.75" hidden="false" customHeight="true" outlineLevel="0" collapsed="false">
      <c r="A273" s="3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customFormat="false" ht="12.75" hidden="false" customHeight="true" outlineLevel="0" collapsed="false">
      <c r="A274" s="3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customFormat="false" ht="12.75" hidden="false" customHeight="true" outlineLevel="0" collapsed="false">
      <c r="A275" s="3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customFormat="false" ht="12.75" hidden="false" customHeight="true" outlineLevel="0" collapsed="false">
      <c r="A276" s="3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customFormat="false" ht="12.75" hidden="false" customHeight="true" outlineLevel="0" collapsed="false">
      <c r="A277" s="3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customFormat="false" ht="12.75" hidden="false" customHeight="true" outlineLevel="0" collapsed="false">
      <c r="A278" s="3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customFormat="false" ht="12.75" hidden="false" customHeight="true" outlineLevel="0" collapsed="false">
      <c r="A279" s="3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customFormat="false" ht="12.75" hidden="false" customHeight="true" outlineLevel="0" collapsed="false">
      <c r="A280" s="3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customFormat="false" ht="12.75" hidden="false" customHeight="true" outlineLevel="0" collapsed="false">
      <c r="A281" s="3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customFormat="false" ht="12.75" hidden="false" customHeight="true" outlineLevel="0" collapsed="false">
      <c r="A282" s="3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customFormat="false" ht="12.75" hidden="false" customHeight="true" outlineLevel="0" collapsed="false">
      <c r="A283" s="3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customFormat="false" ht="12.75" hidden="false" customHeight="true" outlineLevel="0" collapsed="false">
      <c r="A284" s="3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customFormat="false" ht="12.75" hidden="false" customHeight="true" outlineLevel="0" collapsed="false">
      <c r="A285" s="3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customFormat="false" ht="12.75" hidden="false" customHeight="true" outlineLevel="0" collapsed="false">
      <c r="A286" s="3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customFormat="false" ht="12.75" hidden="false" customHeight="true" outlineLevel="0" collapsed="false">
      <c r="A287" s="3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customFormat="false" ht="12.75" hidden="false" customHeight="true" outlineLevel="0" collapsed="false">
      <c r="A288" s="3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customFormat="false" ht="12.75" hidden="false" customHeight="true" outlineLevel="0" collapsed="false">
      <c r="A289" s="3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customFormat="false" ht="12.75" hidden="false" customHeight="true" outlineLevel="0" collapsed="false">
      <c r="A290" s="3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customFormat="false" ht="12.75" hidden="false" customHeight="true" outlineLevel="0" collapsed="false">
      <c r="A291" s="3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customFormat="false" ht="12.75" hidden="false" customHeight="true" outlineLevel="0" collapsed="false">
      <c r="A292" s="3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customFormat="false" ht="12.75" hidden="false" customHeight="true" outlineLevel="0" collapsed="false">
      <c r="A293" s="3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customFormat="false" ht="12.75" hidden="false" customHeight="true" outlineLevel="0" collapsed="false">
      <c r="A294" s="3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customFormat="false" ht="12.75" hidden="false" customHeight="true" outlineLevel="0" collapsed="false">
      <c r="A295" s="3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customFormat="false" ht="12.75" hidden="false" customHeight="true" outlineLevel="0" collapsed="false">
      <c r="A296" s="3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customFormat="false" ht="12.75" hidden="false" customHeight="true" outlineLevel="0" collapsed="false">
      <c r="A297" s="3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customFormat="false" ht="12.75" hidden="false" customHeight="true" outlineLevel="0" collapsed="false">
      <c r="A298" s="3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customFormat="false" ht="12.75" hidden="false" customHeight="true" outlineLevel="0" collapsed="false">
      <c r="A299" s="3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customFormat="false" ht="12.75" hidden="false" customHeight="true" outlineLevel="0" collapsed="false">
      <c r="A300" s="3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customFormat="false" ht="12.75" hidden="false" customHeight="true" outlineLevel="0" collapsed="false">
      <c r="A301" s="3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customFormat="false" ht="12.75" hidden="false" customHeight="true" outlineLevel="0" collapsed="false">
      <c r="A302" s="3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customFormat="false" ht="12.75" hidden="false" customHeight="true" outlineLevel="0" collapsed="false">
      <c r="A303" s="3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customFormat="false" ht="12.75" hidden="false" customHeight="true" outlineLevel="0" collapsed="false">
      <c r="A304" s="3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customFormat="false" ht="12.75" hidden="false" customHeight="true" outlineLevel="0" collapsed="false">
      <c r="A305" s="3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customFormat="false" ht="12.75" hidden="false" customHeight="true" outlineLevel="0" collapsed="false">
      <c r="A306" s="3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customFormat="false" ht="12.75" hidden="false" customHeight="true" outlineLevel="0" collapsed="false">
      <c r="A307" s="3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customFormat="false" ht="12.75" hidden="false" customHeight="true" outlineLevel="0" collapsed="false">
      <c r="A308" s="3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customFormat="false" ht="12.75" hidden="false" customHeight="true" outlineLevel="0" collapsed="false">
      <c r="A309" s="3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customFormat="false" ht="12.75" hidden="false" customHeight="true" outlineLevel="0" collapsed="false">
      <c r="A310" s="3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customFormat="false" ht="12.75" hidden="false" customHeight="true" outlineLevel="0" collapsed="false">
      <c r="A311" s="3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customFormat="false" ht="12.75" hidden="false" customHeight="true" outlineLevel="0" collapsed="false">
      <c r="A312" s="3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customFormat="false" ht="12.75" hidden="false" customHeight="true" outlineLevel="0" collapsed="false">
      <c r="A313" s="3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customFormat="false" ht="12.75" hidden="false" customHeight="true" outlineLevel="0" collapsed="false">
      <c r="A314" s="3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customFormat="false" ht="12.75" hidden="false" customHeight="true" outlineLevel="0" collapsed="false">
      <c r="A315" s="3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customFormat="false" ht="12.75" hidden="false" customHeight="true" outlineLevel="0" collapsed="false">
      <c r="A316" s="3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customFormat="false" ht="12.75" hidden="false" customHeight="true" outlineLevel="0" collapsed="false">
      <c r="A317" s="3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customFormat="false" ht="12.75" hidden="false" customHeight="true" outlineLevel="0" collapsed="false">
      <c r="A318" s="3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customFormat="false" ht="12.75" hidden="false" customHeight="true" outlineLevel="0" collapsed="false">
      <c r="A319" s="3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customFormat="false" ht="12.75" hidden="false" customHeight="true" outlineLevel="0" collapsed="false">
      <c r="A320" s="3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customFormat="false" ht="12.75" hidden="false" customHeight="true" outlineLevel="0" collapsed="false">
      <c r="A321" s="3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customFormat="false" ht="12.75" hidden="false" customHeight="true" outlineLevel="0" collapsed="false">
      <c r="A322" s="3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customFormat="false" ht="12.75" hidden="false" customHeight="true" outlineLevel="0" collapsed="false">
      <c r="A323" s="3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customFormat="false" ht="12.75" hidden="false" customHeight="true" outlineLevel="0" collapsed="false">
      <c r="A324" s="3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customFormat="false" ht="12.75" hidden="false" customHeight="true" outlineLevel="0" collapsed="false">
      <c r="A325" s="3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customFormat="false" ht="12.75" hidden="false" customHeight="true" outlineLevel="0" collapsed="false">
      <c r="A326" s="3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customFormat="false" ht="12.75" hidden="false" customHeight="true" outlineLevel="0" collapsed="false">
      <c r="A327" s="3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customFormat="false" ht="12.75" hidden="false" customHeight="true" outlineLevel="0" collapsed="false">
      <c r="A328" s="3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customFormat="false" ht="12.75" hidden="false" customHeight="true" outlineLevel="0" collapsed="false">
      <c r="A329" s="3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customFormat="false" ht="12.75" hidden="false" customHeight="true" outlineLevel="0" collapsed="false">
      <c r="A330" s="3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customFormat="false" ht="12.75" hidden="false" customHeight="true" outlineLevel="0" collapsed="false">
      <c r="A331" s="3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customFormat="false" ht="12.75" hidden="false" customHeight="true" outlineLevel="0" collapsed="false">
      <c r="A332" s="3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customFormat="false" ht="12.75" hidden="false" customHeight="true" outlineLevel="0" collapsed="false">
      <c r="A333" s="3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customFormat="false" ht="12.75" hidden="false" customHeight="true" outlineLevel="0" collapsed="false">
      <c r="A334" s="3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customFormat="false" ht="12.75" hidden="false" customHeight="true" outlineLevel="0" collapsed="false">
      <c r="A335" s="3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customFormat="false" ht="12.75" hidden="false" customHeight="true" outlineLevel="0" collapsed="false">
      <c r="A336" s="3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customFormat="false" ht="12.75" hidden="false" customHeight="true" outlineLevel="0" collapsed="false">
      <c r="A337" s="3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customFormat="false" ht="12.75" hidden="false" customHeight="true" outlineLevel="0" collapsed="false">
      <c r="A338" s="3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customFormat="false" ht="12.75" hidden="false" customHeight="true" outlineLevel="0" collapsed="false">
      <c r="A339" s="3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customFormat="false" ht="12.75" hidden="false" customHeight="true" outlineLevel="0" collapsed="false">
      <c r="A340" s="3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customFormat="false" ht="12.75" hidden="false" customHeight="true" outlineLevel="0" collapsed="false">
      <c r="A341" s="3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customFormat="false" ht="12.75" hidden="false" customHeight="true" outlineLevel="0" collapsed="false">
      <c r="A342" s="3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customFormat="false" ht="12.75" hidden="false" customHeight="true" outlineLevel="0" collapsed="false">
      <c r="A343" s="3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customFormat="false" ht="12.75" hidden="false" customHeight="true" outlineLevel="0" collapsed="false">
      <c r="A344" s="3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customFormat="false" ht="12.75" hidden="false" customHeight="true" outlineLevel="0" collapsed="false">
      <c r="A345" s="3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customFormat="false" ht="12.75" hidden="false" customHeight="true" outlineLevel="0" collapsed="false">
      <c r="A346" s="3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customFormat="false" ht="12.75" hidden="false" customHeight="true" outlineLevel="0" collapsed="false">
      <c r="A347" s="3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customFormat="false" ht="12.75" hidden="false" customHeight="true" outlineLevel="0" collapsed="false">
      <c r="A348" s="3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customFormat="false" ht="12.75" hidden="false" customHeight="true" outlineLevel="0" collapsed="false">
      <c r="A349" s="3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customFormat="false" ht="12.75" hidden="false" customHeight="true" outlineLevel="0" collapsed="false">
      <c r="A350" s="3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customFormat="false" ht="12.75" hidden="false" customHeight="true" outlineLevel="0" collapsed="false">
      <c r="A351" s="3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customFormat="false" ht="12.75" hidden="false" customHeight="true" outlineLevel="0" collapsed="false">
      <c r="A352" s="3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customFormat="false" ht="12.75" hidden="false" customHeight="true" outlineLevel="0" collapsed="false">
      <c r="A353" s="3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customFormat="false" ht="12.75" hidden="false" customHeight="true" outlineLevel="0" collapsed="false">
      <c r="A354" s="3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customFormat="false" ht="12.75" hidden="false" customHeight="true" outlineLevel="0" collapsed="false">
      <c r="A355" s="3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customFormat="false" ht="12.75" hidden="false" customHeight="true" outlineLevel="0" collapsed="false">
      <c r="A356" s="3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customFormat="false" ht="12.75" hidden="false" customHeight="true" outlineLevel="0" collapsed="false">
      <c r="A357" s="3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customFormat="false" ht="12.75" hidden="false" customHeight="true" outlineLevel="0" collapsed="false">
      <c r="A358" s="3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customFormat="false" ht="12.75" hidden="false" customHeight="true" outlineLevel="0" collapsed="false">
      <c r="A359" s="3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customFormat="false" ht="12.75" hidden="false" customHeight="true" outlineLevel="0" collapsed="false">
      <c r="A360" s="3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customFormat="false" ht="12.75" hidden="false" customHeight="true" outlineLevel="0" collapsed="false">
      <c r="A361" s="3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customFormat="false" ht="12.75" hidden="false" customHeight="true" outlineLevel="0" collapsed="false">
      <c r="A362" s="3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customFormat="false" ht="12.75" hidden="false" customHeight="true" outlineLevel="0" collapsed="false">
      <c r="A363" s="3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customFormat="false" ht="12.75" hidden="false" customHeight="true" outlineLevel="0" collapsed="false">
      <c r="A364" s="3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customFormat="false" ht="12.75" hidden="false" customHeight="true" outlineLevel="0" collapsed="false">
      <c r="A365" s="3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customFormat="false" ht="12.75" hidden="false" customHeight="true" outlineLevel="0" collapsed="false">
      <c r="A366" s="3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customFormat="false" ht="12.75" hidden="false" customHeight="true" outlineLevel="0" collapsed="false">
      <c r="A367" s="3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customFormat="false" ht="12.75" hidden="false" customHeight="true" outlineLevel="0" collapsed="false">
      <c r="A368" s="3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customFormat="false" ht="12.75" hidden="false" customHeight="true" outlineLevel="0" collapsed="false">
      <c r="A369" s="3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customFormat="false" ht="12.75" hidden="false" customHeight="true" outlineLevel="0" collapsed="false">
      <c r="A370" s="3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customFormat="false" ht="12.75" hidden="false" customHeight="true" outlineLevel="0" collapsed="false">
      <c r="A371" s="3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customFormat="false" ht="12.75" hidden="false" customHeight="true" outlineLevel="0" collapsed="false">
      <c r="A372" s="3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customFormat="false" ht="12.75" hidden="false" customHeight="true" outlineLevel="0" collapsed="false">
      <c r="A373" s="3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customFormat="false" ht="12.75" hidden="false" customHeight="true" outlineLevel="0" collapsed="false">
      <c r="A374" s="3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customFormat="false" ht="12.75" hidden="false" customHeight="true" outlineLevel="0" collapsed="false">
      <c r="A375" s="3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customFormat="false" ht="12.75" hidden="false" customHeight="true" outlineLevel="0" collapsed="false">
      <c r="A376" s="3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customFormat="false" ht="12.75" hidden="false" customHeight="true" outlineLevel="0" collapsed="false">
      <c r="A377" s="3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customFormat="false" ht="12.75" hidden="false" customHeight="true" outlineLevel="0" collapsed="false">
      <c r="A378" s="3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customFormat="false" ht="12.75" hidden="false" customHeight="true" outlineLevel="0" collapsed="false">
      <c r="A379" s="3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customFormat="false" ht="12.75" hidden="false" customHeight="true" outlineLevel="0" collapsed="false">
      <c r="A380" s="3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customFormat="false" ht="12.75" hidden="false" customHeight="true" outlineLevel="0" collapsed="false">
      <c r="A381" s="3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customFormat="false" ht="12.75" hidden="false" customHeight="true" outlineLevel="0" collapsed="false">
      <c r="A382" s="3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customFormat="false" ht="12.75" hidden="false" customHeight="true" outlineLevel="0" collapsed="false">
      <c r="A383" s="3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customFormat="false" ht="12.75" hidden="false" customHeight="true" outlineLevel="0" collapsed="false">
      <c r="A384" s="3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customFormat="false" ht="12.75" hidden="false" customHeight="true" outlineLevel="0" collapsed="false">
      <c r="A385" s="3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customFormat="false" ht="12.75" hidden="false" customHeight="true" outlineLevel="0" collapsed="false">
      <c r="A386" s="3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customFormat="false" ht="12.75" hidden="false" customHeight="true" outlineLevel="0" collapsed="false">
      <c r="A387" s="3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customFormat="false" ht="12.75" hidden="false" customHeight="true" outlineLevel="0" collapsed="false">
      <c r="A388" s="3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customFormat="false" ht="12.75" hidden="false" customHeight="true" outlineLevel="0" collapsed="false">
      <c r="A389" s="3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customFormat="false" ht="12.75" hidden="false" customHeight="true" outlineLevel="0" collapsed="false">
      <c r="A390" s="3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customFormat="false" ht="12.75" hidden="false" customHeight="true" outlineLevel="0" collapsed="false">
      <c r="A391" s="3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customFormat="false" ht="12.75" hidden="false" customHeight="true" outlineLevel="0" collapsed="false">
      <c r="A392" s="3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customFormat="false" ht="12.75" hidden="false" customHeight="true" outlineLevel="0" collapsed="false">
      <c r="A393" s="3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customFormat="false" ht="12.75" hidden="false" customHeight="true" outlineLevel="0" collapsed="false">
      <c r="A394" s="3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customFormat="false" ht="12.75" hidden="false" customHeight="true" outlineLevel="0" collapsed="false">
      <c r="A395" s="3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customFormat="false" ht="12.75" hidden="false" customHeight="true" outlineLevel="0" collapsed="false">
      <c r="A396" s="3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customFormat="false" ht="12.75" hidden="false" customHeight="true" outlineLevel="0" collapsed="false">
      <c r="A397" s="3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customFormat="false" ht="12.75" hidden="false" customHeight="true" outlineLevel="0" collapsed="false">
      <c r="A398" s="3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customFormat="false" ht="12.75" hidden="false" customHeight="true" outlineLevel="0" collapsed="false">
      <c r="A399" s="3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customFormat="false" ht="12.75" hidden="false" customHeight="true" outlineLevel="0" collapsed="false">
      <c r="A400" s="3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customFormat="false" ht="12.75" hidden="false" customHeight="true" outlineLevel="0" collapsed="false">
      <c r="A401" s="3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customFormat="false" ht="12.75" hidden="false" customHeight="true" outlineLevel="0" collapsed="false">
      <c r="A402" s="3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customFormat="false" ht="12.75" hidden="false" customHeight="true" outlineLevel="0" collapsed="false">
      <c r="A403" s="3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customFormat="false" ht="12.75" hidden="false" customHeight="true" outlineLevel="0" collapsed="false">
      <c r="A404" s="3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customFormat="false" ht="12.75" hidden="false" customHeight="true" outlineLevel="0" collapsed="false">
      <c r="A405" s="3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customFormat="false" ht="12.75" hidden="false" customHeight="true" outlineLevel="0" collapsed="false">
      <c r="A406" s="3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customFormat="false" ht="12.75" hidden="false" customHeight="true" outlineLevel="0" collapsed="false">
      <c r="A407" s="3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customFormat="false" ht="12.75" hidden="false" customHeight="true" outlineLevel="0" collapsed="false">
      <c r="A408" s="3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customFormat="false" ht="12.75" hidden="false" customHeight="true" outlineLevel="0" collapsed="false">
      <c r="A409" s="3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customFormat="false" ht="12.75" hidden="false" customHeight="true" outlineLevel="0" collapsed="false">
      <c r="A410" s="3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customFormat="false" ht="12.75" hidden="false" customHeight="true" outlineLevel="0" collapsed="false">
      <c r="A411" s="3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customFormat="false" ht="12.75" hidden="false" customHeight="true" outlineLevel="0" collapsed="false">
      <c r="A412" s="3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customFormat="false" ht="12.75" hidden="false" customHeight="true" outlineLevel="0" collapsed="false">
      <c r="A413" s="3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customFormat="false" ht="12.75" hidden="false" customHeight="true" outlineLevel="0" collapsed="false">
      <c r="A414" s="3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customFormat="false" ht="12.75" hidden="false" customHeight="true" outlineLevel="0" collapsed="false">
      <c r="A415" s="3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customFormat="false" ht="12.75" hidden="false" customHeight="true" outlineLevel="0" collapsed="false">
      <c r="A416" s="3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customFormat="false" ht="12.75" hidden="false" customHeight="true" outlineLevel="0" collapsed="false">
      <c r="A417" s="3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customFormat="false" ht="12.75" hidden="false" customHeight="true" outlineLevel="0" collapsed="false">
      <c r="A418" s="3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customFormat="false" ht="12.75" hidden="false" customHeight="true" outlineLevel="0" collapsed="false">
      <c r="A419" s="3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customFormat="false" ht="12.75" hidden="false" customHeight="true" outlineLevel="0" collapsed="false">
      <c r="A420" s="3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customFormat="false" ht="12.75" hidden="false" customHeight="true" outlineLevel="0" collapsed="false">
      <c r="A421" s="3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customFormat="false" ht="12.75" hidden="false" customHeight="true" outlineLevel="0" collapsed="false">
      <c r="A422" s="3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customFormat="false" ht="12.75" hidden="false" customHeight="true" outlineLevel="0" collapsed="false">
      <c r="A423" s="3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customFormat="false" ht="12.75" hidden="false" customHeight="true" outlineLevel="0" collapsed="false">
      <c r="A424" s="3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customFormat="false" ht="12.75" hidden="false" customHeight="true" outlineLevel="0" collapsed="false">
      <c r="A425" s="3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customFormat="false" ht="12.75" hidden="false" customHeight="true" outlineLevel="0" collapsed="false">
      <c r="A426" s="3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customFormat="false" ht="12.75" hidden="false" customHeight="true" outlineLevel="0" collapsed="false">
      <c r="A427" s="3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customFormat="false" ht="12.75" hidden="false" customHeight="true" outlineLevel="0" collapsed="false">
      <c r="A428" s="3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customFormat="false" ht="12.75" hidden="false" customHeight="true" outlineLevel="0" collapsed="false">
      <c r="A429" s="3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customFormat="false" ht="12.75" hidden="false" customHeight="true" outlineLevel="0" collapsed="false">
      <c r="A430" s="3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customFormat="false" ht="12.75" hidden="false" customHeight="true" outlineLevel="0" collapsed="false">
      <c r="A431" s="3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customFormat="false" ht="12.75" hidden="false" customHeight="true" outlineLevel="0" collapsed="false">
      <c r="A432" s="3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customFormat="false" ht="12.75" hidden="false" customHeight="true" outlineLevel="0" collapsed="false">
      <c r="A433" s="3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customFormat="false" ht="12.75" hidden="false" customHeight="true" outlineLevel="0" collapsed="false">
      <c r="A434" s="3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customFormat="false" ht="12.75" hidden="false" customHeight="true" outlineLevel="0" collapsed="false">
      <c r="A435" s="3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customFormat="false" ht="12.75" hidden="false" customHeight="true" outlineLevel="0" collapsed="false">
      <c r="A436" s="3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customFormat="false" ht="12.75" hidden="false" customHeight="true" outlineLevel="0" collapsed="false">
      <c r="A437" s="3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customFormat="false" ht="12.75" hidden="false" customHeight="true" outlineLevel="0" collapsed="false">
      <c r="A438" s="3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customFormat="false" ht="12.75" hidden="false" customHeight="true" outlineLevel="0" collapsed="false">
      <c r="A439" s="3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customFormat="false" ht="12.75" hidden="false" customHeight="true" outlineLevel="0" collapsed="false">
      <c r="A440" s="3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customFormat="false" ht="12.75" hidden="false" customHeight="true" outlineLevel="0" collapsed="false">
      <c r="A441" s="3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customFormat="false" ht="12.75" hidden="false" customHeight="true" outlineLevel="0" collapsed="false">
      <c r="A442" s="3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customFormat="false" ht="12.75" hidden="false" customHeight="true" outlineLevel="0" collapsed="false">
      <c r="A443" s="3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customFormat="false" ht="12.75" hidden="false" customHeight="true" outlineLevel="0" collapsed="false">
      <c r="A444" s="3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customFormat="false" ht="12.75" hidden="false" customHeight="true" outlineLevel="0" collapsed="false">
      <c r="A445" s="3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customFormat="false" ht="12.75" hidden="false" customHeight="true" outlineLevel="0" collapsed="false">
      <c r="A446" s="3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customFormat="false" ht="12.75" hidden="false" customHeight="true" outlineLevel="0" collapsed="false">
      <c r="A447" s="3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customFormat="false" ht="12.75" hidden="false" customHeight="true" outlineLevel="0" collapsed="false">
      <c r="A448" s="3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customFormat="false" ht="12.75" hidden="false" customHeight="true" outlineLevel="0" collapsed="false">
      <c r="A449" s="3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customFormat="false" ht="12.75" hidden="false" customHeight="true" outlineLevel="0" collapsed="false">
      <c r="A450" s="3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customFormat="false" ht="12.75" hidden="false" customHeight="true" outlineLevel="0" collapsed="false">
      <c r="A451" s="3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customFormat="false" ht="12.75" hidden="false" customHeight="true" outlineLevel="0" collapsed="false">
      <c r="A452" s="3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customFormat="false" ht="12.75" hidden="false" customHeight="true" outlineLevel="0" collapsed="false">
      <c r="A453" s="3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customFormat="false" ht="12.75" hidden="false" customHeight="true" outlineLevel="0" collapsed="false">
      <c r="A454" s="3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customFormat="false" ht="12.75" hidden="false" customHeight="true" outlineLevel="0" collapsed="false">
      <c r="A455" s="3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customFormat="false" ht="12.75" hidden="false" customHeight="true" outlineLevel="0" collapsed="false">
      <c r="A456" s="3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customFormat="false" ht="12.75" hidden="false" customHeight="true" outlineLevel="0" collapsed="false">
      <c r="A457" s="3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customFormat="false" ht="12.75" hidden="false" customHeight="true" outlineLevel="0" collapsed="false">
      <c r="A458" s="3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customFormat="false" ht="12.75" hidden="false" customHeight="true" outlineLevel="0" collapsed="false">
      <c r="A459" s="3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customFormat="false" ht="12.75" hidden="false" customHeight="true" outlineLevel="0" collapsed="false">
      <c r="A460" s="3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customFormat="false" ht="12.75" hidden="false" customHeight="true" outlineLevel="0" collapsed="false">
      <c r="A461" s="3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customFormat="false" ht="12.75" hidden="false" customHeight="true" outlineLevel="0" collapsed="false">
      <c r="A462" s="3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customFormat="false" ht="12.75" hidden="false" customHeight="true" outlineLevel="0" collapsed="false">
      <c r="A463" s="3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customFormat="false" ht="12.75" hidden="false" customHeight="true" outlineLevel="0" collapsed="false">
      <c r="A464" s="3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customFormat="false" ht="12.75" hidden="false" customHeight="true" outlineLevel="0" collapsed="false">
      <c r="A465" s="3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customFormat="false" ht="12.75" hidden="false" customHeight="true" outlineLevel="0" collapsed="false">
      <c r="A466" s="3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customFormat="false" ht="12.75" hidden="false" customHeight="true" outlineLevel="0" collapsed="false">
      <c r="A467" s="3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customFormat="false" ht="12.75" hidden="false" customHeight="true" outlineLevel="0" collapsed="false">
      <c r="A468" s="3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customFormat="false" ht="12.75" hidden="false" customHeight="true" outlineLevel="0" collapsed="false">
      <c r="A469" s="3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customFormat="false" ht="12.75" hidden="false" customHeight="true" outlineLevel="0" collapsed="false">
      <c r="A470" s="3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customFormat="false" ht="12.75" hidden="false" customHeight="true" outlineLevel="0" collapsed="false">
      <c r="A471" s="3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customFormat="false" ht="12.75" hidden="false" customHeight="true" outlineLevel="0" collapsed="false">
      <c r="A472" s="3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customFormat="false" ht="12.75" hidden="false" customHeight="true" outlineLevel="0" collapsed="false">
      <c r="A473" s="3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customFormat="false" ht="12.75" hidden="false" customHeight="true" outlineLevel="0" collapsed="false">
      <c r="A474" s="3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customFormat="false" ht="12.75" hidden="false" customHeight="true" outlineLevel="0" collapsed="false">
      <c r="A475" s="3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customFormat="false" ht="12.75" hidden="false" customHeight="true" outlineLevel="0" collapsed="false">
      <c r="A476" s="3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customFormat="false" ht="12.75" hidden="false" customHeight="true" outlineLevel="0" collapsed="false">
      <c r="A477" s="3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customFormat="false" ht="12.75" hidden="false" customHeight="true" outlineLevel="0" collapsed="false">
      <c r="A478" s="3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customFormat="false" ht="12.75" hidden="false" customHeight="true" outlineLevel="0" collapsed="false">
      <c r="A479" s="3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customFormat="false" ht="12.75" hidden="false" customHeight="true" outlineLevel="0" collapsed="false">
      <c r="A480" s="3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customFormat="false" ht="12.75" hidden="false" customHeight="true" outlineLevel="0" collapsed="false">
      <c r="A481" s="3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customFormat="false" ht="12.75" hidden="false" customHeight="true" outlineLevel="0" collapsed="false">
      <c r="A482" s="3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customFormat="false" ht="12.75" hidden="false" customHeight="true" outlineLevel="0" collapsed="false">
      <c r="A483" s="3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customFormat="false" ht="12.75" hidden="false" customHeight="true" outlineLevel="0" collapsed="false">
      <c r="A484" s="3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customFormat="false" ht="12.75" hidden="false" customHeight="true" outlineLevel="0" collapsed="false">
      <c r="A485" s="3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customFormat="false" ht="12.75" hidden="false" customHeight="true" outlineLevel="0" collapsed="false">
      <c r="A486" s="3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customFormat="false" ht="12.75" hidden="false" customHeight="true" outlineLevel="0" collapsed="false">
      <c r="A487" s="3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customFormat="false" ht="12.75" hidden="false" customHeight="true" outlineLevel="0" collapsed="false">
      <c r="A488" s="3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customFormat="false" ht="12.75" hidden="false" customHeight="true" outlineLevel="0" collapsed="false">
      <c r="A489" s="3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customFormat="false" ht="12.75" hidden="false" customHeight="true" outlineLevel="0" collapsed="false">
      <c r="A490" s="3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customFormat="false" ht="12.75" hidden="false" customHeight="true" outlineLevel="0" collapsed="false">
      <c r="A491" s="3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customFormat="false" ht="12.75" hidden="false" customHeight="true" outlineLevel="0" collapsed="false">
      <c r="A492" s="3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customFormat="false" ht="12.75" hidden="false" customHeight="true" outlineLevel="0" collapsed="false">
      <c r="A493" s="3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customFormat="false" ht="12.75" hidden="false" customHeight="true" outlineLevel="0" collapsed="false">
      <c r="A494" s="3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customFormat="false" ht="12.75" hidden="false" customHeight="true" outlineLevel="0" collapsed="false">
      <c r="A495" s="3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customFormat="false" ht="12.75" hidden="false" customHeight="true" outlineLevel="0" collapsed="false">
      <c r="A496" s="3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customFormat="false" ht="12.75" hidden="false" customHeight="true" outlineLevel="0" collapsed="false">
      <c r="A497" s="3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customFormat="false" ht="12.75" hidden="false" customHeight="true" outlineLevel="0" collapsed="false">
      <c r="A498" s="3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customFormat="false" ht="12.75" hidden="false" customHeight="true" outlineLevel="0" collapsed="false">
      <c r="A499" s="3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customFormat="false" ht="12.75" hidden="false" customHeight="true" outlineLevel="0" collapsed="false">
      <c r="A500" s="3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customFormat="false" ht="12.75" hidden="false" customHeight="true" outlineLevel="0" collapsed="false">
      <c r="A501" s="3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customFormat="false" ht="12.75" hidden="false" customHeight="true" outlineLevel="0" collapsed="false">
      <c r="A502" s="3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customFormat="false" ht="12.75" hidden="false" customHeight="true" outlineLevel="0" collapsed="false">
      <c r="A503" s="3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customFormat="false" ht="12.75" hidden="false" customHeight="true" outlineLevel="0" collapsed="false">
      <c r="A504" s="3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customFormat="false" ht="12.75" hidden="false" customHeight="true" outlineLevel="0" collapsed="false">
      <c r="A505" s="3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customFormat="false" ht="12.75" hidden="false" customHeight="true" outlineLevel="0" collapsed="false">
      <c r="A506" s="3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customFormat="false" ht="12.75" hidden="false" customHeight="true" outlineLevel="0" collapsed="false">
      <c r="A507" s="3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customFormat="false" ht="12.75" hidden="false" customHeight="true" outlineLevel="0" collapsed="false">
      <c r="A508" s="3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customFormat="false" ht="12.75" hidden="false" customHeight="true" outlineLevel="0" collapsed="false">
      <c r="A509" s="3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customFormat="false" ht="12.75" hidden="false" customHeight="true" outlineLevel="0" collapsed="false">
      <c r="A510" s="3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customFormat="false" ht="12.75" hidden="false" customHeight="true" outlineLevel="0" collapsed="false">
      <c r="A511" s="3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customFormat="false" ht="12.75" hidden="false" customHeight="true" outlineLevel="0" collapsed="false">
      <c r="A512" s="3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customFormat="false" ht="12.75" hidden="false" customHeight="true" outlineLevel="0" collapsed="false">
      <c r="A513" s="3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customFormat="false" ht="12.75" hidden="false" customHeight="true" outlineLevel="0" collapsed="false">
      <c r="A514" s="3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customFormat="false" ht="12.75" hidden="false" customHeight="true" outlineLevel="0" collapsed="false">
      <c r="A515" s="3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customFormat="false" ht="12.75" hidden="false" customHeight="true" outlineLevel="0" collapsed="false">
      <c r="A516" s="3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customFormat="false" ht="12.75" hidden="false" customHeight="true" outlineLevel="0" collapsed="false">
      <c r="A517" s="3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customFormat="false" ht="12.75" hidden="false" customHeight="true" outlineLevel="0" collapsed="false">
      <c r="A518" s="3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customFormat="false" ht="12.75" hidden="false" customHeight="true" outlineLevel="0" collapsed="false">
      <c r="A519" s="3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customFormat="false" ht="12.75" hidden="false" customHeight="true" outlineLevel="0" collapsed="false">
      <c r="A520" s="3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customFormat="false" ht="12.75" hidden="false" customHeight="true" outlineLevel="0" collapsed="false">
      <c r="A521" s="3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customFormat="false" ht="12.75" hidden="false" customHeight="true" outlineLevel="0" collapsed="false">
      <c r="A522" s="3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customFormat="false" ht="12.75" hidden="false" customHeight="true" outlineLevel="0" collapsed="false">
      <c r="A523" s="3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customFormat="false" ht="12.75" hidden="false" customHeight="true" outlineLevel="0" collapsed="false">
      <c r="A524" s="3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customFormat="false" ht="12.75" hidden="false" customHeight="true" outlineLevel="0" collapsed="false">
      <c r="A525" s="3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customFormat="false" ht="12.75" hidden="false" customHeight="true" outlineLevel="0" collapsed="false">
      <c r="A526" s="3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customFormat="false" ht="12.75" hidden="false" customHeight="true" outlineLevel="0" collapsed="false">
      <c r="A527" s="3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customFormat="false" ht="12.75" hidden="false" customHeight="true" outlineLevel="0" collapsed="false">
      <c r="A528" s="3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customFormat="false" ht="12.75" hidden="false" customHeight="true" outlineLevel="0" collapsed="false">
      <c r="A529" s="3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customFormat="false" ht="12.75" hidden="false" customHeight="true" outlineLevel="0" collapsed="false">
      <c r="A530" s="3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customFormat="false" ht="12.75" hidden="false" customHeight="true" outlineLevel="0" collapsed="false">
      <c r="A531" s="3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customFormat="false" ht="12.75" hidden="false" customHeight="true" outlineLevel="0" collapsed="false">
      <c r="A532" s="3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customFormat="false" ht="12.75" hidden="false" customHeight="true" outlineLevel="0" collapsed="false">
      <c r="A533" s="3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customFormat="false" ht="12.75" hidden="false" customHeight="true" outlineLevel="0" collapsed="false">
      <c r="A534" s="3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customFormat="false" ht="12.75" hidden="false" customHeight="true" outlineLevel="0" collapsed="false">
      <c r="A535" s="3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customFormat="false" ht="12.75" hidden="false" customHeight="true" outlineLevel="0" collapsed="false">
      <c r="A536" s="3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customFormat="false" ht="12.75" hidden="false" customHeight="true" outlineLevel="0" collapsed="false">
      <c r="A537" s="3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customFormat="false" ht="12.75" hidden="false" customHeight="true" outlineLevel="0" collapsed="false">
      <c r="A538" s="3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customFormat="false" ht="12.75" hidden="false" customHeight="true" outlineLevel="0" collapsed="false">
      <c r="A539" s="3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customFormat="false" ht="12.75" hidden="false" customHeight="true" outlineLevel="0" collapsed="false">
      <c r="A540" s="3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customFormat="false" ht="12.75" hidden="false" customHeight="true" outlineLevel="0" collapsed="false">
      <c r="A541" s="3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customFormat="false" ht="12.75" hidden="false" customHeight="true" outlineLevel="0" collapsed="false">
      <c r="A542" s="3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customFormat="false" ht="12.75" hidden="false" customHeight="true" outlineLevel="0" collapsed="false">
      <c r="A543" s="3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customFormat="false" ht="12.75" hidden="false" customHeight="true" outlineLevel="0" collapsed="false">
      <c r="A544" s="3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customFormat="false" ht="12.75" hidden="false" customHeight="true" outlineLevel="0" collapsed="false">
      <c r="A545" s="3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customFormat="false" ht="12.75" hidden="false" customHeight="true" outlineLevel="0" collapsed="false">
      <c r="A546" s="3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customFormat="false" ht="12.75" hidden="false" customHeight="true" outlineLevel="0" collapsed="false">
      <c r="A547" s="3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customFormat="false" ht="12.75" hidden="false" customHeight="true" outlineLevel="0" collapsed="false">
      <c r="A548" s="3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customFormat="false" ht="12.75" hidden="false" customHeight="true" outlineLevel="0" collapsed="false">
      <c r="A549" s="3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customFormat="false" ht="12.75" hidden="false" customHeight="true" outlineLevel="0" collapsed="false">
      <c r="A550" s="3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customFormat="false" ht="12.75" hidden="false" customHeight="true" outlineLevel="0" collapsed="false">
      <c r="A551" s="3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customFormat="false" ht="12.75" hidden="false" customHeight="true" outlineLevel="0" collapsed="false">
      <c r="A552" s="3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customFormat="false" ht="12.75" hidden="false" customHeight="true" outlineLevel="0" collapsed="false">
      <c r="A553" s="3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customFormat="false" ht="12.75" hidden="false" customHeight="true" outlineLevel="0" collapsed="false">
      <c r="A554" s="3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customFormat="false" ht="12.75" hidden="false" customHeight="true" outlineLevel="0" collapsed="false">
      <c r="A555" s="3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customFormat="false" ht="12.75" hidden="false" customHeight="true" outlineLevel="0" collapsed="false">
      <c r="A556" s="3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customFormat="false" ht="12.75" hidden="false" customHeight="true" outlineLevel="0" collapsed="false">
      <c r="A557" s="3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customFormat="false" ht="12.75" hidden="false" customHeight="true" outlineLevel="0" collapsed="false">
      <c r="A558" s="3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customFormat="false" ht="12.75" hidden="false" customHeight="true" outlineLevel="0" collapsed="false">
      <c r="A559" s="3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customFormat="false" ht="12.75" hidden="false" customHeight="true" outlineLevel="0" collapsed="false">
      <c r="A560" s="3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customFormat="false" ht="12.75" hidden="false" customHeight="true" outlineLevel="0" collapsed="false">
      <c r="A561" s="3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customFormat="false" ht="12.75" hidden="false" customHeight="true" outlineLevel="0" collapsed="false">
      <c r="A562" s="3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customFormat="false" ht="12.75" hidden="false" customHeight="true" outlineLevel="0" collapsed="false">
      <c r="A563" s="3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customFormat="false" ht="12.75" hidden="false" customHeight="true" outlineLevel="0" collapsed="false">
      <c r="A564" s="3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customFormat="false" ht="12.75" hidden="false" customHeight="true" outlineLevel="0" collapsed="false">
      <c r="A565" s="3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customFormat="false" ht="12.75" hidden="false" customHeight="true" outlineLevel="0" collapsed="false">
      <c r="A566" s="3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customFormat="false" ht="12.75" hidden="false" customHeight="true" outlineLevel="0" collapsed="false">
      <c r="A567" s="3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customFormat="false" ht="12.75" hidden="false" customHeight="true" outlineLevel="0" collapsed="false">
      <c r="A568" s="3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customFormat="false" ht="12.75" hidden="false" customHeight="true" outlineLevel="0" collapsed="false">
      <c r="A569" s="3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customFormat="false" ht="12.75" hidden="false" customHeight="true" outlineLevel="0" collapsed="false">
      <c r="A570" s="3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customFormat="false" ht="12.75" hidden="false" customHeight="true" outlineLevel="0" collapsed="false">
      <c r="A571" s="3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customFormat="false" ht="12.75" hidden="false" customHeight="true" outlineLevel="0" collapsed="false">
      <c r="A572" s="3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customFormat="false" ht="12.75" hidden="false" customHeight="true" outlineLevel="0" collapsed="false">
      <c r="A573" s="3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customFormat="false" ht="12.75" hidden="false" customHeight="true" outlineLevel="0" collapsed="false">
      <c r="A574" s="3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customFormat="false" ht="12.75" hidden="false" customHeight="true" outlineLevel="0" collapsed="false">
      <c r="A575" s="3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customFormat="false" ht="12.75" hidden="false" customHeight="true" outlineLevel="0" collapsed="false">
      <c r="A576" s="3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customFormat="false" ht="12.75" hidden="false" customHeight="true" outlineLevel="0" collapsed="false">
      <c r="A577" s="3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customFormat="false" ht="12.75" hidden="false" customHeight="true" outlineLevel="0" collapsed="false">
      <c r="A578" s="3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customFormat="false" ht="12.75" hidden="false" customHeight="true" outlineLevel="0" collapsed="false">
      <c r="A579" s="3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customFormat="false" ht="12.75" hidden="false" customHeight="true" outlineLevel="0" collapsed="false">
      <c r="A580" s="3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customFormat="false" ht="12.75" hidden="false" customHeight="true" outlineLevel="0" collapsed="false">
      <c r="A581" s="3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customFormat="false" ht="12.75" hidden="false" customHeight="true" outlineLevel="0" collapsed="false">
      <c r="A582" s="3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customFormat="false" ht="12.75" hidden="false" customHeight="true" outlineLevel="0" collapsed="false">
      <c r="A583" s="3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customFormat="false" ht="12.75" hidden="false" customHeight="true" outlineLevel="0" collapsed="false">
      <c r="A584" s="3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customFormat="false" ht="12.75" hidden="false" customHeight="true" outlineLevel="0" collapsed="false">
      <c r="A585" s="3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customFormat="false" ht="12.75" hidden="false" customHeight="true" outlineLevel="0" collapsed="false">
      <c r="A586" s="3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customFormat="false" ht="12.75" hidden="false" customHeight="true" outlineLevel="0" collapsed="false">
      <c r="A587" s="3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customFormat="false" ht="12.75" hidden="false" customHeight="true" outlineLevel="0" collapsed="false">
      <c r="A588" s="3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customFormat="false" ht="12.75" hidden="false" customHeight="true" outlineLevel="0" collapsed="false">
      <c r="A589" s="3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customFormat="false" ht="12.75" hidden="false" customHeight="true" outlineLevel="0" collapsed="false">
      <c r="A590" s="3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customFormat="false" ht="12.75" hidden="false" customHeight="true" outlineLevel="0" collapsed="false">
      <c r="A591" s="3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customFormat="false" ht="12.75" hidden="false" customHeight="true" outlineLevel="0" collapsed="false">
      <c r="A592" s="3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customFormat="false" ht="12.75" hidden="false" customHeight="true" outlineLevel="0" collapsed="false">
      <c r="A593" s="3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customFormat="false" ht="12.75" hidden="false" customHeight="true" outlineLevel="0" collapsed="false">
      <c r="A594" s="3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customFormat="false" ht="12.75" hidden="false" customHeight="true" outlineLevel="0" collapsed="false">
      <c r="A595" s="3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customFormat="false" ht="12.75" hidden="false" customHeight="true" outlineLevel="0" collapsed="false">
      <c r="A596" s="3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customFormat="false" ht="12.75" hidden="false" customHeight="true" outlineLevel="0" collapsed="false">
      <c r="A597" s="3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customFormat="false" ht="12.75" hidden="false" customHeight="true" outlineLevel="0" collapsed="false">
      <c r="A598" s="3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customFormat="false" ht="12.75" hidden="false" customHeight="true" outlineLevel="0" collapsed="false">
      <c r="A599" s="3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customFormat="false" ht="12.75" hidden="false" customHeight="true" outlineLevel="0" collapsed="false">
      <c r="A600" s="3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customFormat="false" ht="12.75" hidden="false" customHeight="true" outlineLevel="0" collapsed="false">
      <c r="A601" s="3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customFormat="false" ht="12.75" hidden="false" customHeight="true" outlineLevel="0" collapsed="false">
      <c r="A602" s="3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customFormat="false" ht="12.75" hidden="false" customHeight="true" outlineLevel="0" collapsed="false">
      <c r="A603" s="3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customFormat="false" ht="12.75" hidden="false" customHeight="true" outlineLevel="0" collapsed="false">
      <c r="A604" s="3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customFormat="false" ht="12.75" hidden="false" customHeight="true" outlineLevel="0" collapsed="false">
      <c r="A605" s="3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customFormat="false" ht="12.75" hidden="false" customHeight="true" outlineLevel="0" collapsed="false">
      <c r="A606" s="3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customFormat="false" ht="12.75" hidden="false" customHeight="true" outlineLevel="0" collapsed="false">
      <c r="A607" s="3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customFormat="false" ht="12.75" hidden="false" customHeight="true" outlineLevel="0" collapsed="false">
      <c r="A608" s="3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customFormat="false" ht="12.75" hidden="false" customHeight="true" outlineLevel="0" collapsed="false">
      <c r="A609" s="3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customFormat="false" ht="12.75" hidden="false" customHeight="true" outlineLevel="0" collapsed="false">
      <c r="A610" s="3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customFormat="false" ht="12.75" hidden="false" customHeight="true" outlineLevel="0" collapsed="false">
      <c r="A611" s="3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customFormat="false" ht="12.75" hidden="false" customHeight="true" outlineLevel="0" collapsed="false">
      <c r="A612" s="3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customFormat="false" ht="12.75" hidden="false" customHeight="true" outlineLevel="0" collapsed="false">
      <c r="A613" s="3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customFormat="false" ht="12.75" hidden="false" customHeight="true" outlineLevel="0" collapsed="false">
      <c r="A614" s="3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customFormat="false" ht="12.75" hidden="false" customHeight="true" outlineLevel="0" collapsed="false">
      <c r="A615" s="3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customFormat="false" ht="12.75" hidden="false" customHeight="true" outlineLevel="0" collapsed="false">
      <c r="A616" s="3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customFormat="false" ht="12.75" hidden="false" customHeight="true" outlineLevel="0" collapsed="false">
      <c r="A617" s="3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customFormat="false" ht="12.75" hidden="false" customHeight="true" outlineLevel="0" collapsed="false">
      <c r="A618" s="3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customFormat="false" ht="12.75" hidden="false" customHeight="true" outlineLevel="0" collapsed="false">
      <c r="A619" s="3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customFormat="false" ht="12.75" hidden="false" customHeight="true" outlineLevel="0" collapsed="false">
      <c r="A620" s="3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customFormat="false" ht="12.75" hidden="false" customHeight="true" outlineLevel="0" collapsed="false">
      <c r="A621" s="3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customFormat="false" ht="12.75" hidden="false" customHeight="true" outlineLevel="0" collapsed="false">
      <c r="A622" s="3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customFormat="false" ht="12.75" hidden="false" customHeight="true" outlineLevel="0" collapsed="false">
      <c r="A623" s="3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customFormat="false" ht="12.75" hidden="false" customHeight="true" outlineLevel="0" collapsed="false">
      <c r="A624" s="3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customFormat="false" ht="12.75" hidden="false" customHeight="true" outlineLevel="0" collapsed="false">
      <c r="A625" s="3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customFormat="false" ht="12.75" hidden="false" customHeight="true" outlineLevel="0" collapsed="false">
      <c r="A626" s="3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customFormat="false" ht="12.75" hidden="false" customHeight="true" outlineLevel="0" collapsed="false">
      <c r="A627" s="3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customFormat="false" ht="12.75" hidden="false" customHeight="true" outlineLevel="0" collapsed="false">
      <c r="A628" s="3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customFormat="false" ht="12.75" hidden="false" customHeight="true" outlineLevel="0" collapsed="false">
      <c r="A629" s="3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customFormat="false" ht="12.75" hidden="false" customHeight="true" outlineLevel="0" collapsed="false">
      <c r="A630" s="3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customFormat="false" ht="12.75" hidden="false" customHeight="true" outlineLevel="0" collapsed="false">
      <c r="A631" s="3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customFormat="false" ht="12.75" hidden="false" customHeight="true" outlineLevel="0" collapsed="false">
      <c r="A632" s="3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customFormat="false" ht="12.75" hidden="false" customHeight="true" outlineLevel="0" collapsed="false">
      <c r="A633" s="3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customFormat="false" ht="12.75" hidden="false" customHeight="true" outlineLevel="0" collapsed="false">
      <c r="A634" s="3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customFormat="false" ht="12.75" hidden="false" customHeight="true" outlineLevel="0" collapsed="false">
      <c r="A635" s="3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customFormat="false" ht="12.75" hidden="false" customHeight="true" outlineLevel="0" collapsed="false">
      <c r="A636" s="3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customFormat="false" ht="12.75" hidden="false" customHeight="true" outlineLevel="0" collapsed="false">
      <c r="A637" s="3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customFormat="false" ht="12.75" hidden="false" customHeight="true" outlineLevel="0" collapsed="false">
      <c r="A638" s="3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customFormat="false" ht="12.75" hidden="false" customHeight="true" outlineLevel="0" collapsed="false">
      <c r="A639" s="3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customFormat="false" ht="12.75" hidden="false" customHeight="true" outlineLevel="0" collapsed="false">
      <c r="A640" s="3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customFormat="false" ht="12.75" hidden="false" customHeight="true" outlineLevel="0" collapsed="false">
      <c r="A641" s="3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customFormat="false" ht="12.75" hidden="false" customHeight="true" outlineLevel="0" collapsed="false">
      <c r="A642" s="3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customFormat="false" ht="12.75" hidden="false" customHeight="true" outlineLevel="0" collapsed="false">
      <c r="A643" s="3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customFormat="false" ht="12.75" hidden="false" customHeight="true" outlineLevel="0" collapsed="false">
      <c r="A644" s="3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customFormat="false" ht="12.75" hidden="false" customHeight="true" outlineLevel="0" collapsed="false">
      <c r="A645" s="3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customFormat="false" ht="12.75" hidden="false" customHeight="true" outlineLevel="0" collapsed="false">
      <c r="A646" s="3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customFormat="false" ht="12.75" hidden="false" customHeight="true" outlineLevel="0" collapsed="false">
      <c r="A647" s="3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customFormat="false" ht="12.75" hidden="false" customHeight="true" outlineLevel="0" collapsed="false">
      <c r="A648" s="3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customFormat="false" ht="12.75" hidden="false" customHeight="true" outlineLevel="0" collapsed="false">
      <c r="A649" s="3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customFormat="false" ht="12.75" hidden="false" customHeight="true" outlineLevel="0" collapsed="false">
      <c r="A650" s="3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customFormat="false" ht="12.75" hidden="false" customHeight="true" outlineLevel="0" collapsed="false">
      <c r="A651" s="3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customFormat="false" ht="12.75" hidden="false" customHeight="true" outlineLevel="0" collapsed="false">
      <c r="A652" s="3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customFormat="false" ht="12.75" hidden="false" customHeight="true" outlineLevel="0" collapsed="false">
      <c r="A653" s="3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customFormat="false" ht="12.75" hidden="false" customHeight="true" outlineLevel="0" collapsed="false">
      <c r="A654" s="3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customFormat="false" ht="12.75" hidden="false" customHeight="true" outlineLevel="0" collapsed="false">
      <c r="A655" s="3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customFormat="false" ht="12.75" hidden="false" customHeight="true" outlineLevel="0" collapsed="false">
      <c r="A656" s="3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customFormat="false" ht="12.75" hidden="false" customHeight="true" outlineLevel="0" collapsed="false">
      <c r="A657" s="3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customFormat="false" ht="12.75" hidden="false" customHeight="true" outlineLevel="0" collapsed="false">
      <c r="A658" s="3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customFormat="false" ht="12.75" hidden="false" customHeight="true" outlineLevel="0" collapsed="false">
      <c r="A659" s="3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customFormat="false" ht="12.75" hidden="false" customHeight="true" outlineLevel="0" collapsed="false">
      <c r="A660" s="3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customFormat="false" ht="12.75" hidden="false" customHeight="true" outlineLevel="0" collapsed="false">
      <c r="A661" s="3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customFormat="false" ht="12.75" hidden="false" customHeight="true" outlineLevel="0" collapsed="false">
      <c r="A662" s="3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customFormat="false" ht="12.75" hidden="false" customHeight="true" outlineLevel="0" collapsed="false">
      <c r="A663" s="3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customFormat="false" ht="12.75" hidden="false" customHeight="true" outlineLevel="0" collapsed="false">
      <c r="A664" s="3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customFormat="false" ht="12.75" hidden="false" customHeight="true" outlineLevel="0" collapsed="false">
      <c r="A665" s="3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customFormat="false" ht="12.75" hidden="false" customHeight="true" outlineLevel="0" collapsed="false">
      <c r="A666" s="3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customFormat="false" ht="12.75" hidden="false" customHeight="true" outlineLevel="0" collapsed="false">
      <c r="A667" s="3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customFormat="false" ht="12.75" hidden="false" customHeight="true" outlineLevel="0" collapsed="false">
      <c r="A668" s="3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customFormat="false" ht="12.75" hidden="false" customHeight="true" outlineLevel="0" collapsed="false">
      <c r="A669" s="3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customFormat="false" ht="12.75" hidden="false" customHeight="true" outlineLevel="0" collapsed="false">
      <c r="A670" s="3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customFormat="false" ht="12.75" hidden="false" customHeight="true" outlineLevel="0" collapsed="false">
      <c r="A671" s="3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customFormat="false" ht="12.75" hidden="false" customHeight="true" outlineLevel="0" collapsed="false">
      <c r="A672" s="3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customFormat="false" ht="12.75" hidden="false" customHeight="true" outlineLevel="0" collapsed="false">
      <c r="A673" s="3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customFormat="false" ht="12.75" hidden="false" customHeight="true" outlineLevel="0" collapsed="false">
      <c r="A674" s="3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customFormat="false" ht="12.75" hidden="false" customHeight="true" outlineLevel="0" collapsed="false">
      <c r="A675" s="3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customFormat="false" ht="12.75" hidden="false" customHeight="true" outlineLevel="0" collapsed="false">
      <c r="A676" s="3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customFormat="false" ht="12.75" hidden="false" customHeight="true" outlineLevel="0" collapsed="false">
      <c r="A677" s="3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customFormat="false" ht="12.75" hidden="false" customHeight="true" outlineLevel="0" collapsed="false">
      <c r="A678" s="3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customFormat="false" ht="12.75" hidden="false" customHeight="true" outlineLevel="0" collapsed="false">
      <c r="A679" s="3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customFormat="false" ht="12.75" hidden="false" customHeight="true" outlineLevel="0" collapsed="false">
      <c r="A680" s="3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customFormat="false" ht="12.75" hidden="false" customHeight="true" outlineLevel="0" collapsed="false">
      <c r="A681" s="3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customFormat="false" ht="12.75" hidden="false" customHeight="true" outlineLevel="0" collapsed="false">
      <c r="A682" s="3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customFormat="false" ht="12.75" hidden="false" customHeight="true" outlineLevel="0" collapsed="false">
      <c r="A683" s="3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customFormat="false" ht="12.75" hidden="false" customHeight="true" outlineLevel="0" collapsed="false">
      <c r="A684" s="3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customFormat="false" ht="12.75" hidden="false" customHeight="true" outlineLevel="0" collapsed="false">
      <c r="A685" s="3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customFormat="false" ht="12.75" hidden="false" customHeight="true" outlineLevel="0" collapsed="false">
      <c r="A686" s="3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customFormat="false" ht="12.75" hidden="false" customHeight="true" outlineLevel="0" collapsed="false">
      <c r="A687" s="3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customFormat="false" ht="12.75" hidden="false" customHeight="true" outlineLevel="0" collapsed="false">
      <c r="A688" s="3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customFormat="false" ht="12.75" hidden="false" customHeight="true" outlineLevel="0" collapsed="false">
      <c r="A689" s="3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customFormat="false" ht="12.75" hidden="false" customHeight="true" outlineLevel="0" collapsed="false">
      <c r="A690" s="3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customFormat="false" ht="12.75" hidden="false" customHeight="true" outlineLevel="0" collapsed="false">
      <c r="A691" s="3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customFormat="false" ht="12.75" hidden="false" customHeight="true" outlineLevel="0" collapsed="false">
      <c r="A692" s="3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customFormat="false" ht="12.75" hidden="false" customHeight="true" outlineLevel="0" collapsed="false">
      <c r="A693" s="3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customFormat="false" ht="12.75" hidden="false" customHeight="true" outlineLevel="0" collapsed="false">
      <c r="A694" s="3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customFormat="false" ht="12.75" hidden="false" customHeight="true" outlineLevel="0" collapsed="false">
      <c r="A695" s="3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customFormat="false" ht="12.75" hidden="false" customHeight="true" outlineLevel="0" collapsed="false">
      <c r="A696" s="3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customFormat="false" ht="12.75" hidden="false" customHeight="true" outlineLevel="0" collapsed="false">
      <c r="A697" s="3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customFormat="false" ht="12.75" hidden="false" customHeight="true" outlineLevel="0" collapsed="false">
      <c r="A698" s="3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customFormat="false" ht="12.75" hidden="false" customHeight="true" outlineLevel="0" collapsed="false">
      <c r="A699" s="3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customFormat="false" ht="12.75" hidden="false" customHeight="true" outlineLevel="0" collapsed="false">
      <c r="A700" s="3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customFormat="false" ht="12.75" hidden="false" customHeight="true" outlineLevel="0" collapsed="false">
      <c r="A701" s="3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customFormat="false" ht="12.75" hidden="false" customHeight="true" outlineLevel="0" collapsed="false">
      <c r="A702" s="3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customFormat="false" ht="12.75" hidden="false" customHeight="true" outlineLevel="0" collapsed="false">
      <c r="A703" s="3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customFormat="false" ht="12.75" hidden="false" customHeight="true" outlineLevel="0" collapsed="false">
      <c r="A704" s="3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customFormat="false" ht="12.75" hidden="false" customHeight="true" outlineLevel="0" collapsed="false">
      <c r="A705" s="3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customFormat="false" ht="12.75" hidden="false" customHeight="true" outlineLevel="0" collapsed="false">
      <c r="A706" s="3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customFormat="false" ht="12.75" hidden="false" customHeight="true" outlineLevel="0" collapsed="false">
      <c r="A707" s="3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customFormat="false" ht="12.75" hidden="false" customHeight="true" outlineLevel="0" collapsed="false">
      <c r="A708" s="3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customFormat="false" ht="12.75" hidden="false" customHeight="true" outlineLevel="0" collapsed="false">
      <c r="A709" s="3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customFormat="false" ht="12.75" hidden="false" customHeight="true" outlineLevel="0" collapsed="false">
      <c r="A710" s="3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customFormat="false" ht="12.75" hidden="false" customHeight="true" outlineLevel="0" collapsed="false">
      <c r="A711" s="3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customFormat="false" ht="12.75" hidden="false" customHeight="true" outlineLevel="0" collapsed="false">
      <c r="A712" s="3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customFormat="false" ht="12.75" hidden="false" customHeight="true" outlineLevel="0" collapsed="false">
      <c r="A713" s="3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customFormat="false" ht="12.75" hidden="false" customHeight="true" outlineLevel="0" collapsed="false">
      <c r="A714" s="3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customFormat="false" ht="12.75" hidden="false" customHeight="true" outlineLevel="0" collapsed="false">
      <c r="A715" s="3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customFormat="false" ht="12.75" hidden="false" customHeight="true" outlineLevel="0" collapsed="false">
      <c r="A716" s="3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customFormat="false" ht="12.75" hidden="false" customHeight="true" outlineLevel="0" collapsed="false">
      <c r="A717" s="3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customFormat="false" ht="12.75" hidden="false" customHeight="true" outlineLevel="0" collapsed="false">
      <c r="A718" s="3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customFormat="false" ht="12.75" hidden="false" customHeight="true" outlineLevel="0" collapsed="false">
      <c r="A719" s="3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customFormat="false" ht="12.75" hidden="false" customHeight="true" outlineLevel="0" collapsed="false">
      <c r="A720" s="3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customFormat="false" ht="12.75" hidden="false" customHeight="true" outlineLevel="0" collapsed="false">
      <c r="A721" s="3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customFormat="false" ht="12.75" hidden="false" customHeight="true" outlineLevel="0" collapsed="false">
      <c r="A722" s="3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customFormat="false" ht="12.75" hidden="false" customHeight="true" outlineLevel="0" collapsed="false">
      <c r="A723" s="3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customFormat="false" ht="12.75" hidden="false" customHeight="true" outlineLevel="0" collapsed="false">
      <c r="A724" s="3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customFormat="false" ht="12.75" hidden="false" customHeight="true" outlineLevel="0" collapsed="false">
      <c r="A725" s="3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customFormat="false" ht="12.75" hidden="false" customHeight="true" outlineLevel="0" collapsed="false">
      <c r="A726" s="3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customFormat="false" ht="12.75" hidden="false" customHeight="true" outlineLevel="0" collapsed="false">
      <c r="A727" s="3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customFormat="false" ht="12.75" hidden="false" customHeight="true" outlineLevel="0" collapsed="false">
      <c r="A728" s="3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customFormat="false" ht="12.75" hidden="false" customHeight="true" outlineLevel="0" collapsed="false">
      <c r="A729" s="3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customFormat="false" ht="12.75" hidden="false" customHeight="true" outlineLevel="0" collapsed="false">
      <c r="A730" s="3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customFormat="false" ht="12.75" hidden="false" customHeight="true" outlineLevel="0" collapsed="false">
      <c r="A731" s="3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customFormat="false" ht="12.75" hidden="false" customHeight="true" outlineLevel="0" collapsed="false">
      <c r="A732" s="3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customFormat="false" ht="12.75" hidden="false" customHeight="true" outlineLevel="0" collapsed="false">
      <c r="A733" s="3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customFormat="false" ht="12.75" hidden="false" customHeight="true" outlineLevel="0" collapsed="false">
      <c r="A734" s="3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customFormat="false" ht="12.75" hidden="false" customHeight="true" outlineLevel="0" collapsed="false">
      <c r="A735" s="3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customFormat="false" ht="12.75" hidden="false" customHeight="true" outlineLevel="0" collapsed="false">
      <c r="A736" s="3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customFormat="false" ht="12.75" hidden="false" customHeight="true" outlineLevel="0" collapsed="false">
      <c r="A737" s="3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customFormat="false" ht="12.75" hidden="false" customHeight="true" outlineLevel="0" collapsed="false">
      <c r="A738" s="3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customFormat="false" ht="12.75" hidden="false" customHeight="true" outlineLevel="0" collapsed="false">
      <c r="A739" s="3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customFormat="false" ht="12.75" hidden="false" customHeight="true" outlineLevel="0" collapsed="false">
      <c r="A740" s="3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customFormat="false" ht="12.75" hidden="false" customHeight="true" outlineLevel="0" collapsed="false">
      <c r="A741" s="3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customFormat="false" ht="12.75" hidden="false" customHeight="true" outlineLevel="0" collapsed="false">
      <c r="A742" s="3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customFormat="false" ht="12.75" hidden="false" customHeight="true" outlineLevel="0" collapsed="false">
      <c r="A743" s="3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customFormat="false" ht="12.75" hidden="false" customHeight="true" outlineLevel="0" collapsed="false">
      <c r="A744" s="3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customFormat="false" ht="12.75" hidden="false" customHeight="true" outlineLevel="0" collapsed="false">
      <c r="A745" s="3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customFormat="false" ht="12.75" hidden="false" customHeight="true" outlineLevel="0" collapsed="false">
      <c r="A746" s="3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customFormat="false" ht="12.75" hidden="false" customHeight="true" outlineLevel="0" collapsed="false">
      <c r="A747" s="3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customFormat="false" ht="12.75" hidden="false" customHeight="true" outlineLevel="0" collapsed="false">
      <c r="A748" s="3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customFormat="false" ht="12.75" hidden="false" customHeight="true" outlineLevel="0" collapsed="false">
      <c r="A749" s="3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customFormat="false" ht="12.75" hidden="false" customHeight="true" outlineLevel="0" collapsed="false">
      <c r="A750" s="3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customFormat="false" ht="12.75" hidden="false" customHeight="true" outlineLevel="0" collapsed="false">
      <c r="A751" s="3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customFormat="false" ht="12.75" hidden="false" customHeight="true" outlineLevel="0" collapsed="false">
      <c r="A752" s="3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customFormat="false" ht="12.75" hidden="false" customHeight="true" outlineLevel="0" collapsed="false">
      <c r="A753" s="3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customFormat="false" ht="12.75" hidden="false" customHeight="true" outlineLevel="0" collapsed="false">
      <c r="A754" s="3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customFormat="false" ht="12.75" hidden="false" customHeight="true" outlineLevel="0" collapsed="false">
      <c r="A755" s="3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customFormat="false" ht="12.75" hidden="false" customHeight="true" outlineLevel="0" collapsed="false">
      <c r="A756" s="3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customFormat="false" ht="12.75" hidden="false" customHeight="true" outlineLevel="0" collapsed="false">
      <c r="A757" s="3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customFormat="false" ht="12.75" hidden="false" customHeight="true" outlineLevel="0" collapsed="false">
      <c r="A758" s="3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customFormat="false" ht="12.75" hidden="false" customHeight="true" outlineLevel="0" collapsed="false">
      <c r="A759" s="3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customFormat="false" ht="12.75" hidden="false" customHeight="true" outlineLevel="0" collapsed="false">
      <c r="A760" s="3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customFormat="false" ht="12.75" hidden="false" customHeight="true" outlineLevel="0" collapsed="false">
      <c r="A761" s="3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customFormat="false" ht="12.75" hidden="false" customHeight="true" outlineLevel="0" collapsed="false">
      <c r="A762" s="3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customFormat="false" ht="12.75" hidden="false" customHeight="true" outlineLevel="0" collapsed="false">
      <c r="A763" s="3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customFormat="false" ht="12.75" hidden="false" customHeight="true" outlineLevel="0" collapsed="false">
      <c r="A764" s="3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customFormat="false" ht="12.75" hidden="false" customHeight="true" outlineLevel="0" collapsed="false">
      <c r="A765" s="3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customFormat="false" ht="12.75" hidden="false" customHeight="true" outlineLevel="0" collapsed="false">
      <c r="A766" s="3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customFormat="false" ht="12.75" hidden="false" customHeight="true" outlineLevel="0" collapsed="false">
      <c r="A767" s="3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customFormat="false" ht="12.75" hidden="false" customHeight="true" outlineLevel="0" collapsed="false">
      <c r="A768" s="3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customFormat="false" ht="12.75" hidden="false" customHeight="true" outlineLevel="0" collapsed="false">
      <c r="A769" s="3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customFormat="false" ht="12.75" hidden="false" customHeight="true" outlineLevel="0" collapsed="false">
      <c r="A770" s="3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customFormat="false" ht="12.75" hidden="false" customHeight="true" outlineLevel="0" collapsed="false">
      <c r="A771" s="3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customFormat="false" ht="12.75" hidden="false" customHeight="true" outlineLevel="0" collapsed="false">
      <c r="A772" s="3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customFormat="false" ht="12.75" hidden="false" customHeight="true" outlineLevel="0" collapsed="false">
      <c r="A773" s="3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customFormat="false" ht="12.75" hidden="false" customHeight="true" outlineLevel="0" collapsed="false">
      <c r="A774" s="3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customFormat="false" ht="12.75" hidden="false" customHeight="true" outlineLevel="0" collapsed="false">
      <c r="A775" s="3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customFormat="false" ht="12.75" hidden="false" customHeight="true" outlineLevel="0" collapsed="false">
      <c r="A776" s="3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customFormat="false" ht="12.75" hidden="false" customHeight="true" outlineLevel="0" collapsed="false">
      <c r="A777" s="3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customFormat="false" ht="12.75" hidden="false" customHeight="true" outlineLevel="0" collapsed="false">
      <c r="A778" s="3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customFormat="false" ht="12.75" hidden="false" customHeight="true" outlineLevel="0" collapsed="false">
      <c r="A779" s="3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customFormat="false" ht="12.75" hidden="false" customHeight="true" outlineLevel="0" collapsed="false">
      <c r="A780" s="3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customFormat="false" ht="12.75" hidden="false" customHeight="true" outlineLevel="0" collapsed="false">
      <c r="A781" s="3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customFormat="false" ht="12.75" hidden="false" customHeight="true" outlineLevel="0" collapsed="false">
      <c r="A782" s="3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customFormat="false" ht="12.75" hidden="false" customHeight="true" outlineLevel="0" collapsed="false">
      <c r="A783" s="3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customFormat="false" ht="12.75" hidden="false" customHeight="true" outlineLevel="0" collapsed="false">
      <c r="A784" s="3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customFormat="false" ht="12.75" hidden="false" customHeight="true" outlineLevel="0" collapsed="false">
      <c r="A785" s="3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customFormat="false" ht="12.75" hidden="false" customHeight="true" outlineLevel="0" collapsed="false">
      <c r="A786" s="3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customFormat="false" ht="12.75" hidden="false" customHeight="true" outlineLevel="0" collapsed="false">
      <c r="A787" s="3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customFormat="false" ht="12.75" hidden="false" customHeight="true" outlineLevel="0" collapsed="false">
      <c r="A788" s="3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customFormat="false" ht="12.75" hidden="false" customHeight="true" outlineLevel="0" collapsed="false">
      <c r="A789" s="3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customFormat="false" ht="12.75" hidden="false" customHeight="true" outlineLevel="0" collapsed="false">
      <c r="A790" s="3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customFormat="false" ht="12.75" hidden="false" customHeight="true" outlineLevel="0" collapsed="false">
      <c r="A791" s="3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customFormat="false" ht="12.75" hidden="false" customHeight="true" outlineLevel="0" collapsed="false">
      <c r="A792" s="3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customFormat="false" ht="12.75" hidden="false" customHeight="true" outlineLevel="0" collapsed="false">
      <c r="A793" s="3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customFormat="false" ht="12.75" hidden="false" customHeight="true" outlineLevel="0" collapsed="false">
      <c r="A794" s="3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customFormat="false" ht="12.75" hidden="false" customHeight="true" outlineLevel="0" collapsed="false">
      <c r="A795" s="3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customFormat="false" ht="12.75" hidden="false" customHeight="true" outlineLevel="0" collapsed="false">
      <c r="A796" s="3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customFormat="false" ht="12.75" hidden="false" customHeight="true" outlineLevel="0" collapsed="false">
      <c r="A797" s="3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customFormat="false" ht="12.75" hidden="false" customHeight="true" outlineLevel="0" collapsed="false">
      <c r="A798" s="3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customFormat="false" ht="12.75" hidden="false" customHeight="true" outlineLevel="0" collapsed="false">
      <c r="A799" s="3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customFormat="false" ht="12.75" hidden="false" customHeight="true" outlineLevel="0" collapsed="false">
      <c r="A800" s="3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customFormat="false" ht="12.75" hidden="false" customHeight="true" outlineLevel="0" collapsed="false">
      <c r="A801" s="3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customFormat="false" ht="12.75" hidden="false" customHeight="true" outlineLevel="0" collapsed="false">
      <c r="A802" s="3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customFormat="false" ht="12.75" hidden="false" customHeight="true" outlineLevel="0" collapsed="false">
      <c r="A803" s="3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customFormat="false" ht="12.75" hidden="false" customHeight="true" outlineLevel="0" collapsed="false">
      <c r="A804" s="3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customFormat="false" ht="12.75" hidden="false" customHeight="true" outlineLevel="0" collapsed="false">
      <c r="A805" s="3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customFormat="false" ht="12.75" hidden="false" customHeight="true" outlineLevel="0" collapsed="false">
      <c r="A806" s="3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customFormat="false" ht="12.75" hidden="false" customHeight="true" outlineLevel="0" collapsed="false">
      <c r="A807" s="3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customFormat="false" ht="12.75" hidden="false" customHeight="true" outlineLevel="0" collapsed="false">
      <c r="A808" s="3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customFormat="false" ht="12.75" hidden="false" customHeight="true" outlineLevel="0" collapsed="false">
      <c r="A809" s="3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customFormat="false" ht="12.75" hidden="false" customHeight="true" outlineLevel="0" collapsed="false">
      <c r="A810" s="3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customFormat="false" ht="12.75" hidden="false" customHeight="true" outlineLevel="0" collapsed="false">
      <c r="A811" s="3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customFormat="false" ht="12.75" hidden="false" customHeight="true" outlineLevel="0" collapsed="false">
      <c r="A812" s="3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customFormat="false" ht="12.75" hidden="false" customHeight="true" outlineLevel="0" collapsed="false">
      <c r="A813" s="3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customFormat="false" ht="12.75" hidden="false" customHeight="true" outlineLevel="0" collapsed="false">
      <c r="A814" s="3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customFormat="false" ht="12.75" hidden="false" customHeight="true" outlineLevel="0" collapsed="false">
      <c r="A815" s="3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customFormat="false" ht="12.75" hidden="false" customHeight="true" outlineLevel="0" collapsed="false">
      <c r="A816" s="3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customFormat="false" ht="12.75" hidden="false" customHeight="true" outlineLevel="0" collapsed="false">
      <c r="A817" s="3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customFormat="false" ht="12.75" hidden="false" customHeight="true" outlineLevel="0" collapsed="false">
      <c r="A818" s="3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customFormat="false" ht="12.75" hidden="false" customHeight="true" outlineLevel="0" collapsed="false">
      <c r="A819" s="3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customFormat="false" ht="12.75" hidden="false" customHeight="true" outlineLevel="0" collapsed="false">
      <c r="A820" s="3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customFormat="false" ht="12.75" hidden="false" customHeight="true" outlineLevel="0" collapsed="false">
      <c r="A821" s="3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customFormat="false" ht="12.75" hidden="false" customHeight="true" outlineLevel="0" collapsed="false">
      <c r="A822" s="3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customFormat="false" ht="12.75" hidden="false" customHeight="true" outlineLevel="0" collapsed="false">
      <c r="A823" s="3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customFormat="false" ht="12.75" hidden="false" customHeight="true" outlineLevel="0" collapsed="false">
      <c r="A824" s="3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customFormat="false" ht="12.75" hidden="false" customHeight="true" outlineLevel="0" collapsed="false">
      <c r="A825" s="3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customFormat="false" ht="12.75" hidden="false" customHeight="true" outlineLevel="0" collapsed="false">
      <c r="A826" s="3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customFormat="false" ht="12.75" hidden="false" customHeight="true" outlineLevel="0" collapsed="false">
      <c r="A827" s="3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customFormat="false" ht="12.75" hidden="false" customHeight="true" outlineLevel="0" collapsed="false">
      <c r="A828" s="3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customFormat="false" ht="12.75" hidden="false" customHeight="true" outlineLevel="0" collapsed="false">
      <c r="A829" s="3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customFormat="false" ht="12.75" hidden="false" customHeight="true" outlineLevel="0" collapsed="false">
      <c r="A830" s="3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customFormat="false" ht="12.75" hidden="false" customHeight="true" outlineLevel="0" collapsed="false">
      <c r="A831" s="3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customFormat="false" ht="12.75" hidden="false" customHeight="true" outlineLevel="0" collapsed="false">
      <c r="A832" s="3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customFormat="false" ht="12.75" hidden="false" customHeight="true" outlineLevel="0" collapsed="false">
      <c r="A833" s="3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customFormat="false" ht="12.75" hidden="false" customHeight="true" outlineLevel="0" collapsed="false">
      <c r="A834" s="3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customFormat="false" ht="12.75" hidden="false" customHeight="true" outlineLevel="0" collapsed="false">
      <c r="A835" s="3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customFormat="false" ht="12.75" hidden="false" customHeight="true" outlineLevel="0" collapsed="false">
      <c r="A836" s="3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customFormat="false" ht="12.75" hidden="false" customHeight="true" outlineLevel="0" collapsed="false">
      <c r="A837" s="3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customFormat="false" ht="12.75" hidden="false" customHeight="true" outlineLevel="0" collapsed="false">
      <c r="A838" s="3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customFormat="false" ht="12.75" hidden="false" customHeight="true" outlineLevel="0" collapsed="false">
      <c r="A839" s="3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customFormat="false" ht="12.75" hidden="false" customHeight="true" outlineLevel="0" collapsed="false">
      <c r="A840" s="3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customFormat="false" ht="12.75" hidden="false" customHeight="true" outlineLevel="0" collapsed="false">
      <c r="A841" s="3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customFormat="false" ht="12.75" hidden="false" customHeight="true" outlineLevel="0" collapsed="false">
      <c r="A842" s="3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customFormat="false" ht="12.75" hidden="false" customHeight="true" outlineLevel="0" collapsed="false">
      <c r="A843" s="3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customFormat="false" ht="12.75" hidden="false" customHeight="true" outlineLevel="0" collapsed="false">
      <c r="A844" s="3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customFormat="false" ht="12.75" hidden="false" customHeight="true" outlineLevel="0" collapsed="false">
      <c r="A845" s="3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customFormat="false" ht="12.75" hidden="false" customHeight="true" outlineLevel="0" collapsed="false">
      <c r="A846" s="3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customFormat="false" ht="12.75" hidden="false" customHeight="true" outlineLevel="0" collapsed="false">
      <c r="A847" s="3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customFormat="false" ht="12.75" hidden="false" customHeight="true" outlineLevel="0" collapsed="false">
      <c r="A848" s="3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customFormat="false" ht="12.75" hidden="false" customHeight="true" outlineLevel="0" collapsed="false">
      <c r="A849" s="3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customFormat="false" ht="12.75" hidden="false" customHeight="true" outlineLevel="0" collapsed="false">
      <c r="A850" s="3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customFormat="false" ht="12.75" hidden="false" customHeight="true" outlineLevel="0" collapsed="false">
      <c r="A851" s="3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customFormat="false" ht="12.75" hidden="false" customHeight="true" outlineLevel="0" collapsed="false">
      <c r="A852" s="3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customFormat="false" ht="12.75" hidden="false" customHeight="true" outlineLevel="0" collapsed="false">
      <c r="A853" s="3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customFormat="false" ht="12.75" hidden="false" customHeight="true" outlineLevel="0" collapsed="false">
      <c r="A854" s="3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customFormat="false" ht="12.75" hidden="false" customHeight="true" outlineLevel="0" collapsed="false">
      <c r="A855" s="3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customFormat="false" ht="12.75" hidden="false" customHeight="true" outlineLevel="0" collapsed="false">
      <c r="A856" s="3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customFormat="false" ht="12.75" hidden="false" customHeight="true" outlineLevel="0" collapsed="false">
      <c r="A857" s="3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customFormat="false" ht="12.75" hidden="false" customHeight="true" outlineLevel="0" collapsed="false">
      <c r="A858" s="3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customFormat="false" ht="12.75" hidden="false" customHeight="true" outlineLevel="0" collapsed="false">
      <c r="A859" s="3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customFormat="false" ht="12.75" hidden="false" customHeight="true" outlineLevel="0" collapsed="false">
      <c r="A860" s="3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customFormat="false" ht="12.75" hidden="false" customHeight="true" outlineLevel="0" collapsed="false">
      <c r="A861" s="3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customFormat="false" ht="12.75" hidden="false" customHeight="true" outlineLevel="0" collapsed="false">
      <c r="A862" s="3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customFormat="false" ht="12.75" hidden="false" customHeight="true" outlineLevel="0" collapsed="false">
      <c r="A863" s="3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customFormat="false" ht="12.75" hidden="false" customHeight="true" outlineLevel="0" collapsed="false">
      <c r="A864" s="3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customFormat="false" ht="12.75" hidden="false" customHeight="true" outlineLevel="0" collapsed="false">
      <c r="A865" s="3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customFormat="false" ht="12.75" hidden="false" customHeight="true" outlineLevel="0" collapsed="false">
      <c r="A866" s="3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customFormat="false" ht="12.75" hidden="false" customHeight="true" outlineLevel="0" collapsed="false">
      <c r="A867" s="3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customFormat="false" ht="12.75" hidden="false" customHeight="true" outlineLevel="0" collapsed="false">
      <c r="A868" s="3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customFormat="false" ht="12.75" hidden="false" customHeight="true" outlineLevel="0" collapsed="false">
      <c r="A869" s="3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customFormat="false" ht="12.75" hidden="false" customHeight="true" outlineLevel="0" collapsed="false">
      <c r="A870" s="3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customFormat="false" ht="12.75" hidden="false" customHeight="true" outlineLevel="0" collapsed="false">
      <c r="A871" s="3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customFormat="false" ht="12.75" hidden="false" customHeight="true" outlineLevel="0" collapsed="false">
      <c r="A872" s="3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customFormat="false" ht="12.75" hidden="false" customHeight="true" outlineLevel="0" collapsed="false">
      <c r="A873" s="3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customFormat="false" ht="12.75" hidden="false" customHeight="true" outlineLevel="0" collapsed="false">
      <c r="A874" s="3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customFormat="false" ht="12.75" hidden="false" customHeight="true" outlineLevel="0" collapsed="false">
      <c r="A875" s="3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customFormat="false" ht="12.75" hidden="false" customHeight="true" outlineLevel="0" collapsed="false">
      <c r="A876" s="3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customFormat="false" ht="12.75" hidden="false" customHeight="true" outlineLevel="0" collapsed="false">
      <c r="A877" s="3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customFormat="false" ht="12.75" hidden="false" customHeight="true" outlineLevel="0" collapsed="false">
      <c r="A878" s="3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customFormat="false" ht="12.75" hidden="false" customHeight="true" outlineLevel="0" collapsed="false">
      <c r="A879" s="3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customFormat="false" ht="12.75" hidden="false" customHeight="true" outlineLevel="0" collapsed="false">
      <c r="A880" s="3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customFormat="false" ht="12.75" hidden="false" customHeight="true" outlineLevel="0" collapsed="false">
      <c r="A881" s="3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customFormat="false" ht="12.75" hidden="false" customHeight="true" outlineLevel="0" collapsed="false">
      <c r="A882" s="3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customFormat="false" ht="12.75" hidden="false" customHeight="true" outlineLevel="0" collapsed="false">
      <c r="A883" s="3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customFormat="false" ht="12.75" hidden="false" customHeight="true" outlineLevel="0" collapsed="false">
      <c r="A884" s="3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customFormat="false" ht="12.75" hidden="false" customHeight="true" outlineLevel="0" collapsed="false">
      <c r="A885" s="3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customFormat="false" ht="12.75" hidden="false" customHeight="true" outlineLevel="0" collapsed="false">
      <c r="A886" s="3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customFormat="false" ht="12.75" hidden="false" customHeight="true" outlineLevel="0" collapsed="false">
      <c r="A887" s="3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customFormat="false" ht="12.75" hidden="false" customHeight="true" outlineLevel="0" collapsed="false">
      <c r="A888" s="3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customFormat="false" ht="12.75" hidden="false" customHeight="true" outlineLevel="0" collapsed="false">
      <c r="A889" s="3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customFormat="false" ht="12.75" hidden="false" customHeight="true" outlineLevel="0" collapsed="false">
      <c r="A890" s="3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customFormat="false" ht="12.75" hidden="false" customHeight="true" outlineLevel="0" collapsed="false">
      <c r="A891" s="3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customFormat="false" ht="12.75" hidden="false" customHeight="true" outlineLevel="0" collapsed="false">
      <c r="A892" s="3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customFormat="false" ht="12.75" hidden="false" customHeight="true" outlineLevel="0" collapsed="false">
      <c r="A893" s="3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customFormat="false" ht="12.75" hidden="false" customHeight="true" outlineLevel="0" collapsed="false">
      <c r="A894" s="3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customFormat="false" ht="12.75" hidden="false" customHeight="true" outlineLevel="0" collapsed="false">
      <c r="A895" s="3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customFormat="false" ht="12.75" hidden="false" customHeight="true" outlineLevel="0" collapsed="false">
      <c r="A896" s="3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customFormat="false" ht="12.75" hidden="false" customHeight="true" outlineLevel="0" collapsed="false">
      <c r="A897" s="3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customFormat="false" ht="12.75" hidden="false" customHeight="true" outlineLevel="0" collapsed="false">
      <c r="A898" s="3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customFormat="false" ht="12.75" hidden="false" customHeight="true" outlineLevel="0" collapsed="false">
      <c r="A899" s="3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customFormat="false" ht="12.75" hidden="false" customHeight="true" outlineLevel="0" collapsed="false">
      <c r="A900" s="3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customFormat="false" ht="12.75" hidden="false" customHeight="true" outlineLevel="0" collapsed="false">
      <c r="A901" s="3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customFormat="false" ht="12.75" hidden="false" customHeight="true" outlineLevel="0" collapsed="false">
      <c r="A902" s="3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customFormat="false" ht="12.75" hidden="false" customHeight="true" outlineLevel="0" collapsed="false">
      <c r="A903" s="3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customFormat="false" ht="12.75" hidden="false" customHeight="true" outlineLevel="0" collapsed="false">
      <c r="A904" s="3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customFormat="false" ht="12.75" hidden="false" customHeight="true" outlineLevel="0" collapsed="false">
      <c r="A905" s="3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customFormat="false" ht="12.75" hidden="false" customHeight="true" outlineLevel="0" collapsed="false">
      <c r="A906" s="3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customFormat="false" ht="12.75" hidden="false" customHeight="true" outlineLevel="0" collapsed="false">
      <c r="A907" s="3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customFormat="false" ht="12.75" hidden="false" customHeight="true" outlineLevel="0" collapsed="false">
      <c r="A908" s="3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customFormat="false" ht="12.75" hidden="false" customHeight="true" outlineLevel="0" collapsed="false">
      <c r="A909" s="3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customFormat="false" ht="12.75" hidden="false" customHeight="true" outlineLevel="0" collapsed="false">
      <c r="A910" s="3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customFormat="false" ht="12.75" hidden="false" customHeight="true" outlineLevel="0" collapsed="false">
      <c r="A911" s="3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customFormat="false" ht="12.75" hidden="false" customHeight="true" outlineLevel="0" collapsed="false">
      <c r="A912" s="3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customFormat="false" ht="12.75" hidden="false" customHeight="true" outlineLevel="0" collapsed="false">
      <c r="A913" s="3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customFormat="false" ht="12.75" hidden="false" customHeight="true" outlineLevel="0" collapsed="false">
      <c r="A914" s="3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customFormat="false" ht="12.75" hidden="false" customHeight="true" outlineLevel="0" collapsed="false">
      <c r="A915" s="3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customFormat="false" ht="12.75" hidden="false" customHeight="true" outlineLevel="0" collapsed="false">
      <c r="A916" s="3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customFormat="false" ht="12.75" hidden="false" customHeight="true" outlineLevel="0" collapsed="false">
      <c r="A917" s="3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customFormat="false" ht="12.75" hidden="false" customHeight="true" outlineLevel="0" collapsed="false">
      <c r="A918" s="3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customFormat="false" ht="12.75" hidden="false" customHeight="true" outlineLevel="0" collapsed="false">
      <c r="A919" s="3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customFormat="false" ht="12.75" hidden="false" customHeight="true" outlineLevel="0" collapsed="false">
      <c r="A920" s="3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customFormat="false" ht="12.75" hidden="false" customHeight="true" outlineLevel="0" collapsed="false">
      <c r="A921" s="3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customFormat="false" ht="12.75" hidden="false" customHeight="true" outlineLevel="0" collapsed="false">
      <c r="A922" s="3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customFormat="false" ht="12.75" hidden="false" customHeight="true" outlineLevel="0" collapsed="false">
      <c r="A923" s="3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customFormat="false" ht="12.75" hidden="false" customHeight="true" outlineLevel="0" collapsed="false">
      <c r="A924" s="3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customFormat="false" ht="12.75" hidden="false" customHeight="true" outlineLevel="0" collapsed="false">
      <c r="A925" s="3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customFormat="false" ht="12.75" hidden="false" customHeight="true" outlineLevel="0" collapsed="false">
      <c r="A926" s="3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customFormat="false" ht="12.75" hidden="false" customHeight="true" outlineLevel="0" collapsed="false">
      <c r="A927" s="3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customFormat="false" ht="12.75" hidden="false" customHeight="true" outlineLevel="0" collapsed="false">
      <c r="A928" s="3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customFormat="false" ht="12.75" hidden="false" customHeight="true" outlineLevel="0" collapsed="false">
      <c r="A929" s="3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customFormat="false" ht="12.75" hidden="false" customHeight="true" outlineLevel="0" collapsed="false">
      <c r="A930" s="3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customFormat="false" ht="12.75" hidden="false" customHeight="true" outlineLevel="0" collapsed="false">
      <c r="A931" s="3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customFormat="false" ht="12.75" hidden="false" customHeight="true" outlineLevel="0" collapsed="false">
      <c r="A932" s="3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customFormat="false" ht="12.75" hidden="false" customHeight="true" outlineLevel="0" collapsed="false">
      <c r="A933" s="3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customFormat="false" ht="12.75" hidden="false" customHeight="true" outlineLevel="0" collapsed="false">
      <c r="A934" s="3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customFormat="false" ht="12.75" hidden="false" customHeight="true" outlineLevel="0" collapsed="false">
      <c r="A935" s="3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customFormat="false" ht="12.75" hidden="false" customHeight="true" outlineLevel="0" collapsed="false">
      <c r="A936" s="3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customFormat="false" ht="12.75" hidden="false" customHeight="true" outlineLevel="0" collapsed="false">
      <c r="A937" s="3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customFormat="false" ht="12.75" hidden="false" customHeight="true" outlineLevel="0" collapsed="false">
      <c r="A938" s="3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customFormat="false" ht="12.75" hidden="false" customHeight="true" outlineLevel="0" collapsed="false">
      <c r="A939" s="3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customFormat="false" ht="12.75" hidden="false" customHeight="true" outlineLevel="0" collapsed="false">
      <c r="A940" s="3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customFormat="false" ht="12.75" hidden="false" customHeight="true" outlineLevel="0" collapsed="false">
      <c r="A941" s="3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customFormat="false" ht="12.75" hidden="false" customHeight="true" outlineLevel="0" collapsed="false">
      <c r="A942" s="3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customFormat="false" ht="12.75" hidden="false" customHeight="true" outlineLevel="0" collapsed="false">
      <c r="A943" s="3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customFormat="false" ht="12.75" hidden="false" customHeight="true" outlineLevel="0" collapsed="false">
      <c r="A944" s="3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customFormat="false" ht="12.75" hidden="false" customHeight="true" outlineLevel="0" collapsed="false">
      <c r="A945" s="3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customFormat="false" ht="12.75" hidden="false" customHeight="true" outlineLevel="0" collapsed="false">
      <c r="A946" s="3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customFormat="false" ht="12.75" hidden="false" customHeight="true" outlineLevel="0" collapsed="false">
      <c r="A947" s="3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customFormat="false" ht="12.75" hidden="false" customHeight="true" outlineLevel="0" collapsed="false">
      <c r="A948" s="3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customFormat="false" ht="12.75" hidden="false" customHeight="true" outlineLevel="0" collapsed="false">
      <c r="A949" s="3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customFormat="false" ht="12.75" hidden="false" customHeight="true" outlineLevel="0" collapsed="false">
      <c r="A950" s="3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customFormat="false" ht="12.75" hidden="false" customHeight="true" outlineLevel="0" collapsed="false">
      <c r="A951" s="3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customFormat="false" ht="12.75" hidden="false" customHeight="true" outlineLevel="0" collapsed="false">
      <c r="A952" s="3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customFormat="false" ht="12.75" hidden="false" customHeight="true" outlineLevel="0" collapsed="false">
      <c r="A953" s="3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customFormat="false" ht="12.75" hidden="false" customHeight="true" outlineLevel="0" collapsed="false">
      <c r="A954" s="3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customFormat="false" ht="12.75" hidden="false" customHeight="true" outlineLevel="0" collapsed="false">
      <c r="A955" s="3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customFormat="false" ht="12.75" hidden="false" customHeight="true" outlineLevel="0" collapsed="false">
      <c r="A956" s="3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customFormat="false" ht="12.75" hidden="false" customHeight="true" outlineLevel="0" collapsed="false">
      <c r="A957" s="3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customFormat="false" ht="12.75" hidden="false" customHeight="true" outlineLevel="0" collapsed="false">
      <c r="A958" s="3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customFormat="false" ht="12.75" hidden="false" customHeight="true" outlineLevel="0" collapsed="false">
      <c r="A959" s="3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customFormat="false" ht="12.75" hidden="false" customHeight="true" outlineLevel="0" collapsed="false">
      <c r="A960" s="3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customFormat="false" ht="12.75" hidden="false" customHeight="true" outlineLevel="0" collapsed="false">
      <c r="A961" s="3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customFormat="false" ht="12.75" hidden="false" customHeight="true" outlineLevel="0" collapsed="false">
      <c r="A962" s="3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customFormat="false" ht="12.75" hidden="false" customHeight="true" outlineLevel="0" collapsed="false">
      <c r="A963" s="3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customFormat="false" ht="12.75" hidden="false" customHeight="true" outlineLevel="0" collapsed="false">
      <c r="A964" s="3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customFormat="false" ht="12.75" hidden="false" customHeight="true" outlineLevel="0" collapsed="false">
      <c r="A965" s="3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customFormat="false" ht="12.75" hidden="false" customHeight="true" outlineLevel="0" collapsed="false">
      <c r="A966" s="3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customFormat="false" ht="12.75" hidden="false" customHeight="true" outlineLevel="0" collapsed="false">
      <c r="A967" s="3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customFormat="false" ht="12.75" hidden="false" customHeight="true" outlineLevel="0" collapsed="false">
      <c r="A968" s="3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customFormat="false" ht="12.75" hidden="false" customHeight="true" outlineLevel="0" collapsed="false">
      <c r="A969" s="3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customFormat="false" ht="12.75" hidden="false" customHeight="true" outlineLevel="0" collapsed="false">
      <c r="A970" s="3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customFormat="false" ht="12.75" hidden="false" customHeight="true" outlineLevel="0" collapsed="false">
      <c r="A971" s="3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customFormat="false" ht="12.75" hidden="false" customHeight="true" outlineLevel="0" collapsed="false">
      <c r="A972" s="3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customFormat="false" ht="12.75" hidden="false" customHeight="true" outlineLevel="0" collapsed="false">
      <c r="A973" s="3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customFormat="false" ht="12.75" hidden="false" customHeight="true" outlineLevel="0" collapsed="false">
      <c r="A974" s="3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customFormat="false" ht="12.75" hidden="false" customHeight="true" outlineLevel="0" collapsed="false">
      <c r="A975" s="3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customFormat="false" ht="12.75" hidden="false" customHeight="true" outlineLevel="0" collapsed="false">
      <c r="A976" s="3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customFormat="false" ht="12.75" hidden="false" customHeight="true" outlineLevel="0" collapsed="false">
      <c r="A977" s="3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customFormat="false" ht="12.75" hidden="false" customHeight="true" outlineLevel="0" collapsed="false">
      <c r="A978" s="3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customFormat="false" ht="12.75" hidden="false" customHeight="true" outlineLevel="0" collapsed="false">
      <c r="A979" s="3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customFormat="false" ht="12.75" hidden="false" customHeight="true" outlineLevel="0" collapsed="false">
      <c r="A980" s="3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customFormat="false" ht="12.75" hidden="false" customHeight="true" outlineLevel="0" collapsed="false">
      <c r="A981" s="3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customFormat="false" ht="12.75" hidden="false" customHeight="true" outlineLevel="0" collapsed="false">
      <c r="A982" s="3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customFormat="false" ht="12.75" hidden="false" customHeight="true" outlineLevel="0" collapsed="false">
      <c r="A983" s="3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customFormat="false" ht="12.75" hidden="false" customHeight="true" outlineLevel="0" collapsed="false">
      <c r="A984" s="3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customFormat="false" ht="12.75" hidden="false" customHeight="true" outlineLevel="0" collapsed="false">
      <c r="A985" s="3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customFormat="false" ht="12.75" hidden="false" customHeight="true" outlineLevel="0" collapsed="false">
      <c r="A986" s="3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customFormat="false" ht="12.75" hidden="false" customHeight="true" outlineLevel="0" collapsed="false">
      <c r="A987" s="3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customFormat="false" ht="12.75" hidden="false" customHeight="true" outlineLevel="0" collapsed="false">
      <c r="A988" s="3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customFormat="false" ht="12.75" hidden="false" customHeight="true" outlineLevel="0" collapsed="false">
      <c r="A989" s="3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customFormat="false" ht="12.75" hidden="false" customHeight="true" outlineLevel="0" collapsed="false">
      <c r="A990" s="3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customFormat="false" ht="12.75" hidden="false" customHeight="true" outlineLevel="0" collapsed="false">
      <c r="A991" s="3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customFormat="false" ht="12.75" hidden="false" customHeight="true" outlineLevel="0" collapsed="false">
      <c r="A992" s="3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customFormat="false" ht="12.75" hidden="false" customHeight="true" outlineLevel="0" collapsed="false">
      <c r="A993" s="3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customFormat="false" ht="12.75" hidden="false" customHeight="true" outlineLevel="0" collapsed="false">
      <c r="A994" s="3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customFormat="false" ht="12.75" hidden="false" customHeight="true" outlineLevel="0" collapsed="false">
      <c r="A995" s="3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customFormat="false" ht="12.75" hidden="false" customHeight="true" outlineLevel="0" collapsed="false">
      <c r="A996" s="3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customFormat="false" ht="12.75" hidden="false" customHeight="true" outlineLevel="0" collapsed="false">
      <c r="A997" s="3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customFormat="false" ht="12.75" hidden="false" customHeight="true" outlineLevel="0" collapsed="false">
      <c r="A998" s="3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4.48046875" defaultRowHeight="15.75" zeroHeight="false" outlineLevelRow="0" outlineLevelCol="0"/>
  <cols>
    <col collapsed="false" customWidth="true" hidden="false" outlineLevel="0" max="1" min="1" style="0" width="15.14"/>
    <col collapsed="false" customWidth="true" hidden="false" outlineLevel="0" max="4" min="2" style="0" width="10.86"/>
    <col collapsed="false" customWidth="true" hidden="false" outlineLevel="0" max="5" min="5" style="0" width="19.43"/>
  </cols>
  <sheetData>
    <row r="1" customFormat="false" ht="12.75" hidden="false" customHeight="true" outlineLevel="0" collapsed="false">
      <c r="A1" s="8" t="s">
        <v>11</v>
      </c>
      <c r="B1" s="8" t="s">
        <v>12</v>
      </c>
      <c r="C1" s="8" t="s">
        <v>13</v>
      </c>
      <c r="D1" s="8" t="s">
        <v>14</v>
      </c>
      <c r="E1" s="8" t="s">
        <v>33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customFormat="false" ht="12.75" hidden="false" customHeight="true" outlineLevel="0" collapsed="false">
      <c r="A2" s="9"/>
      <c r="B2" s="10" t="n">
        <v>20</v>
      </c>
      <c r="C2" s="11" t="s">
        <v>14</v>
      </c>
      <c r="D2" s="11"/>
      <c r="E2" s="12" t="n">
        <v>1.2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customFormat="false" ht="12.75" hidden="false" customHeight="true" outlineLevel="0" collapsed="false">
      <c r="A3" s="9"/>
      <c r="B3" s="10" t="n">
        <v>16.7</v>
      </c>
      <c r="C3" s="11" t="s">
        <v>22</v>
      </c>
      <c r="D3" s="11"/>
      <c r="E3" s="12" t="n">
        <v>0.84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customFormat="false" ht="12.75" hidden="false" customHeight="true" outlineLevel="0" collapsed="false">
      <c r="A4" s="15" t="n">
        <v>10377688</v>
      </c>
      <c r="B4" s="11" t="s">
        <v>23</v>
      </c>
      <c r="C4" s="16"/>
      <c r="D4" s="16"/>
      <c r="E4" s="1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customFormat="false" ht="12.75" hidden="false" customHeight="true" outlineLevel="0" collapsed="false">
      <c r="A5" s="15" t="n">
        <v>9921470</v>
      </c>
      <c r="B5" s="11" t="s">
        <v>23</v>
      </c>
      <c r="C5" s="16"/>
      <c r="D5" s="16"/>
      <c r="E5" s="16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customFormat="false" ht="12.75" hidden="false" customHeight="true" outlineLevel="0" collapsed="false">
      <c r="A6" s="15" t="n">
        <v>8656201</v>
      </c>
      <c r="B6" s="10" t="n">
        <v>0</v>
      </c>
      <c r="C6" s="12" t="n">
        <v>0</v>
      </c>
      <c r="D6" s="12" t="n">
        <v>1.2</v>
      </c>
      <c r="E6" s="12" t="n">
        <v>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customFormat="false" ht="12.75" hidden="false" customHeight="true" outlineLevel="0" collapsed="false">
      <c r="A7" s="15" t="n">
        <v>10310662</v>
      </c>
      <c r="B7" s="11" t="s">
        <v>23</v>
      </c>
      <c r="C7" s="16"/>
      <c r="D7" s="16"/>
      <c r="E7" s="16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customFormat="false" ht="12.75" hidden="false" customHeight="true" outlineLevel="0" collapsed="false">
      <c r="A8" s="15" t="n">
        <v>10277001</v>
      </c>
      <c r="B8" s="11" t="s">
        <v>23</v>
      </c>
      <c r="C8" s="16"/>
      <c r="D8" s="16"/>
      <c r="E8" s="16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customFormat="false" ht="12.75" hidden="false" customHeight="true" outlineLevel="0" collapsed="false">
      <c r="A9" s="15" t="n">
        <v>9846222</v>
      </c>
      <c r="B9" s="11" t="s">
        <v>23</v>
      </c>
      <c r="C9" s="16"/>
      <c r="D9" s="16"/>
      <c r="E9" s="16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customFormat="false" ht="12.75" hidden="false" customHeight="true" outlineLevel="0" collapsed="false">
      <c r="A10" s="15" t="n">
        <v>10276907</v>
      </c>
      <c r="B10" s="10" t="n">
        <v>1</v>
      </c>
      <c r="C10" s="12" t="n">
        <v>0.09</v>
      </c>
      <c r="D10" s="12" t="n">
        <v>1.2</v>
      </c>
      <c r="E10" s="12" t="n">
        <v>0.09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customFormat="false" ht="12.75" hidden="false" customHeight="true" outlineLevel="0" collapsed="false">
      <c r="A11" s="15" t="n">
        <v>10310888</v>
      </c>
      <c r="B11" s="10" t="n">
        <v>4</v>
      </c>
      <c r="C11" s="12" t="n">
        <v>0.26</v>
      </c>
      <c r="D11" s="12" t="n">
        <v>1.2</v>
      </c>
      <c r="E11" s="12" t="n">
        <v>0.26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customFormat="false" ht="12.75" hidden="false" customHeight="true" outlineLevel="0" collapsed="false">
      <c r="A12" s="15" t="n">
        <v>10276974</v>
      </c>
      <c r="B12" s="10" t="n">
        <v>7</v>
      </c>
      <c r="C12" s="12" t="n">
        <v>0.43</v>
      </c>
      <c r="D12" s="12" t="n">
        <v>1.2</v>
      </c>
      <c r="E12" s="12" t="n">
        <v>0.43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customFormat="false" ht="12.75" hidden="false" customHeight="true" outlineLevel="0" collapsed="false">
      <c r="A13" s="15" t="n">
        <v>10276960</v>
      </c>
      <c r="B13" s="10" t="n">
        <v>7</v>
      </c>
      <c r="C13" s="12" t="n">
        <v>0.43</v>
      </c>
      <c r="D13" s="12" t="n">
        <v>1.2</v>
      </c>
      <c r="E13" s="12" t="n">
        <v>0.43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customFormat="false" ht="12.75" hidden="false" customHeight="true" outlineLevel="0" collapsed="false">
      <c r="A14" s="15" t="n">
        <v>9755822</v>
      </c>
      <c r="B14" s="10" t="n">
        <v>7</v>
      </c>
      <c r="C14" s="12" t="n">
        <v>0.43</v>
      </c>
      <c r="D14" s="12" t="n">
        <v>1.2</v>
      </c>
      <c r="E14" s="12" t="n">
        <v>0.43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</row>
    <row r="15" customFormat="false" ht="12.75" hidden="false" customHeight="true" outlineLevel="0" collapsed="false">
      <c r="A15" s="15" t="n">
        <v>9790781</v>
      </c>
      <c r="B15" s="10" t="n">
        <v>7</v>
      </c>
      <c r="C15" s="12" t="n">
        <v>0.43</v>
      </c>
      <c r="D15" s="12" t="n">
        <v>1.2</v>
      </c>
      <c r="E15" s="12" t="n">
        <v>0.43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customFormat="false" ht="12.75" hidden="false" customHeight="true" outlineLevel="0" collapsed="false">
      <c r="A16" s="15" t="n">
        <v>10351971</v>
      </c>
      <c r="B16" s="10" t="n">
        <v>7</v>
      </c>
      <c r="C16" s="12" t="n">
        <v>0.43</v>
      </c>
      <c r="D16" s="12" t="n">
        <v>1.2</v>
      </c>
      <c r="E16" s="12" t="n">
        <v>0.43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customFormat="false" ht="12.75" hidden="false" customHeight="true" outlineLevel="0" collapsed="false">
      <c r="A17" s="15" t="n">
        <v>10377538</v>
      </c>
      <c r="B17" s="10" t="n">
        <v>10</v>
      </c>
      <c r="C17" s="12" t="n">
        <v>0.6</v>
      </c>
      <c r="D17" s="12" t="n">
        <v>1.2</v>
      </c>
      <c r="E17" s="12" t="n">
        <v>0.6</v>
      </c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customFormat="false" ht="12.75" hidden="false" customHeight="true" outlineLevel="0" collapsed="false">
      <c r="A18" s="15" t="n">
        <v>10276852</v>
      </c>
      <c r="B18" s="10" t="n">
        <v>10</v>
      </c>
      <c r="C18" s="12" t="n">
        <v>0.6</v>
      </c>
      <c r="D18" s="12" t="n">
        <v>1.2</v>
      </c>
      <c r="E18" s="12" t="n">
        <v>0.6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customFormat="false" ht="12.75" hidden="false" customHeight="true" outlineLevel="0" collapsed="false">
      <c r="A19" s="15" t="n">
        <v>9292462</v>
      </c>
      <c r="B19" s="10" t="n">
        <v>10</v>
      </c>
      <c r="C19" s="12" t="n">
        <v>0.6</v>
      </c>
      <c r="D19" s="12" t="n">
        <v>1.2</v>
      </c>
      <c r="E19" s="12" t="n">
        <v>0.6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customFormat="false" ht="12.75" hidden="false" customHeight="true" outlineLevel="0" collapsed="false">
      <c r="A20" s="15" t="n">
        <v>10310471</v>
      </c>
      <c r="B20" s="10" t="n">
        <v>11</v>
      </c>
      <c r="C20" s="12" t="n">
        <v>0.69</v>
      </c>
      <c r="D20" s="12" t="n">
        <v>1.2</v>
      </c>
      <c r="E20" s="12" t="n">
        <v>0.69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customFormat="false" ht="12.75" hidden="false" customHeight="true" outlineLevel="0" collapsed="false">
      <c r="A21" s="15" t="n">
        <v>10276949</v>
      </c>
      <c r="B21" s="10" t="n">
        <v>14</v>
      </c>
      <c r="C21" s="12" t="n">
        <v>0.86</v>
      </c>
      <c r="D21" s="12" t="n">
        <v>1.2</v>
      </c>
      <c r="E21" s="12" t="n">
        <v>0.86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customFormat="false" ht="12.75" hidden="false" customHeight="true" outlineLevel="0" collapsed="false">
      <c r="A22" s="15" t="n">
        <v>9274382</v>
      </c>
      <c r="B22" s="10" t="n">
        <v>14</v>
      </c>
      <c r="C22" s="12" t="n">
        <v>0.86</v>
      </c>
      <c r="D22" s="12" t="n">
        <v>1.2</v>
      </c>
      <c r="E22" s="12" t="n">
        <v>0.86</v>
      </c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customFormat="false" ht="12.75" hidden="false" customHeight="true" outlineLevel="0" collapsed="false">
      <c r="A23" s="15" t="n">
        <v>9082496</v>
      </c>
      <c r="B23" s="10" t="n">
        <v>14</v>
      </c>
      <c r="C23" s="12" t="n">
        <v>0.86</v>
      </c>
      <c r="D23" s="12" t="n">
        <v>1.2</v>
      </c>
      <c r="E23" s="12" t="n">
        <v>0.86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customFormat="false" ht="12.75" hidden="false" customHeight="true" outlineLevel="0" collapsed="false">
      <c r="A24" s="15" t="n">
        <v>10352030</v>
      </c>
      <c r="B24" s="10" t="n">
        <v>17</v>
      </c>
      <c r="C24" s="12" t="n">
        <v>1.03</v>
      </c>
      <c r="D24" s="12" t="n">
        <v>1.2</v>
      </c>
      <c r="E24" s="12" t="n">
        <v>1.03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customFormat="false" ht="12.75" hidden="false" customHeight="true" outlineLevel="0" collapsed="false">
      <c r="A25" s="15" t="n">
        <v>10277015</v>
      </c>
      <c r="B25" s="10" t="n">
        <v>17</v>
      </c>
      <c r="C25" s="12" t="n">
        <v>1.03</v>
      </c>
      <c r="D25" s="12" t="n">
        <v>1.2</v>
      </c>
      <c r="E25" s="12" t="n">
        <v>1.03</v>
      </c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customFormat="false" ht="12.75" hidden="false" customHeight="true" outlineLevel="0" collapsed="false">
      <c r="A26" s="15" t="n">
        <v>10260351</v>
      </c>
      <c r="B26" s="10" t="n">
        <v>17</v>
      </c>
      <c r="C26" s="12" t="n">
        <v>1.03</v>
      </c>
      <c r="D26" s="12" t="n">
        <v>1.2</v>
      </c>
      <c r="E26" s="12" t="n">
        <v>1.03</v>
      </c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customFormat="false" ht="12.75" hidden="false" customHeight="true" outlineLevel="0" collapsed="false">
      <c r="A27" s="15" t="n">
        <v>9795272</v>
      </c>
      <c r="B27" s="10" t="n">
        <v>17</v>
      </c>
      <c r="C27" s="12" t="n">
        <v>1.03</v>
      </c>
      <c r="D27" s="12" t="n">
        <v>1.2</v>
      </c>
      <c r="E27" s="12" t="n">
        <v>1.03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customFormat="false" ht="12.75" hidden="false" customHeight="true" outlineLevel="0" collapsed="false">
      <c r="A28" s="15" t="n">
        <v>9795185</v>
      </c>
      <c r="B28" s="10" t="n">
        <v>17</v>
      </c>
      <c r="C28" s="12" t="n">
        <v>1.03</v>
      </c>
      <c r="D28" s="12" t="n">
        <v>1.2</v>
      </c>
      <c r="E28" s="12" t="n">
        <v>1.03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customFormat="false" ht="12.75" hidden="false" customHeight="true" outlineLevel="0" collapsed="false">
      <c r="A29" s="15" t="n">
        <v>10276675</v>
      </c>
      <c r="B29" s="10" t="n">
        <v>17</v>
      </c>
      <c r="C29" s="12" t="n">
        <v>1.03</v>
      </c>
      <c r="D29" s="12" t="n">
        <v>1.2</v>
      </c>
      <c r="E29" s="12" t="n">
        <v>1.03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customFormat="false" ht="12.75" hidden="false" customHeight="true" outlineLevel="0" collapsed="false">
      <c r="A30" s="15" t="n">
        <v>9363926</v>
      </c>
      <c r="B30" s="10" t="n">
        <v>17</v>
      </c>
      <c r="C30" s="12" t="n">
        <v>1.03</v>
      </c>
      <c r="D30" s="12" t="n">
        <v>1.2</v>
      </c>
      <c r="E30" s="12" t="n">
        <v>1.03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customFormat="false" ht="12.75" hidden="false" customHeight="true" outlineLevel="0" collapsed="false">
      <c r="A31" s="15" t="n">
        <v>10276682</v>
      </c>
      <c r="B31" s="10" t="n">
        <v>17</v>
      </c>
      <c r="C31" s="12" t="n">
        <v>1.03</v>
      </c>
      <c r="D31" s="12" t="n">
        <v>1.2</v>
      </c>
      <c r="E31" s="12" t="n">
        <v>1.03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customFormat="false" ht="12.75" hidden="false" customHeight="true" outlineLevel="0" collapsed="false">
      <c r="A32" s="15" t="n">
        <v>10277036</v>
      </c>
      <c r="B32" s="10" t="n">
        <v>17</v>
      </c>
      <c r="C32" s="12" t="n">
        <v>1.03</v>
      </c>
      <c r="D32" s="12" t="n">
        <v>1.2</v>
      </c>
      <c r="E32" s="12" t="n">
        <v>1.03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customFormat="false" ht="12.75" hidden="false" customHeight="true" outlineLevel="0" collapsed="false">
      <c r="A33" s="15" t="n">
        <v>10276911</v>
      </c>
      <c r="B33" s="10" t="n">
        <v>20</v>
      </c>
      <c r="C33" s="12" t="n">
        <v>1.2</v>
      </c>
      <c r="D33" s="12" t="n">
        <v>1.2</v>
      </c>
      <c r="E33" s="12" t="n">
        <v>1.2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customFormat="false" ht="12.75" hidden="false" customHeight="true" outlineLevel="0" collapsed="false">
      <c r="A34" s="15" t="n">
        <v>10310551</v>
      </c>
      <c r="B34" s="10" t="n">
        <v>20</v>
      </c>
      <c r="C34" s="12" t="n">
        <v>1.2</v>
      </c>
      <c r="D34" s="12" t="n">
        <v>1.2</v>
      </c>
      <c r="E34" s="12" t="n">
        <v>1.2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customFormat="false" ht="12.75" hidden="false" customHeight="true" outlineLevel="0" collapsed="false">
      <c r="A35" s="15" t="n">
        <v>10276928</v>
      </c>
      <c r="B35" s="10" t="n">
        <v>20</v>
      </c>
      <c r="C35" s="12" t="n">
        <v>1.2</v>
      </c>
      <c r="D35" s="12" t="n">
        <v>1.2</v>
      </c>
      <c r="E35" s="12" t="n">
        <v>1.2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customFormat="false" ht="12.75" hidden="false" customHeight="true" outlineLevel="0" collapsed="false">
      <c r="A36" s="15" t="n">
        <v>698531</v>
      </c>
      <c r="B36" s="10" t="n">
        <v>20</v>
      </c>
      <c r="C36" s="12" t="n">
        <v>1.2</v>
      </c>
      <c r="D36" s="12" t="n">
        <v>1.2</v>
      </c>
      <c r="E36" s="12" t="n">
        <v>1.2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customFormat="false" ht="12.75" hidden="false" customHeight="true" outlineLevel="0" collapsed="false">
      <c r="A37" s="15" t="n">
        <v>10277022</v>
      </c>
      <c r="B37" s="10" t="n">
        <v>20</v>
      </c>
      <c r="C37" s="12" t="n">
        <v>1.2</v>
      </c>
      <c r="D37" s="12" t="n">
        <v>1.2</v>
      </c>
      <c r="E37" s="12" t="n">
        <v>1.2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customFormat="false" ht="12.75" hidden="false" customHeight="true" outlineLevel="0" collapsed="false">
      <c r="A38" s="15" t="n">
        <v>10276995</v>
      </c>
      <c r="B38" s="10" t="n">
        <v>20</v>
      </c>
      <c r="C38" s="12" t="n">
        <v>1.2</v>
      </c>
      <c r="D38" s="12" t="n">
        <v>1.2</v>
      </c>
      <c r="E38" s="12" t="n">
        <v>1.2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customFormat="false" ht="12.75" hidden="false" customHeight="true" outlineLevel="0" collapsed="false">
      <c r="A39" s="15" t="n">
        <v>10310342</v>
      </c>
      <c r="B39" s="10" t="n">
        <v>20</v>
      </c>
      <c r="C39" s="12" t="n">
        <v>1.2</v>
      </c>
      <c r="D39" s="12" t="n">
        <v>1.2</v>
      </c>
      <c r="E39" s="12" t="n">
        <v>1.2</v>
      </c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customFormat="false" ht="12.75" hidden="false" customHeight="true" outlineLevel="0" collapsed="false">
      <c r="A40" s="15" t="n">
        <v>9065750</v>
      </c>
      <c r="B40" s="10" t="n">
        <v>20</v>
      </c>
      <c r="C40" s="12" t="n">
        <v>1.2</v>
      </c>
      <c r="D40" s="12" t="n">
        <v>1.2</v>
      </c>
      <c r="E40" s="12" t="n">
        <v>1.2</v>
      </c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customFormat="false" ht="12.75" hidden="false" customHeight="true" outlineLevel="0" collapsed="false">
      <c r="A41" s="15" t="n">
        <v>10310700</v>
      </c>
      <c r="B41" s="10" t="n">
        <v>20</v>
      </c>
      <c r="C41" s="12" t="n">
        <v>1.2</v>
      </c>
      <c r="D41" s="12" t="n">
        <v>1.2</v>
      </c>
      <c r="E41" s="12" t="n">
        <v>1.2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customFormat="false" ht="12.75" hidden="false" customHeight="true" outlineLevel="0" collapsed="false">
      <c r="A42" s="15" t="n">
        <v>10310492</v>
      </c>
      <c r="B42" s="10" t="n">
        <v>20</v>
      </c>
      <c r="C42" s="12" t="n">
        <v>1.2</v>
      </c>
      <c r="D42" s="12" t="n">
        <v>1.2</v>
      </c>
      <c r="E42" s="12" t="n">
        <v>1.2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customFormat="false" ht="12.75" hidden="false" customHeight="true" outlineLevel="0" collapsed="false">
      <c r="A43" s="15" t="n">
        <v>10276737</v>
      </c>
      <c r="B43" s="10" t="n">
        <v>20</v>
      </c>
      <c r="C43" s="12" t="n">
        <v>1.2</v>
      </c>
      <c r="D43" s="12" t="n">
        <v>1.2</v>
      </c>
      <c r="E43" s="12" t="n">
        <v>1.2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customFormat="false" ht="12.75" hidden="false" customHeight="true" outlineLevel="0" collapsed="false">
      <c r="A44" s="15" t="n">
        <v>9805320</v>
      </c>
      <c r="B44" s="10" t="n">
        <v>20</v>
      </c>
      <c r="C44" s="12" t="n">
        <v>1.2</v>
      </c>
      <c r="D44" s="12" t="n">
        <v>1.2</v>
      </c>
      <c r="E44" s="12" t="n">
        <v>1.2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customFormat="false" ht="12.75" hidden="false" customHeight="true" outlineLevel="0" collapsed="false">
      <c r="A45" s="15" t="n">
        <v>10276762</v>
      </c>
      <c r="B45" s="10" t="n">
        <v>20</v>
      </c>
      <c r="C45" s="12" t="n">
        <v>1.2</v>
      </c>
      <c r="D45" s="12" t="n">
        <v>1.2</v>
      </c>
      <c r="E45" s="12" t="n">
        <v>1.2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  <row r="46" customFormat="false" ht="12.75" hidden="false" customHeight="true" outlineLevel="0" collapsed="false">
      <c r="A46" s="15" t="n">
        <v>10310676</v>
      </c>
      <c r="B46" s="10" t="n">
        <v>20</v>
      </c>
      <c r="C46" s="12" t="n">
        <v>1.2</v>
      </c>
      <c r="D46" s="12" t="n">
        <v>1.2</v>
      </c>
      <c r="E46" s="12" t="n">
        <v>1.2</v>
      </c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</row>
    <row r="47" customFormat="false" ht="12.75" hidden="false" customHeight="true" outlineLevel="0" collapsed="false">
      <c r="A47" s="15" t="n">
        <v>10276831</v>
      </c>
      <c r="B47" s="10" t="n">
        <v>20</v>
      </c>
      <c r="C47" s="12" t="n">
        <v>1.2</v>
      </c>
      <c r="D47" s="12" t="n">
        <v>1.2</v>
      </c>
      <c r="E47" s="12" t="n">
        <v>1.2</v>
      </c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</row>
    <row r="48" customFormat="false" ht="12.75" hidden="false" customHeight="true" outlineLevel="0" collapsed="false">
      <c r="A48" s="15" t="n">
        <v>10276981</v>
      </c>
      <c r="B48" s="10" t="n">
        <v>20</v>
      </c>
      <c r="C48" s="12" t="n">
        <v>1.2</v>
      </c>
      <c r="D48" s="12" t="n">
        <v>1.2</v>
      </c>
      <c r="E48" s="12" t="n">
        <v>1.2</v>
      </c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</row>
    <row r="49" customFormat="false" ht="12.75" hidden="false" customHeight="true" outlineLevel="0" collapsed="false">
      <c r="A49" s="15" t="n">
        <v>9760151</v>
      </c>
      <c r="B49" s="10" t="n">
        <v>20</v>
      </c>
      <c r="C49" s="12" t="n">
        <v>1.2</v>
      </c>
      <c r="D49" s="12" t="n">
        <v>1.2</v>
      </c>
      <c r="E49" s="12" t="n">
        <v>1.2</v>
      </c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</row>
    <row r="50" customFormat="false" ht="12.75" hidden="false" customHeight="true" outlineLevel="0" collapsed="false">
      <c r="A50" s="15" t="n">
        <v>10310655</v>
      </c>
      <c r="B50" s="10" t="n">
        <v>20</v>
      </c>
      <c r="C50" s="12" t="n">
        <v>1.2</v>
      </c>
      <c r="D50" s="12" t="n">
        <v>1.2</v>
      </c>
      <c r="E50" s="12" t="n">
        <v>1.2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</row>
    <row r="51" customFormat="false" ht="12.75" hidden="false" customHeight="true" outlineLevel="0" collapsed="false">
      <c r="A51" s="15" t="n">
        <v>10262669</v>
      </c>
      <c r="B51" s="10" t="n">
        <v>20</v>
      </c>
      <c r="C51" s="12" t="n">
        <v>1.2</v>
      </c>
      <c r="D51" s="12" t="n">
        <v>1.2</v>
      </c>
      <c r="E51" s="12" t="n">
        <v>1.2</v>
      </c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</row>
    <row r="52" customFormat="false" ht="12.75" hidden="false" customHeight="true" outlineLevel="0" collapsed="false">
      <c r="A52" s="15" t="n">
        <v>10310759</v>
      </c>
      <c r="B52" s="10" t="n">
        <v>20</v>
      </c>
      <c r="C52" s="12" t="n">
        <v>1.2</v>
      </c>
      <c r="D52" s="12" t="n">
        <v>1.2</v>
      </c>
      <c r="E52" s="12" t="n">
        <v>1.2</v>
      </c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</row>
    <row r="53" customFormat="false" ht="12.75" hidden="false" customHeight="true" outlineLevel="0" collapsed="false">
      <c r="A53" s="15" t="n">
        <v>10277040</v>
      </c>
      <c r="B53" s="10" t="n">
        <v>20</v>
      </c>
      <c r="C53" s="12" t="n">
        <v>1.2</v>
      </c>
      <c r="D53" s="12" t="n">
        <v>1.2</v>
      </c>
      <c r="E53" s="12" t="n">
        <v>1.2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</row>
    <row r="54" customFormat="false" ht="12.75" hidden="false" customHeight="true" outlineLevel="0" collapsed="false">
      <c r="A54" s="15" t="n">
        <v>10310721</v>
      </c>
      <c r="B54" s="10" t="n">
        <v>20</v>
      </c>
      <c r="C54" s="12" t="n">
        <v>1.2</v>
      </c>
      <c r="D54" s="12" t="n">
        <v>1.2</v>
      </c>
      <c r="E54" s="12" t="n">
        <v>1.2</v>
      </c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</row>
    <row r="55" customFormat="false" ht="12.75" hidden="false" customHeight="true" outlineLevel="0" collapsed="false">
      <c r="A55" s="15" t="n">
        <v>9311643</v>
      </c>
      <c r="B55" s="10" t="n">
        <v>20</v>
      </c>
      <c r="C55" s="12" t="n">
        <v>1.2</v>
      </c>
      <c r="D55" s="12" t="n">
        <v>1.2</v>
      </c>
      <c r="E55" s="12" t="n">
        <v>1.2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</row>
    <row r="56" customFormat="false" ht="12.75" hidden="false" customHeight="true" outlineLevel="0" collapsed="false">
      <c r="A56" s="15" t="n">
        <v>10351992</v>
      </c>
      <c r="B56" s="10" t="n">
        <v>20</v>
      </c>
      <c r="C56" s="12" t="n">
        <v>1.2</v>
      </c>
      <c r="D56" s="12" t="n">
        <v>1.2</v>
      </c>
      <c r="E56" s="12" t="n">
        <v>1.2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</row>
    <row r="57" customFormat="false" ht="12.75" hidden="false" customHeight="true" outlineLevel="0" collapsed="false">
      <c r="A57" s="15" t="n">
        <v>10276932</v>
      </c>
      <c r="B57" s="10" t="n">
        <v>20</v>
      </c>
      <c r="C57" s="12" t="n">
        <v>1.2</v>
      </c>
      <c r="D57" s="12" t="n">
        <v>1.2</v>
      </c>
      <c r="E57" s="12" t="n">
        <v>1.2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</row>
    <row r="58" customFormat="false" ht="12.75" hidden="false" customHeight="true" outlineLevel="0" collapsed="false">
      <c r="A58" s="15" t="n">
        <v>9285227</v>
      </c>
      <c r="B58" s="10" t="n">
        <v>20</v>
      </c>
      <c r="C58" s="12" t="n">
        <v>1.2</v>
      </c>
      <c r="D58" s="12" t="n">
        <v>1.2</v>
      </c>
      <c r="E58" s="12" t="n">
        <v>1.2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</row>
    <row r="59" customFormat="false" ht="12.75" hidden="false" customHeight="true" outlineLevel="0" collapsed="false">
      <c r="A59" s="15" t="n">
        <v>10276720</v>
      </c>
      <c r="B59" s="10" t="n">
        <v>20</v>
      </c>
      <c r="C59" s="12" t="n">
        <v>1.2</v>
      </c>
      <c r="D59" s="12" t="n">
        <v>1.2</v>
      </c>
      <c r="E59" s="12" t="n">
        <v>1.2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</row>
    <row r="60" customFormat="false" ht="12.75" hidden="false" customHeight="true" outlineLevel="0" collapsed="false">
      <c r="A60" s="15" t="n">
        <v>10276866</v>
      </c>
      <c r="B60" s="10" t="n">
        <v>20</v>
      </c>
      <c r="C60" s="12" t="n">
        <v>1.2</v>
      </c>
      <c r="D60" s="12" t="n">
        <v>1.2</v>
      </c>
      <c r="E60" s="12" t="n">
        <v>1.2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</row>
    <row r="61" customFormat="false" ht="12.75" hidden="false" customHeight="true" outlineLevel="0" collapsed="false">
      <c r="A61" s="15" t="n">
        <v>9424506</v>
      </c>
      <c r="B61" s="10" t="n">
        <v>20</v>
      </c>
      <c r="C61" s="12" t="n">
        <v>1.2</v>
      </c>
      <c r="D61" s="12" t="n">
        <v>1.2</v>
      </c>
      <c r="E61" s="12" t="n">
        <v>1.2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</row>
    <row r="62" customFormat="false" ht="12.75" hidden="false" customHeight="true" outlineLevel="0" collapsed="false">
      <c r="A62" s="15" t="n">
        <v>9805341</v>
      </c>
      <c r="B62" s="10" t="n">
        <v>20</v>
      </c>
      <c r="C62" s="12" t="n">
        <v>1.2</v>
      </c>
      <c r="D62" s="12" t="n">
        <v>1.2</v>
      </c>
      <c r="E62" s="12" t="n">
        <v>1.2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</row>
    <row r="63" customFormat="false" ht="12.75" hidden="false" customHeight="true" outlineLevel="0" collapsed="false">
      <c r="A63" s="15" t="n">
        <v>10276953</v>
      </c>
      <c r="B63" s="10" t="n">
        <v>20</v>
      </c>
      <c r="C63" s="12" t="n">
        <v>1.2</v>
      </c>
      <c r="D63" s="12" t="n">
        <v>1.2</v>
      </c>
      <c r="E63" s="12" t="n">
        <v>1.2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</row>
    <row r="64" customFormat="false" ht="12.75" hidden="false" customHeight="true" outlineLevel="0" collapsed="false">
      <c r="A64" s="15" t="n">
        <v>10276654</v>
      </c>
      <c r="B64" s="10" t="n">
        <v>20</v>
      </c>
      <c r="C64" s="12" t="n">
        <v>1.2</v>
      </c>
      <c r="D64" s="12" t="n">
        <v>1.2</v>
      </c>
      <c r="E64" s="12" t="n">
        <v>1.2</v>
      </c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</row>
    <row r="65" customFormat="false" ht="12.75" hidden="false" customHeight="true" outlineLevel="0" collapsed="false">
      <c r="A65" s="15" t="n">
        <v>10276661</v>
      </c>
      <c r="B65" s="10" t="n">
        <v>20</v>
      </c>
      <c r="C65" s="12" t="n">
        <v>1.2</v>
      </c>
      <c r="D65" s="12" t="n">
        <v>1.2</v>
      </c>
      <c r="E65" s="12" t="n">
        <v>1.2</v>
      </c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</row>
    <row r="66" customFormat="false" ht="12.75" hidden="false" customHeight="true" outlineLevel="0" collapsed="false">
      <c r="A66" s="15" t="n">
        <v>10273971</v>
      </c>
      <c r="B66" s="10" t="n">
        <v>20</v>
      </c>
      <c r="C66" s="12" t="n">
        <v>1.2</v>
      </c>
      <c r="D66" s="12" t="n">
        <v>1.2</v>
      </c>
      <c r="E66" s="12" t="n">
        <v>1.2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</row>
    <row r="67" customFormat="false" ht="12.75" hidden="false" customHeight="true" outlineLevel="0" collapsed="false">
      <c r="A67" s="15" t="n">
        <v>9436110</v>
      </c>
      <c r="B67" s="10" t="n">
        <v>20</v>
      </c>
      <c r="C67" s="12" t="n">
        <v>1.2</v>
      </c>
      <c r="D67" s="12" t="n">
        <v>1.2</v>
      </c>
      <c r="E67" s="12" t="n">
        <v>1.2</v>
      </c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</row>
    <row r="68" customFormat="false" ht="12.75" hidden="false" customHeight="true" outlineLevel="0" collapsed="false">
      <c r="A68" s="15" t="n">
        <v>9368772</v>
      </c>
      <c r="B68" s="10" t="n">
        <v>20</v>
      </c>
      <c r="C68" s="12" t="n">
        <v>1.2</v>
      </c>
      <c r="D68" s="12" t="n">
        <v>1.2</v>
      </c>
      <c r="E68" s="12" t="n">
        <v>1.2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</row>
    <row r="69" customFormat="false" ht="12.75" hidden="false" customHeight="true" outlineLevel="0" collapsed="false">
      <c r="A69" s="15" t="n">
        <v>9842913</v>
      </c>
      <c r="B69" s="10" t="n">
        <v>20</v>
      </c>
      <c r="C69" s="12" t="n">
        <v>1.2</v>
      </c>
      <c r="D69" s="12" t="n">
        <v>1.2</v>
      </c>
      <c r="E69" s="12" t="n">
        <v>1.2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</row>
    <row r="70" customFormat="false" ht="12.75" hidden="false" customHeight="true" outlineLevel="0" collapsed="false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</row>
    <row r="71" customFormat="false" ht="12.75" hidden="false" customHeight="true" outlineLevel="0" collapsed="false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</row>
    <row r="72" customFormat="false" ht="12.75" hidden="false" customHeight="true" outlineLevel="0" collapsed="false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</row>
    <row r="73" customFormat="false" ht="12.75" hidden="false" customHeight="true" outlineLevel="0" collapsed="false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</row>
    <row r="74" customFormat="false" ht="12.75" hidden="false" customHeight="true" outlineLevel="0" collapsed="false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</row>
    <row r="75" customFormat="false" ht="12.75" hidden="false" customHeight="true" outlineLevel="0" collapsed="false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</row>
    <row r="76" customFormat="false" ht="12.75" hidden="false" customHeight="true" outlineLevel="0" collapsed="false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</row>
    <row r="77" customFormat="false" ht="12.75" hidden="false" customHeight="true" outlineLevel="0" collapsed="false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</row>
    <row r="78" customFormat="false" ht="12.75" hidden="false" customHeight="true" outlineLevel="0" collapsed="false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</row>
    <row r="79" customFormat="false" ht="12.75" hidden="false" customHeight="true" outlineLevel="0" collapsed="false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</row>
    <row r="80" customFormat="false" ht="12.75" hidden="false" customHeight="true" outlineLevel="0" collapsed="false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</row>
    <row r="81" customFormat="false" ht="12.75" hidden="false" customHeight="true" outlineLevel="0" collapsed="false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</row>
    <row r="82" customFormat="false" ht="12.75" hidden="false" customHeight="true" outlineLevel="0" collapsed="false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</row>
    <row r="83" customFormat="false" ht="12.75" hidden="false" customHeight="true" outlineLevel="0" collapsed="false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customFormat="false" ht="12.75" hidden="false" customHeight="true" outlineLevel="0" collapsed="false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</row>
    <row r="85" customFormat="false" ht="12.75" hidden="false" customHeight="true" outlineLevel="0" collapsed="false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</row>
    <row r="86" customFormat="false" ht="12.75" hidden="false" customHeight="true" outlineLevel="0" collapsed="false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</row>
    <row r="87" customFormat="false" ht="12.75" hidden="false" customHeight="true" outlineLevel="0" collapsed="false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</row>
    <row r="88" customFormat="false" ht="12.75" hidden="false" customHeight="true" outlineLevel="0" collapsed="false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</row>
    <row r="89" customFormat="false" ht="12.75" hidden="false" customHeight="true" outlineLevel="0" collapsed="false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</row>
    <row r="90" customFormat="false" ht="12.75" hidden="false" customHeight="true" outlineLevel="0" collapsed="false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</row>
    <row r="91" customFormat="false" ht="12.75" hidden="false" customHeight="true" outlineLevel="0" collapsed="false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</row>
    <row r="92" customFormat="false" ht="12.75" hidden="false" customHeight="true" outlineLevel="0" collapsed="false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</row>
    <row r="93" customFormat="false" ht="12.75" hidden="false" customHeight="true" outlineLevel="0" collapsed="false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</row>
    <row r="94" customFormat="false" ht="12.75" hidden="false" customHeight="true" outlineLevel="0" collapsed="false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</row>
    <row r="95" customFormat="false" ht="12.75" hidden="false" customHeight="true" outlineLevel="0" collapsed="false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</row>
    <row r="96" customFormat="false" ht="12.75" hidden="false" customHeight="true" outlineLevel="0" collapsed="false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</row>
    <row r="97" customFormat="false" ht="12.75" hidden="false" customHeight="true" outlineLevel="0" collapsed="false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</row>
    <row r="98" customFormat="false" ht="12.75" hidden="false" customHeight="true" outlineLevel="0" collapsed="false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</row>
    <row r="99" customFormat="false" ht="12.75" hidden="false" customHeight="true" outlineLevel="0" collapsed="false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</row>
    <row r="100" customFormat="false" ht="12.75" hidden="false" customHeight="true" outlineLevel="0" collapsed="false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</row>
    <row r="101" customFormat="false" ht="12.75" hidden="false" customHeight="true" outlineLevel="0" collapsed="false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</row>
    <row r="102" customFormat="false" ht="12.75" hidden="false" customHeight="true" outlineLevel="0" collapsed="false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</row>
    <row r="103" customFormat="false" ht="12.75" hidden="false" customHeight="true" outlineLevel="0" collapsed="false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</row>
    <row r="104" customFormat="false" ht="12.75" hidden="false" customHeight="true" outlineLevel="0" collapsed="false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</row>
    <row r="105" customFormat="false" ht="12.75" hidden="false" customHeight="true" outlineLevel="0" collapsed="false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</row>
    <row r="106" customFormat="false" ht="12.75" hidden="false" customHeight="true" outlineLevel="0" collapsed="false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</row>
    <row r="107" customFormat="false" ht="12.75" hidden="false" customHeight="true" outlineLevel="0" collapsed="false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</row>
    <row r="108" customFormat="false" ht="12.75" hidden="false" customHeight="true" outlineLevel="0" collapsed="false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</row>
    <row r="109" customFormat="false" ht="12.75" hidden="false" customHeight="true" outlineLevel="0" collapsed="false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</row>
    <row r="110" customFormat="false" ht="12.75" hidden="false" customHeight="true" outlineLevel="0" collapsed="false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</row>
    <row r="111" customFormat="false" ht="12.75" hidden="false" customHeight="true" outlineLevel="0" collapsed="false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</row>
    <row r="112" customFormat="false" ht="12.75" hidden="false" customHeight="tru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customFormat="false" ht="12.75" hidden="false" customHeight="tru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</row>
    <row r="114" customFormat="false" ht="12.75" hidden="false" customHeight="tru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</row>
    <row r="115" customFormat="false" ht="12.75" hidden="false" customHeight="true" outlineLevel="0" collapsed="false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</row>
    <row r="116" customFormat="false" ht="12.75" hidden="false" customHeight="true" outlineLevel="0" collapsed="false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</row>
    <row r="117" customFormat="false" ht="12.75" hidden="false" customHeight="true" outlineLevel="0" collapsed="false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</row>
    <row r="118" customFormat="false" ht="12.75" hidden="false" customHeight="true" outlineLevel="0" collapsed="false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</row>
    <row r="119" customFormat="false" ht="12.75" hidden="false" customHeight="true" outlineLevel="0" collapsed="false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</row>
    <row r="120" customFormat="false" ht="12.75" hidden="false" customHeight="true" outlineLevel="0" collapsed="false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</row>
    <row r="121" customFormat="false" ht="12.75" hidden="false" customHeight="true" outlineLevel="0" collapsed="false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</row>
    <row r="122" customFormat="false" ht="12.75" hidden="false" customHeight="true" outlineLevel="0" collapsed="false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</row>
    <row r="123" customFormat="false" ht="12.75" hidden="false" customHeight="true" outlineLevel="0" collapsed="false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</row>
    <row r="124" customFormat="false" ht="12.75" hidden="false" customHeight="true" outlineLevel="0" collapsed="false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</row>
    <row r="125" customFormat="false" ht="12.75" hidden="false" customHeight="true" outlineLevel="0" collapsed="false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</row>
    <row r="126" customFormat="false" ht="12.75" hidden="false" customHeight="true" outlineLevel="0" collapsed="false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</row>
    <row r="127" customFormat="false" ht="12.75" hidden="false" customHeight="true" outlineLevel="0" collapsed="false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</row>
    <row r="128" customFormat="false" ht="12.75" hidden="false" customHeight="true" outlineLevel="0" collapsed="false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</row>
    <row r="129" customFormat="false" ht="12.75" hidden="false" customHeight="true" outlineLevel="0" collapsed="false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</row>
    <row r="130" customFormat="false" ht="12.75" hidden="false" customHeight="true" outlineLevel="0" collapsed="false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</row>
    <row r="131" customFormat="false" ht="12.75" hidden="false" customHeight="true" outlineLevel="0" collapsed="false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</row>
    <row r="132" customFormat="false" ht="12.75" hidden="false" customHeight="true" outlineLevel="0" collapsed="false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</row>
    <row r="133" customFormat="false" ht="12.75" hidden="false" customHeight="true" outlineLevel="0" collapsed="false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</row>
    <row r="134" customFormat="false" ht="12.75" hidden="false" customHeight="true" outlineLevel="0" collapsed="false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</row>
    <row r="135" customFormat="false" ht="12.75" hidden="false" customHeight="true" outlineLevel="0" collapsed="false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</row>
    <row r="136" customFormat="false" ht="12.75" hidden="false" customHeight="true" outlineLevel="0" collapsed="false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</row>
    <row r="137" customFormat="false" ht="12.75" hidden="false" customHeight="true" outlineLevel="0" collapsed="false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</row>
    <row r="138" customFormat="false" ht="12.75" hidden="false" customHeight="true" outlineLevel="0" collapsed="false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</row>
    <row r="139" customFormat="false" ht="12.75" hidden="false" customHeight="true" outlineLevel="0" collapsed="false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</row>
    <row r="140" customFormat="false" ht="12.75" hidden="false" customHeight="true" outlineLevel="0" collapsed="false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</row>
    <row r="141" customFormat="false" ht="12.75" hidden="false" customHeight="true" outlineLevel="0" collapsed="false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</row>
    <row r="142" customFormat="false" ht="12.75" hidden="false" customHeight="true" outlineLevel="0" collapsed="false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</row>
    <row r="143" customFormat="false" ht="12.75" hidden="false" customHeight="true" outlineLevel="0" collapsed="false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4" customFormat="false" ht="12.75" hidden="false" customHeight="true" outlineLevel="0" collapsed="false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</row>
    <row r="145" customFormat="false" ht="12.75" hidden="false" customHeight="true" outlineLevel="0" collapsed="false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</row>
    <row r="146" customFormat="false" ht="12.75" hidden="false" customHeight="true" outlineLevel="0" collapsed="false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</row>
    <row r="147" customFormat="false" ht="12.75" hidden="false" customHeight="true" outlineLevel="0" collapsed="false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</row>
    <row r="148" customFormat="false" ht="12.75" hidden="false" customHeight="true" outlineLevel="0" collapsed="false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</row>
    <row r="149" customFormat="false" ht="12.75" hidden="false" customHeight="true" outlineLevel="0" collapsed="false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</row>
    <row r="150" customFormat="false" ht="12.75" hidden="false" customHeight="true" outlineLevel="0" collapsed="false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</row>
    <row r="151" customFormat="false" ht="12.75" hidden="false" customHeight="true" outlineLevel="0" collapsed="false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</row>
    <row r="152" customFormat="false" ht="12.75" hidden="false" customHeight="true" outlineLevel="0" collapsed="false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</row>
    <row r="153" customFormat="false" ht="12.75" hidden="false" customHeight="true" outlineLevel="0" collapsed="false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</row>
    <row r="154" customFormat="false" ht="12.75" hidden="false" customHeight="true" outlineLevel="0" collapsed="false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</row>
    <row r="155" customFormat="false" ht="12.75" hidden="false" customHeight="true" outlineLevel="0" collapsed="false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</row>
    <row r="156" customFormat="false" ht="12.75" hidden="false" customHeight="true" outlineLevel="0" collapsed="false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</row>
    <row r="157" customFormat="false" ht="12.75" hidden="false" customHeight="true" outlineLevel="0" collapsed="false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</row>
    <row r="158" customFormat="false" ht="12.75" hidden="false" customHeight="true" outlineLevel="0" collapsed="false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</row>
    <row r="159" customFormat="false" ht="12.75" hidden="false" customHeight="true" outlineLevel="0" collapsed="false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</row>
    <row r="160" customFormat="false" ht="12.75" hidden="false" customHeight="true" outlineLevel="0" collapsed="false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</row>
    <row r="161" customFormat="false" ht="12.75" hidden="false" customHeight="true" outlineLevel="0" collapsed="false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</row>
    <row r="162" customFormat="false" ht="12.75" hidden="false" customHeight="true" outlineLevel="0" collapsed="false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</row>
    <row r="163" customFormat="false" ht="12.75" hidden="false" customHeight="true" outlineLevel="0" collapsed="false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</row>
    <row r="164" customFormat="false" ht="12.75" hidden="false" customHeight="true" outlineLevel="0" collapsed="false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customFormat="false" ht="12.75" hidden="false" customHeight="true" outlineLevel="0" collapsed="false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customFormat="false" ht="12.75" hidden="false" customHeight="true" outlineLevel="0" collapsed="false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customFormat="false" ht="12.75" hidden="false" customHeight="true" outlineLevel="0" collapsed="false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</row>
    <row r="168" customFormat="false" ht="12.75" hidden="false" customHeight="true" outlineLevel="0" collapsed="false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</row>
    <row r="169" customFormat="false" ht="12.75" hidden="false" customHeight="true" outlineLevel="0" collapsed="false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</row>
    <row r="170" customFormat="false" ht="12.75" hidden="false" customHeight="true" outlineLevel="0" collapsed="false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</row>
    <row r="171" customFormat="false" ht="12.75" hidden="false" customHeight="true" outlineLevel="0" collapsed="false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</row>
    <row r="172" customFormat="false" ht="12.75" hidden="false" customHeight="true" outlineLevel="0" collapsed="false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</row>
    <row r="173" customFormat="false" ht="12.75" hidden="false" customHeight="true" outlineLevel="0" collapsed="false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</row>
    <row r="174" customFormat="false" ht="12.75" hidden="false" customHeight="true" outlineLevel="0" collapsed="false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</row>
    <row r="175" customFormat="false" ht="12.75" hidden="false" customHeight="true" outlineLevel="0" collapsed="false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</row>
    <row r="176" customFormat="false" ht="12.75" hidden="false" customHeight="true" outlineLevel="0" collapsed="false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</row>
    <row r="177" customFormat="false" ht="12.75" hidden="false" customHeight="true" outlineLevel="0" collapsed="false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</row>
    <row r="178" customFormat="false" ht="12.75" hidden="false" customHeight="true" outlineLevel="0" collapsed="false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</row>
    <row r="179" customFormat="false" ht="12.75" hidden="false" customHeight="true" outlineLevel="0" collapsed="false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</row>
    <row r="180" customFormat="false" ht="12.75" hidden="false" customHeight="true" outlineLevel="0" collapsed="false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</row>
    <row r="181" customFormat="false" ht="12.75" hidden="false" customHeight="true" outlineLevel="0" collapsed="false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</row>
    <row r="182" customFormat="false" ht="12.75" hidden="false" customHeight="true" outlineLevel="0" collapsed="false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</row>
    <row r="183" customFormat="false" ht="12.75" hidden="false" customHeight="true" outlineLevel="0" collapsed="false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</row>
    <row r="184" customFormat="false" ht="12.75" hidden="false" customHeight="true" outlineLevel="0" collapsed="false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</row>
    <row r="185" customFormat="false" ht="12.75" hidden="false" customHeight="true" outlineLevel="0" collapsed="false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</row>
    <row r="186" customFormat="false" ht="12.75" hidden="false" customHeight="true" outlineLevel="0" collapsed="false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customFormat="false" ht="12.75" hidden="false" customHeight="true" outlineLevel="0" collapsed="false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</row>
    <row r="188" customFormat="false" ht="12.75" hidden="false" customHeight="true" outlineLevel="0" collapsed="false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customFormat="false" ht="12.75" hidden="false" customHeight="true" outlineLevel="0" collapsed="false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</row>
    <row r="190" customFormat="false" ht="12.75" hidden="false" customHeight="true" outlineLevel="0" collapsed="false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</row>
    <row r="191" customFormat="false" ht="12.75" hidden="false" customHeight="true" outlineLevel="0" collapsed="false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</row>
    <row r="192" customFormat="false" ht="12.75" hidden="false" customHeight="true" outlineLevel="0" collapsed="false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</row>
    <row r="193" customFormat="false" ht="12.75" hidden="false" customHeight="true" outlineLevel="0" collapsed="false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</row>
    <row r="194" customFormat="false" ht="12.75" hidden="false" customHeight="true" outlineLevel="0" collapsed="false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</row>
    <row r="195" customFormat="false" ht="12.75" hidden="false" customHeight="true" outlineLevel="0" collapsed="false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</row>
    <row r="196" customFormat="false" ht="12.75" hidden="false" customHeight="true" outlineLevel="0" collapsed="false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</row>
    <row r="197" customFormat="false" ht="12.75" hidden="false" customHeight="true" outlineLevel="0" collapsed="false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</row>
    <row r="198" customFormat="false" ht="12.75" hidden="false" customHeight="true" outlineLevel="0" collapsed="false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</row>
    <row r="199" customFormat="false" ht="12.75" hidden="false" customHeight="true" outlineLevel="0" collapsed="false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</row>
    <row r="200" customFormat="false" ht="12.75" hidden="false" customHeight="true" outlineLevel="0" collapsed="false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</row>
    <row r="201" customFormat="false" ht="12.75" hidden="false" customHeight="true" outlineLevel="0" collapsed="false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</row>
    <row r="202" customFormat="false" ht="12.75" hidden="false" customHeight="true" outlineLevel="0" collapsed="false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</row>
    <row r="203" customFormat="false" ht="12.75" hidden="false" customHeight="true" outlineLevel="0" collapsed="false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</row>
    <row r="204" customFormat="false" ht="12.75" hidden="false" customHeight="true" outlineLevel="0" collapsed="false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</row>
    <row r="205" customFormat="false" ht="12.75" hidden="false" customHeight="true" outlineLevel="0" collapsed="false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customFormat="false" ht="12.75" hidden="false" customHeight="true" outlineLevel="0" collapsed="false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</row>
    <row r="207" customFormat="false" ht="12.75" hidden="false" customHeight="true" outlineLevel="0" collapsed="false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customFormat="false" ht="12.75" hidden="false" customHeight="true" outlineLevel="0" collapsed="false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</row>
    <row r="209" customFormat="false" ht="12.75" hidden="false" customHeight="true" outlineLevel="0" collapsed="false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</row>
    <row r="210" customFormat="false" ht="12.75" hidden="false" customHeight="true" outlineLevel="0" collapsed="false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</row>
    <row r="211" customFormat="false" ht="12.75" hidden="false" customHeight="true" outlineLevel="0" collapsed="false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</row>
    <row r="212" customFormat="false" ht="12.75" hidden="false" customHeight="true" outlineLevel="0" collapsed="false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customFormat="false" ht="12.75" hidden="false" customHeight="true" outlineLevel="0" collapsed="false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</row>
    <row r="214" customFormat="false" ht="12.75" hidden="false" customHeight="true" outlineLevel="0" collapsed="false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</row>
    <row r="215" customFormat="false" ht="12.75" hidden="false" customHeight="true" outlineLevel="0" collapsed="false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</row>
    <row r="216" customFormat="false" ht="12.75" hidden="false" customHeight="true" outlineLevel="0" collapsed="false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</row>
    <row r="217" customFormat="false" ht="12.75" hidden="false" customHeight="true" outlineLevel="0" collapsed="false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</row>
    <row r="218" customFormat="false" ht="12.75" hidden="false" customHeight="true" outlineLevel="0" collapsed="false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</row>
    <row r="219" customFormat="false" ht="12.75" hidden="false" customHeight="true" outlineLevel="0" collapsed="false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</row>
    <row r="220" customFormat="false" ht="12.75" hidden="false" customHeight="true" outlineLevel="0" collapsed="false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</row>
    <row r="221" customFormat="false" ht="12.75" hidden="false" customHeight="true" outlineLevel="0" collapsed="false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</row>
    <row r="222" customFormat="false" ht="12.75" hidden="false" customHeight="true" outlineLevel="0" collapsed="false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</row>
    <row r="223" customFormat="false" ht="12.75" hidden="false" customHeight="true" outlineLevel="0" collapsed="false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</row>
    <row r="224" customFormat="false" ht="12.75" hidden="false" customHeight="true" outlineLevel="0" collapsed="false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</row>
    <row r="225" customFormat="false" ht="12.75" hidden="false" customHeight="true" outlineLevel="0" collapsed="false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</row>
    <row r="226" customFormat="false" ht="12.75" hidden="false" customHeight="true" outlineLevel="0" collapsed="false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</row>
    <row r="227" customFormat="false" ht="12.75" hidden="false" customHeight="true" outlineLevel="0" collapsed="false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</row>
    <row r="228" customFormat="false" ht="12.75" hidden="false" customHeight="true" outlineLevel="0" collapsed="false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</row>
    <row r="229" customFormat="false" ht="12.75" hidden="false" customHeight="true" outlineLevel="0" collapsed="false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</row>
    <row r="230" customFormat="false" ht="12.75" hidden="false" customHeight="true" outlineLevel="0" collapsed="false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</row>
    <row r="231" customFormat="false" ht="12.75" hidden="false" customHeight="true" outlineLevel="0" collapsed="false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</row>
    <row r="232" customFormat="false" ht="12.75" hidden="false" customHeight="true" outlineLevel="0" collapsed="false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</row>
    <row r="233" customFormat="false" ht="12.75" hidden="false" customHeight="true" outlineLevel="0" collapsed="false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</row>
    <row r="234" customFormat="false" ht="12.75" hidden="false" customHeight="true" outlineLevel="0" collapsed="false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</row>
    <row r="235" customFormat="false" ht="12.75" hidden="false" customHeight="true" outlineLevel="0" collapsed="false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</row>
    <row r="236" customFormat="false" ht="12.75" hidden="false" customHeight="true" outlineLevel="0" collapsed="false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</row>
    <row r="237" customFormat="false" ht="12.75" hidden="false" customHeight="true" outlineLevel="0" collapsed="false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</row>
    <row r="238" customFormat="false" ht="12.75" hidden="false" customHeight="true" outlineLevel="0" collapsed="false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</row>
    <row r="239" customFormat="false" ht="12.75" hidden="false" customHeight="true" outlineLevel="0" collapsed="false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</row>
    <row r="240" customFormat="false" ht="12.75" hidden="false" customHeight="true" outlineLevel="0" collapsed="false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</row>
    <row r="241" customFormat="false" ht="12.75" hidden="false" customHeight="true" outlineLevel="0" collapsed="false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</row>
    <row r="242" customFormat="false" ht="12.75" hidden="false" customHeight="true" outlineLevel="0" collapsed="false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</row>
    <row r="243" customFormat="false" ht="12.75" hidden="false" customHeight="true" outlineLevel="0" collapsed="false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</row>
    <row r="244" customFormat="false" ht="12.75" hidden="false" customHeight="true" outlineLevel="0" collapsed="false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</row>
    <row r="245" customFormat="false" ht="12.75" hidden="false" customHeight="true" outlineLevel="0" collapsed="false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</row>
    <row r="246" customFormat="false" ht="12.75" hidden="false" customHeight="true" outlineLevel="0" collapsed="false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</row>
    <row r="247" customFormat="false" ht="12.75" hidden="false" customHeight="true" outlineLevel="0" collapsed="false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</row>
    <row r="248" customFormat="false" ht="12.75" hidden="false" customHeight="true" outlineLevel="0" collapsed="false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</row>
    <row r="249" customFormat="false" ht="12.75" hidden="false" customHeight="true" outlineLevel="0" collapsed="false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</row>
    <row r="250" customFormat="false" ht="12.75" hidden="false" customHeight="true" outlineLevel="0" collapsed="false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</row>
    <row r="251" customFormat="false" ht="12.75" hidden="false" customHeight="true" outlineLevel="0" collapsed="false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</row>
    <row r="252" customFormat="false" ht="12.75" hidden="false" customHeight="true" outlineLevel="0" collapsed="false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</row>
    <row r="253" customFormat="false" ht="12.75" hidden="false" customHeight="true" outlineLevel="0" collapsed="false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</row>
    <row r="254" customFormat="false" ht="12.75" hidden="false" customHeight="true" outlineLevel="0" collapsed="false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</row>
    <row r="255" customFormat="false" ht="12.75" hidden="false" customHeight="true" outlineLevel="0" collapsed="false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</row>
    <row r="256" customFormat="false" ht="12.75" hidden="false" customHeight="true" outlineLevel="0" collapsed="false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</row>
    <row r="257" customFormat="false" ht="12.75" hidden="false" customHeight="true" outlineLevel="0" collapsed="false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</row>
    <row r="258" customFormat="false" ht="12.75" hidden="false" customHeight="true" outlineLevel="0" collapsed="false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</row>
    <row r="259" customFormat="false" ht="12.75" hidden="false" customHeight="true" outlineLevel="0" collapsed="false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</row>
    <row r="260" customFormat="false" ht="12.75" hidden="false" customHeight="true" outlineLevel="0" collapsed="false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</row>
    <row r="261" customFormat="false" ht="12.75" hidden="false" customHeight="true" outlineLevel="0" collapsed="false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</row>
    <row r="262" customFormat="false" ht="12.75" hidden="false" customHeight="true" outlineLevel="0" collapsed="false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</row>
    <row r="263" customFormat="false" ht="12.75" hidden="false" customHeight="true" outlineLevel="0" collapsed="false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</row>
    <row r="264" customFormat="false" ht="12.75" hidden="false" customHeight="true" outlineLevel="0" collapsed="false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</row>
    <row r="265" customFormat="false" ht="12.75" hidden="false" customHeight="true" outlineLevel="0" collapsed="false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</row>
    <row r="266" customFormat="false" ht="12.75" hidden="false" customHeight="true" outlineLevel="0" collapsed="false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</row>
    <row r="267" customFormat="false" ht="12.75" hidden="false" customHeight="true" outlineLevel="0" collapsed="false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</row>
    <row r="268" customFormat="false" ht="12.75" hidden="false" customHeight="true" outlineLevel="0" collapsed="false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</row>
    <row r="269" customFormat="false" ht="12.75" hidden="false" customHeight="true" outlineLevel="0" collapsed="false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</row>
    <row r="270" customFormat="false" ht="12.75" hidden="false" customHeight="true" outlineLevel="0" collapsed="false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</row>
    <row r="271" customFormat="false" ht="12.75" hidden="false" customHeight="true" outlineLevel="0" collapsed="false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</row>
    <row r="272" customFormat="false" ht="12.75" hidden="false" customHeight="true" outlineLevel="0" collapsed="false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</row>
    <row r="273" customFormat="false" ht="12.75" hidden="false" customHeight="true" outlineLevel="0" collapsed="false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</row>
    <row r="274" customFormat="false" ht="12.75" hidden="false" customHeight="true" outlineLevel="0" collapsed="false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</row>
    <row r="275" customFormat="false" ht="12.75" hidden="false" customHeight="true" outlineLevel="0" collapsed="false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</row>
    <row r="276" customFormat="false" ht="12.75" hidden="false" customHeight="true" outlineLevel="0" collapsed="false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</row>
    <row r="277" customFormat="false" ht="12.75" hidden="false" customHeight="true" outlineLevel="0" collapsed="false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</row>
    <row r="278" customFormat="false" ht="12.75" hidden="false" customHeight="true" outlineLevel="0" collapsed="false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</row>
    <row r="279" customFormat="false" ht="12.75" hidden="false" customHeight="true" outlineLevel="0" collapsed="false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</row>
    <row r="280" customFormat="false" ht="12.75" hidden="false" customHeight="true" outlineLevel="0" collapsed="false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</row>
    <row r="281" customFormat="false" ht="12.75" hidden="false" customHeight="true" outlineLevel="0" collapsed="false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</row>
    <row r="282" customFormat="false" ht="12.75" hidden="false" customHeight="true" outlineLevel="0" collapsed="false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</row>
    <row r="283" customFormat="false" ht="12.75" hidden="false" customHeight="true" outlineLevel="0" collapsed="false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</row>
    <row r="284" customFormat="false" ht="12.75" hidden="false" customHeight="true" outlineLevel="0" collapsed="false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</row>
    <row r="285" customFormat="false" ht="12.75" hidden="false" customHeight="true" outlineLevel="0" collapsed="false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</row>
    <row r="286" customFormat="false" ht="12.75" hidden="false" customHeight="true" outlineLevel="0" collapsed="false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</row>
    <row r="287" customFormat="false" ht="12.75" hidden="false" customHeight="true" outlineLevel="0" collapsed="false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</row>
    <row r="288" customFormat="false" ht="12.75" hidden="false" customHeight="true" outlineLevel="0" collapsed="false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</row>
    <row r="289" customFormat="false" ht="12.75" hidden="false" customHeight="true" outlineLevel="0" collapsed="false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</row>
    <row r="290" customFormat="false" ht="12.75" hidden="false" customHeight="true" outlineLevel="0" collapsed="false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</row>
    <row r="291" customFormat="false" ht="12.75" hidden="false" customHeight="true" outlineLevel="0" collapsed="false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</row>
    <row r="292" customFormat="false" ht="12.75" hidden="false" customHeight="true" outlineLevel="0" collapsed="false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</row>
    <row r="293" customFormat="false" ht="12.75" hidden="false" customHeight="true" outlineLevel="0" collapsed="false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</row>
    <row r="294" customFormat="false" ht="12.75" hidden="false" customHeight="true" outlineLevel="0" collapsed="false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</row>
    <row r="295" customFormat="false" ht="12.75" hidden="false" customHeight="true" outlineLevel="0" collapsed="false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</row>
    <row r="296" customFormat="false" ht="12.75" hidden="false" customHeight="true" outlineLevel="0" collapsed="false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</row>
    <row r="297" customFormat="false" ht="12.75" hidden="false" customHeight="true" outlineLevel="0" collapsed="false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</row>
    <row r="298" customFormat="false" ht="12.75" hidden="false" customHeight="true" outlineLevel="0" collapsed="false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</row>
    <row r="299" customFormat="false" ht="12.75" hidden="false" customHeight="true" outlineLevel="0" collapsed="false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</row>
    <row r="300" customFormat="false" ht="12.75" hidden="false" customHeight="true" outlineLevel="0" collapsed="false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</row>
    <row r="301" customFormat="false" ht="12.75" hidden="false" customHeight="true" outlineLevel="0" collapsed="false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</row>
    <row r="302" customFormat="false" ht="12.75" hidden="false" customHeight="true" outlineLevel="0" collapsed="false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</row>
    <row r="303" customFormat="false" ht="12.75" hidden="false" customHeight="true" outlineLevel="0" collapsed="false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</row>
    <row r="304" customFormat="false" ht="12.75" hidden="false" customHeight="true" outlineLevel="0" collapsed="false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</row>
    <row r="305" customFormat="false" ht="12.75" hidden="false" customHeight="true" outlineLevel="0" collapsed="false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</row>
    <row r="306" customFormat="false" ht="12.75" hidden="false" customHeight="true" outlineLevel="0" collapsed="false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</row>
    <row r="307" customFormat="false" ht="12.75" hidden="false" customHeight="true" outlineLevel="0" collapsed="false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</row>
    <row r="308" customFormat="false" ht="12.75" hidden="false" customHeight="true" outlineLevel="0" collapsed="false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</row>
    <row r="309" customFormat="false" ht="12.75" hidden="false" customHeight="true" outlineLevel="0" collapsed="false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</row>
    <row r="310" customFormat="false" ht="12.75" hidden="false" customHeight="true" outlineLevel="0" collapsed="false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</row>
    <row r="311" customFormat="false" ht="12.75" hidden="false" customHeight="true" outlineLevel="0" collapsed="false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</row>
    <row r="312" customFormat="false" ht="12.75" hidden="false" customHeight="true" outlineLevel="0" collapsed="false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</row>
    <row r="313" customFormat="false" ht="12.75" hidden="false" customHeight="true" outlineLevel="0" collapsed="false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</row>
    <row r="314" customFormat="false" ht="12.75" hidden="false" customHeight="true" outlineLevel="0" collapsed="false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</row>
    <row r="315" customFormat="false" ht="12.75" hidden="false" customHeight="true" outlineLevel="0" collapsed="false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</row>
    <row r="316" customFormat="false" ht="12.75" hidden="false" customHeight="true" outlineLevel="0" collapsed="false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</row>
    <row r="317" customFormat="false" ht="12.75" hidden="false" customHeight="true" outlineLevel="0" collapsed="false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</row>
    <row r="318" customFormat="false" ht="12.75" hidden="false" customHeight="true" outlineLevel="0" collapsed="false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</row>
    <row r="319" customFormat="false" ht="12.75" hidden="false" customHeight="true" outlineLevel="0" collapsed="false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</row>
    <row r="320" customFormat="false" ht="12.75" hidden="false" customHeight="true" outlineLevel="0" collapsed="false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</row>
    <row r="321" customFormat="false" ht="12.75" hidden="false" customHeight="true" outlineLevel="0" collapsed="false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</row>
    <row r="322" customFormat="false" ht="12.75" hidden="false" customHeight="true" outlineLevel="0" collapsed="false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</row>
    <row r="323" customFormat="false" ht="12.75" hidden="false" customHeight="true" outlineLevel="0" collapsed="false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</row>
    <row r="324" customFormat="false" ht="12.75" hidden="false" customHeight="true" outlineLevel="0" collapsed="false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</row>
    <row r="325" customFormat="false" ht="12.75" hidden="false" customHeight="true" outlineLevel="0" collapsed="false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</row>
    <row r="326" customFormat="false" ht="12.75" hidden="false" customHeight="true" outlineLevel="0" collapsed="false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</row>
    <row r="327" customFormat="false" ht="12.75" hidden="false" customHeight="true" outlineLevel="0" collapsed="false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</row>
    <row r="328" customFormat="false" ht="12.75" hidden="false" customHeight="true" outlineLevel="0" collapsed="false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</row>
    <row r="329" customFormat="false" ht="12.75" hidden="false" customHeight="true" outlineLevel="0" collapsed="false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</row>
    <row r="330" customFormat="false" ht="12.75" hidden="false" customHeight="true" outlineLevel="0" collapsed="false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</row>
    <row r="331" customFormat="false" ht="12.75" hidden="false" customHeight="true" outlineLevel="0" collapsed="false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</row>
    <row r="332" customFormat="false" ht="12.75" hidden="false" customHeight="true" outlineLevel="0" collapsed="false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</row>
    <row r="333" customFormat="false" ht="12.75" hidden="false" customHeight="true" outlineLevel="0" collapsed="false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</row>
    <row r="334" customFormat="false" ht="12.75" hidden="false" customHeight="true" outlineLevel="0" collapsed="false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</row>
    <row r="335" customFormat="false" ht="12.75" hidden="false" customHeight="true" outlineLevel="0" collapsed="false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</row>
    <row r="336" customFormat="false" ht="12.75" hidden="false" customHeight="true" outlineLevel="0" collapsed="false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</row>
    <row r="337" customFormat="false" ht="12.75" hidden="false" customHeight="true" outlineLevel="0" collapsed="false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</row>
    <row r="338" customFormat="false" ht="12.75" hidden="false" customHeight="true" outlineLevel="0" collapsed="false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</row>
    <row r="339" customFormat="false" ht="12.75" hidden="false" customHeight="true" outlineLevel="0" collapsed="false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</row>
    <row r="340" customFormat="false" ht="12.75" hidden="false" customHeight="true" outlineLevel="0" collapsed="false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</row>
    <row r="341" customFormat="false" ht="12.75" hidden="false" customHeight="true" outlineLevel="0" collapsed="false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</row>
    <row r="342" customFormat="false" ht="12.75" hidden="false" customHeight="true" outlineLevel="0" collapsed="false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</row>
    <row r="343" customFormat="false" ht="12.75" hidden="false" customHeight="true" outlineLevel="0" collapsed="false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</row>
    <row r="344" customFormat="false" ht="12.75" hidden="false" customHeight="true" outlineLevel="0" collapsed="false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</row>
    <row r="345" customFormat="false" ht="12.75" hidden="false" customHeight="true" outlineLevel="0" collapsed="false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</row>
    <row r="346" customFormat="false" ht="12.75" hidden="false" customHeight="true" outlineLevel="0" collapsed="false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</row>
    <row r="347" customFormat="false" ht="12.75" hidden="false" customHeight="true" outlineLevel="0" collapsed="false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</row>
    <row r="348" customFormat="false" ht="12.75" hidden="false" customHeight="true" outlineLevel="0" collapsed="false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</row>
    <row r="349" customFormat="false" ht="12.75" hidden="false" customHeight="true" outlineLevel="0" collapsed="false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</row>
    <row r="350" customFormat="false" ht="12.75" hidden="false" customHeight="true" outlineLevel="0" collapsed="false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</row>
    <row r="351" customFormat="false" ht="12.75" hidden="false" customHeight="true" outlineLevel="0" collapsed="false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</row>
    <row r="352" customFormat="false" ht="12.75" hidden="false" customHeight="true" outlineLevel="0" collapsed="false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</row>
    <row r="353" customFormat="false" ht="12.75" hidden="false" customHeight="true" outlineLevel="0" collapsed="false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</row>
    <row r="354" customFormat="false" ht="12.75" hidden="false" customHeight="true" outlineLevel="0" collapsed="false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</row>
    <row r="355" customFormat="false" ht="12.75" hidden="false" customHeight="true" outlineLevel="0" collapsed="false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</row>
    <row r="356" customFormat="false" ht="12.75" hidden="false" customHeight="true" outlineLevel="0" collapsed="false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</row>
    <row r="357" customFormat="false" ht="12.75" hidden="false" customHeight="true" outlineLevel="0" collapsed="false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</row>
    <row r="358" customFormat="false" ht="12.75" hidden="false" customHeight="true" outlineLevel="0" collapsed="false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</row>
    <row r="359" customFormat="false" ht="12.75" hidden="false" customHeight="true" outlineLevel="0" collapsed="false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</row>
    <row r="360" customFormat="false" ht="12.75" hidden="false" customHeight="true" outlineLevel="0" collapsed="false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</row>
    <row r="361" customFormat="false" ht="12.75" hidden="false" customHeight="true" outlineLevel="0" collapsed="false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</row>
    <row r="362" customFormat="false" ht="12.75" hidden="false" customHeight="true" outlineLevel="0" collapsed="false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</row>
    <row r="363" customFormat="false" ht="12.75" hidden="false" customHeight="true" outlineLevel="0" collapsed="false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</row>
    <row r="364" customFormat="false" ht="12.75" hidden="false" customHeight="true" outlineLevel="0" collapsed="false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</row>
    <row r="365" customFormat="false" ht="12.75" hidden="false" customHeight="true" outlineLevel="0" collapsed="false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</row>
    <row r="366" customFormat="false" ht="12.75" hidden="false" customHeight="true" outlineLevel="0" collapsed="false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</row>
    <row r="367" customFormat="false" ht="12.75" hidden="false" customHeight="true" outlineLevel="0" collapsed="false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</row>
    <row r="368" customFormat="false" ht="12.75" hidden="false" customHeight="true" outlineLevel="0" collapsed="false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</row>
    <row r="369" customFormat="false" ht="12.75" hidden="false" customHeight="true" outlineLevel="0" collapsed="false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</row>
    <row r="370" customFormat="false" ht="12.75" hidden="false" customHeight="true" outlineLevel="0" collapsed="false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</row>
    <row r="371" customFormat="false" ht="12.75" hidden="false" customHeight="true" outlineLevel="0" collapsed="false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</row>
    <row r="372" customFormat="false" ht="12.75" hidden="false" customHeight="true" outlineLevel="0" collapsed="false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</row>
    <row r="373" customFormat="false" ht="12.75" hidden="false" customHeight="true" outlineLevel="0" collapsed="false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</row>
    <row r="374" customFormat="false" ht="12.75" hidden="false" customHeight="true" outlineLevel="0" collapsed="false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</row>
    <row r="375" customFormat="false" ht="12.75" hidden="false" customHeight="true" outlineLevel="0" collapsed="false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</row>
    <row r="376" customFormat="false" ht="12.75" hidden="false" customHeight="true" outlineLevel="0" collapsed="false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</row>
    <row r="377" customFormat="false" ht="12.75" hidden="false" customHeight="true" outlineLevel="0" collapsed="false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</row>
    <row r="378" customFormat="false" ht="12.75" hidden="false" customHeight="true" outlineLevel="0" collapsed="false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</row>
    <row r="379" customFormat="false" ht="12.75" hidden="false" customHeight="true" outlineLevel="0" collapsed="false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</row>
    <row r="380" customFormat="false" ht="12.75" hidden="false" customHeight="true" outlineLevel="0" collapsed="false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</row>
    <row r="381" customFormat="false" ht="12.75" hidden="false" customHeight="true" outlineLevel="0" collapsed="false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</row>
    <row r="382" customFormat="false" ht="12.75" hidden="false" customHeight="true" outlineLevel="0" collapsed="false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</row>
    <row r="383" customFormat="false" ht="12.75" hidden="false" customHeight="true" outlineLevel="0" collapsed="false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</row>
    <row r="384" customFormat="false" ht="12.75" hidden="false" customHeight="true" outlineLevel="0" collapsed="false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</row>
    <row r="385" customFormat="false" ht="12.75" hidden="false" customHeight="true" outlineLevel="0" collapsed="false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</row>
    <row r="386" customFormat="false" ht="12.75" hidden="false" customHeight="true" outlineLevel="0" collapsed="false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</row>
    <row r="387" customFormat="false" ht="12.75" hidden="false" customHeight="true" outlineLevel="0" collapsed="false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</row>
    <row r="388" customFormat="false" ht="12.75" hidden="false" customHeight="true" outlineLevel="0" collapsed="false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</row>
    <row r="389" customFormat="false" ht="12.75" hidden="false" customHeight="true" outlineLevel="0" collapsed="false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</row>
    <row r="390" customFormat="false" ht="12.75" hidden="false" customHeight="true" outlineLevel="0" collapsed="false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</row>
    <row r="391" customFormat="false" ht="12.75" hidden="false" customHeight="true" outlineLevel="0" collapsed="false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</row>
    <row r="392" customFormat="false" ht="12.75" hidden="false" customHeight="true" outlineLevel="0" collapsed="false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</row>
    <row r="393" customFormat="false" ht="12.75" hidden="false" customHeight="true" outlineLevel="0" collapsed="false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</row>
    <row r="394" customFormat="false" ht="12.75" hidden="false" customHeight="true" outlineLevel="0" collapsed="false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</row>
    <row r="395" customFormat="false" ht="12.75" hidden="false" customHeight="true" outlineLevel="0" collapsed="false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</row>
    <row r="396" customFormat="false" ht="12.75" hidden="false" customHeight="true" outlineLevel="0" collapsed="false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</row>
    <row r="397" customFormat="false" ht="12.75" hidden="false" customHeight="true" outlineLevel="0" collapsed="false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</row>
    <row r="398" customFormat="false" ht="12.75" hidden="false" customHeight="true" outlineLevel="0" collapsed="false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</row>
    <row r="399" customFormat="false" ht="12.75" hidden="false" customHeight="true" outlineLevel="0" collapsed="false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</row>
    <row r="400" customFormat="false" ht="12.75" hidden="false" customHeight="true" outlineLevel="0" collapsed="false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</row>
    <row r="401" customFormat="false" ht="12.75" hidden="false" customHeight="true" outlineLevel="0" collapsed="false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</row>
    <row r="402" customFormat="false" ht="12.75" hidden="false" customHeight="true" outlineLevel="0" collapsed="false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</row>
    <row r="403" customFormat="false" ht="12.75" hidden="false" customHeight="true" outlineLevel="0" collapsed="false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</row>
    <row r="404" customFormat="false" ht="12.75" hidden="false" customHeight="true" outlineLevel="0" collapsed="false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</row>
    <row r="405" customFormat="false" ht="12.75" hidden="false" customHeight="true" outlineLevel="0" collapsed="false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</row>
    <row r="406" customFormat="false" ht="12.75" hidden="false" customHeight="true" outlineLevel="0" collapsed="false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</row>
    <row r="407" customFormat="false" ht="12.75" hidden="false" customHeight="true" outlineLevel="0" collapsed="false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</row>
    <row r="408" customFormat="false" ht="12.75" hidden="false" customHeight="true" outlineLevel="0" collapsed="false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</row>
    <row r="409" customFormat="false" ht="12.75" hidden="false" customHeight="true" outlineLevel="0" collapsed="false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</row>
    <row r="410" customFormat="false" ht="12.75" hidden="false" customHeight="true" outlineLevel="0" collapsed="false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</row>
    <row r="411" customFormat="false" ht="12.75" hidden="false" customHeight="true" outlineLevel="0" collapsed="false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</row>
    <row r="412" customFormat="false" ht="12.75" hidden="false" customHeight="true" outlineLevel="0" collapsed="false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</row>
    <row r="413" customFormat="false" ht="12.75" hidden="false" customHeight="true" outlineLevel="0" collapsed="false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</row>
    <row r="414" customFormat="false" ht="12.75" hidden="false" customHeight="true" outlineLevel="0" collapsed="false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</row>
    <row r="415" customFormat="false" ht="12.75" hidden="false" customHeight="true" outlineLevel="0" collapsed="false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</row>
    <row r="416" customFormat="false" ht="12.75" hidden="false" customHeight="true" outlineLevel="0" collapsed="false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</row>
    <row r="417" customFormat="false" ht="12.75" hidden="false" customHeight="true" outlineLevel="0" collapsed="false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</row>
    <row r="418" customFormat="false" ht="12.75" hidden="false" customHeight="true" outlineLevel="0" collapsed="false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</row>
    <row r="419" customFormat="false" ht="12.75" hidden="false" customHeight="true" outlineLevel="0" collapsed="false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</row>
    <row r="420" customFormat="false" ht="12.75" hidden="false" customHeight="true" outlineLevel="0" collapsed="false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</row>
    <row r="421" customFormat="false" ht="12.75" hidden="false" customHeight="true" outlineLevel="0" collapsed="false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</row>
    <row r="422" customFormat="false" ht="12.75" hidden="false" customHeight="true" outlineLevel="0" collapsed="false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</row>
    <row r="423" customFormat="false" ht="12.75" hidden="false" customHeight="true" outlineLevel="0" collapsed="false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</row>
    <row r="424" customFormat="false" ht="12.75" hidden="false" customHeight="true" outlineLevel="0" collapsed="false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</row>
    <row r="425" customFormat="false" ht="12.75" hidden="false" customHeight="true" outlineLevel="0" collapsed="false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</row>
    <row r="426" customFormat="false" ht="12.75" hidden="false" customHeight="true" outlineLevel="0" collapsed="false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</row>
    <row r="427" customFormat="false" ht="12.75" hidden="false" customHeight="true" outlineLevel="0" collapsed="false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</row>
    <row r="428" customFormat="false" ht="12.75" hidden="false" customHeight="true" outlineLevel="0" collapsed="false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</row>
    <row r="429" customFormat="false" ht="12.75" hidden="false" customHeight="true" outlineLevel="0" collapsed="false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</row>
    <row r="430" customFormat="false" ht="12.75" hidden="false" customHeight="true" outlineLevel="0" collapsed="false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</row>
    <row r="431" customFormat="false" ht="12.75" hidden="false" customHeight="true" outlineLevel="0" collapsed="false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</row>
    <row r="432" customFormat="false" ht="12.75" hidden="false" customHeight="true" outlineLevel="0" collapsed="false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</row>
    <row r="433" customFormat="false" ht="12.75" hidden="false" customHeight="true" outlineLevel="0" collapsed="false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</row>
    <row r="434" customFormat="false" ht="12.75" hidden="false" customHeight="true" outlineLevel="0" collapsed="false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</row>
    <row r="435" customFormat="false" ht="12.75" hidden="false" customHeight="true" outlineLevel="0" collapsed="false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</row>
    <row r="436" customFormat="false" ht="12.75" hidden="false" customHeight="true" outlineLevel="0" collapsed="false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</row>
    <row r="437" customFormat="false" ht="12.75" hidden="false" customHeight="true" outlineLevel="0" collapsed="false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</row>
    <row r="438" customFormat="false" ht="12.75" hidden="false" customHeight="true" outlineLevel="0" collapsed="false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</row>
    <row r="439" customFormat="false" ht="12.75" hidden="false" customHeight="true" outlineLevel="0" collapsed="false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</row>
    <row r="440" customFormat="false" ht="12.75" hidden="false" customHeight="true" outlineLevel="0" collapsed="false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</row>
    <row r="441" customFormat="false" ht="12.75" hidden="false" customHeight="true" outlineLevel="0" collapsed="false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</row>
    <row r="442" customFormat="false" ht="12.75" hidden="false" customHeight="true" outlineLevel="0" collapsed="false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</row>
    <row r="443" customFormat="false" ht="12.75" hidden="false" customHeight="true" outlineLevel="0" collapsed="false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</row>
    <row r="444" customFormat="false" ht="12.75" hidden="false" customHeight="true" outlineLevel="0" collapsed="false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</row>
    <row r="445" customFormat="false" ht="12.75" hidden="false" customHeight="true" outlineLevel="0" collapsed="false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</row>
    <row r="446" customFormat="false" ht="12.75" hidden="false" customHeight="true" outlineLevel="0" collapsed="false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</row>
    <row r="447" customFormat="false" ht="12.75" hidden="false" customHeight="true" outlineLevel="0" collapsed="false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</row>
    <row r="448" customFormat="false" ht="12.75" hidden="false" customHeight="true" outlineLevel="0" collapsed="false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</row>
    <row r="449" customFormat="false" ht="12.75" hidden="false" customHeight="true" outlineLevel="0" collapsed="false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</row>
    <row r="450" customFormat="false" ht="12.75" hidden="false" customHeight="true" outlineLevel="0" collapsed="false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</row>
    <row r="451" customFormat="false" ht="12.75" hidden="false" customHeight="true" outlineLevel="0" collapsed="false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</row>
    <row r="452" customFormat="false" ht="12.75" hidden="false" customHeight="true" outlineLevel="0" collapsed="false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</row>
    <row r="453" customFormat="false" ht="12.75" hidden="false" customHeight="true" outlineLevel="0" collapsed="false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</row>
    <row r="454" customFormat="false" ht="12.75" hidden="false" customHeight="true" outlineLevel="0" collapsed="false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</row>
    <row r="455" customFormat="false" ht="12.75" hidden="false" customHeight="true" outlineLevel="0" collapsed="false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</row>
    <row r="456" customFormat="false" ht="12.75" hidden="false" customHeight="true" outlineLevel="0" collapsed="false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</row>
    <row r="457" customFormat="false" ht="12.75" hidden="false" customHeight="true" outlineLevel="0" collapsed="false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</row>
    <row r="458" customFormat="false" ht="12.75" hidden="false" customHeight="true" outlineLevel="0" collapsed="false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</row>
    <row r="459" customFormat="false" ht="12.75" hidden="false" customHeight="true" outlineLevel="0" collapsed="false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</row>
    <row r="460" customFormat="false" ht="12.75" hidden="false" customHeight="true" outlineLevel="0" collapsed="false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</row>
    <row r="461" customFormat="false" ht="12.75" hidden="false" customHeight="true" outlineLevel="0" collapsed="false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</row>
    <row r="462" customFormat="false" ht="12.75" hidden="false" customHeight="true" outlineLevel="0" collapsed="false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</row>
    <row r="463" customFormat="false" ht="12.75" hidden="false" customHeight="true" outlineLevel="0" collapsed="false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</row>
    <row r="464" customFormat="false" ht="12.75" hidden="false" customHeight="true" outlineLevel="0" collapsed="false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</row>
    <row r="465" customFormat="false" ht="12.75" hidden="false" customHeight="true" outlineLevel="0" collapsed="false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</row>
    <row r="466" customFormat="false" ht="12.75" hidden="false" customHeight="true" outlineLevel="0" collapsed="false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</row>
    <row r="467" customFormat="false" ht="12.75" hidden="false" customHeight="true" outlineLevel="0" collapsed="false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</row>
    <row r="468" customFormat="false" ht="12.75" hidden="false" customHeight="true" outlineLevel="0" collapsed="false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</row>
    <row r="469" customFormat="false" ht="12.75" hidden="false" customHeight="true" outlineLevel="0" collapsed="false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</row>
    <row r="470" customFormat="false" ht="12.75" hidden="false" customHeight="true" outlineLevel="0" collapsed="false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</row>
    <row r="471" customFormat="false" ht="12.75" hidden="false" customHeight="true" outlineLevel="0" collapsed="false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</row>
    <row r="472" customFormat="false" ht="12.75" hidden="false" customHeight="true" outlineLevel="0" collapsed="false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</row>
    <row r="473" customFormat="false" ht="12.75" hidden="false" customHeight="true" outlineLevel="0" collapsed="false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</row>
    <row r="474" customFormat="false" ht="12.75" hidden="false" customHeight="true" outlineLevel="0" collapsed="false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</row>
    <row r="475" customFormat="false" ht="12.75" hidden="false" customHeight="true" outlineLevel="0" collapsed="false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</row>
    <row r="476" customFormat="false" ht="12.75" hidden="false" customHeight="true" outlineLevel="0" collapsed="false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</row>
    <row r="477" customFormat="false" ht="12.75" hidden="false" customHeight="true" outlineLevel="0" collapsed="false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</row>
    <row r="478" customFormat="false" ht="12.75" hidden="false" customHeight="true" outlineLevel="0" collapsed="false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</row>
    <row r="479" customFormat="false" ht="12.75" hidden="false" customHeight="true" outlineLevel="0" collapsed="false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</row>
    <row r="480" customFormat="false" ht="12.75" hidden="false" customHeight="true" outlineLevel="0" collapsed="false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</row>
    <row r="481" customFormat="false" ht="12.75" hidden="false" customHeight="true" outlineLevel="0" collapsed="false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</row>
    <row r="482" customFormat="false" ht="12.75" hidden="false" customHeight="true" outlineLevel="0" collapsed="false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</row>
    <row r="483" customFormat="false" ht="12.75" hidden="false" customHeight="true" outlineLevel="0" collapsed="false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</row>
    <row r="484" customFormat="false" ht="12.75" hidden="false" customHeight="true" outlineLevel="0" collapsed="false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</row>
    <row r="485" customFormat="false" ht="12.75" hidden="false" customHeight="true" outlineLevel="0" collapsed="false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</row>
    <row r="486" customFormat="false" ht="12.75" hidden="false" customHeight="true" outlineLevel="0" collapsed="false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</row>
    <row r="487" customFormat="false" ht="12.75" hidden="false" customHeight="true" outlineLevel="0" collapsed="false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</row>
    <row r="488" customFormat="false" ht="12.75" hidden="false" customHeight="true" outlineLevel="0" collapsed="false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</row>
    <row r="489" customFormat="false" ht="12.75" hidden="false" customHeight="true" outlineLevel="0" collapsed="false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</row>
    <row r="490" customFormat="false" ht="12.75" hidden="false" customHeight="true" outlineLevel="0" collapsed="false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</row>
    <row r="491" customFormat="false" ht="12.75" hidden="false" customHeight="true" outlineLevel="0" collapsed="false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</row>
    <row r="492" customFormat="false" ht="12.75" hidden="false" customHeight="true" outlineLevel="0" collapsed="false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</row>
    <row r="493" customFormat="false" ht="12.75" hidden="false" customHeight="true" outlineLevel="0" collapsed="false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</row>
    <row r="494" customFormat="false" ht="12.75" hidden="false" customHeight="true" outlineLevel="0" collapsed="false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</row>
    <row r="495" customFormat="false" ht="12.75" hidden="false" customHeight="true" outlineLevel="0" collapsed="false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</row>
    <row r="496" customFormat="false" ht="12.75" hidden="false" customHeight="true" outlineLevel="0" collapsed="false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</row>
    <row r="497" customFormat="false" ht="12.75" hidden="false" customHeight="true" outlineLevel="0" collapsed="false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</row>
    <row r="498" customFormat="false" ht="12.75" hidden="false" customHeight="true" outlineLevel="0" collapsed="false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</row>
    <row r="499" customFormat="false" ht="12.75" hidden="false" customHeight="true" outlineLevel="0" collapsed="false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</row>
    <row r="500" customFormat="false" ht="12.75" hidden="false" customHeight="true" outlineLevel="0" collapsed="false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</row>
    <row r="501" customFormat="false" ht="12.75" hidden="false" customHeight="true" outlineLevel="0" collapsed="false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</row>
    <row r="502" customFormat="false" ht="12.75" hidden="false" customHeight="true" outlineLevel="0" collapsed="false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</row>
    <row r="503" customFormat="false" ht="12.75" hidden="false" customHeight="true" outlineLevel="0" collapsed="false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</row>
    <row r="504" customFormat="false" ht="12.75" hidden="false" customHeight="true" outlineLevel="0" collapsed="false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</row>
    <row r="505" customFormat="false" ht="12.75" hidden="false" customHeight="true" outlineLevel="0" collapsed="false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</row>
    <row r="506" customFormat="false" ht="12.75" hidden="false" customHeight="true" outlineLevel="0" collapsed="false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</row>
    <row r="507" customFormat="false" ht="12.75" hidden="false" customHeight="true" outlineLevel="0" collapsed="false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</row>
    <row r="508" customFormat="false" ht="12.75" hidden="false" customHeight="true" outlineLevel="0" collapsed="false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</row>
    <row r="509" customFormat="false" ht="12.75" hidden="false" customHeight="true" outlineLevel="0" collapsed="false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</row>
    <row r="510" customFormat="false" ht="12.75" hidden="false" customHeight="true" outlineLevel="0" collapsed="false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</row>
    <row r="511" customFormat="false" ht="12.75" hidden="false" customHeight="true" outlineLevel="0" collapsed="false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</row>
    <row r="512" customFormat="false" ht="12.75" hidden="false" customHeight="true" outlineLevel="0" collapsed="false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</row>
    <row r="513" customFormat="false" ht="12.75" hidden="false" customHeight="true" outlineLevel="0" collapsed="false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</row>
    <row r="514" customFormat="false" ht="12.75" hidden="false" customHeight="true" outlineLevel="0" collapsed="false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</row>
    <row r="515" customFormat="false" ht="12.75" hidden="false" customHeight="true" outlineLevel="0" collapsed="false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</row>
    <row r="516" customFormat="false" ht="12.75" hidden="false" customHeight="true" outlineLevel="0" collapsed="false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</row>
    <row r="517" customFormat="false" ht="12.75" hidden="false" customHeight="true" outlineLevel="0" collapsed="false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</row>
    <row r="518" customFormat="false" ht="12.75" hidden="false" customHeight="true" outlineLevel="0" collapsed="false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</row>
    <row r="519" customFormat="false" ht="12.75" hidden="false" customHeight="true" outlineLevel="0" collapsed="false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</row>
    <row r="520" customFormat="false" ht="12.75" hidden="false" customHeight="true" outlineLevel="0" collapsed="false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</row>
    <row r="521" customFormat="false" ht="12.75" hidden="false" customHeight="true" outlineLevel="0" collapsed="false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</row>
    <row r="522" customFormat="false" ht="12.75" hidden="false" customHeight="true" outlineLevel="0" collapsed="false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</row>
    <row r="523" customFormat="false" ht="12.75" hidden="false" customHeight="true" outlineLevel="0" collapsed="false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</row>
    <row r="524" customFormat="false" ht="12.75" hidden="false" customHeight="true" outlineLevel="0" collapsed="false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</row>
    <row r="525" customFormat="false" ht="12.75" hidden="false" customHeight="true" outlineLevel="0" collapsed="false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</row>
    <row r="526" customFormat="false" ht="12.75" hidden="false" customHeight="true" outlineLevel="0" collapsed="false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</row>
    <row r="527" customFormat="false" ht="12.75" hidden="false" customHeight="true" outlineLevel="0" collapsed="false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</row>
    <row r="528" customFormat="false" ht="12.75" hidden="false" customHeight="true" outlineLevel="0" collapsed="false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</row>
    <row r="529" customFormat="false" ht="12.75" hidden="false" customHeight="true" outlineLevel="0" collapsed="false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</row>
    <row r="530" customFormat="false" ht="12.75" hidden="false" customHeight="true" outlineLevel="0" collapsed="false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</row>
    <row r="531" customFormat="false" ht="12.75" hidden="false" customHeight="true" outlineLevel="0" collapsed="false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</row>
    <row r="532" customFormat="false" ht="12.75" hidden="false" customHeight="true" outlineLevel="0" collapsed="false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</row>
    <row r="533" customFormat="false" ht="12.75" hidden="false" customHeight="true" outlineLevel="0" collapsed="false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</row>
    <row r="534" customFormat="false" ht="12.75" hidden="false" customHeight="true" outlineLevel="0" collapsed="false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</row>
    <row r="535" customFormat="false" ht="12.75" hidden="false" customHeight="true" outlineLevel="0" collapsed="false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</row>
    <row r="536" customFormat="false" ht="12.75" hidden="false" customHeight="true" outlineLevel="0" collapsed="false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</row>
    <row r="537" customFormat="false" ht="12.75" hidden="false" customHeight="true" outlineLevel="0" collapsed="false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</row>
    <row r="538" customFormat="false" ht="12.75" hidden="false" customHeight="true" outlineLevel="0" collapsed="false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</row>
    <row r="539" customFormat="false" ht="12.75" hidden="false" customHeight="true" outlineLevel="0" collapsed="false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</row>
    <row r="540" customFormat="false" ht="12.75" hidden="false" customHeight="true" outlineLevel="0" collapsed="false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</row>
    <row r="541" customFormat="false" ht="12.75" hidden="false" customHeight="true" outlineLevel="0" collapsed="false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</row>
    <row r="542" customFormat="false" ht="12.75" hidden="false" customHeight="true" outlineLevel="0" collapsed="false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</row>
    <row r="543" customFormat="false" ht="12.75" hidden="false" customHeight="true" outlineLevel="0" collapsed="false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</row>
    <row r="544" customFormat="false" ht="12.75" hidden="false" customHeight="true" outlineLevel="0" collapsed="false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</row>
    <row r="545" customFormat="false" ht="12.75" hidden="false" customHeight="true" outlineLevel="0" collapsed="false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</row>
    <row r="546" customFormat="false" ht="12.75" hidden="false" customHeight="true" outlineLevel="0" collapsed="false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</row>
    <row r="547" customFormat="false" ht="12.75" hidden="false" customHeight="true" outlineLevel="0" collapsed="false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</row>
    <row r="548" customFormat="false" ht="12.75" hidden="false" customHeight="true" outlineLevel="0" collapsed="false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</row>
    <row r="549" customFormat="false" ht="12.75" hidden="false" customHeight="true" outlineLevel="0" collapsed="false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</row>
    <row r="550" customFormat="false" ht="12.75" hidden="false" customHeight="true" outlineLevel="0" collapsed="false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</row>
    <row r="551" customFormat="false" ht="12.75" hidden="false" customHeight="true" outlineLevel="0" collapsed="false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</row>
    <row r="552" customFormat="false" ht="12.75" hidden="false" customHeight="true" outlineLevel="0" collapsed="false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</row>
    <row r="553" customFormat="false" ht="12.75" hidden="false" customHeight="true" outlineLevel="0" collapsed="false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</row>
    <row r="554" customFormat="false" ht="12.75" hidden="false" customHeight="true" outlineLevel="0" collapsed="false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</row>
    <row r="555" customFormat="false" ht="12.75" hidden="false" customHeight="true" outlineLevel="0" collapsed="false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</row>
    <row r="556" customFormat="false" ht="12.75" hidden="false" customHeight="true" outlineLevel="0" collapsed="false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</row>
    <row r="557" customFormat="false" ht="12.75" hidden="false" customHeight="true" outlineLevel="0" collapsed="false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</row>
    <row r="558" customFormat="false" ht="12.75" hidden="false" customHeight="true" outlineLevel="0" collapsed="false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</row>
    <row r="559" customFormat="false" ht="12.75" hidden="false" customHeight="true" outlineLevel="0" collapsed="false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</row>
    <row r="560" customFormat="false" ht="12.75" hidden="false" customHeight="true" outlineLevel="0" collapsed="false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</row>
    <row r="561" customFormat="false" ht="12.75" hidden="false" customHeight="true" outlineLevel="0" collapsed="false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</row>
    <row r="562" customFormat="false" ht="12.75" hidden="false" customHeight="true" outlineLevel="0" collapsed="false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</row>
    <row r="563" customFormat="false" ht="12.75" hidden="false" customHeight="true" outlineLevel="0" collapsed="false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</row>
    <row r="564" customFormat="false" ht="12.75" hidden="false" customHeight="true" outlineLevel="0" collapsed="false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</row>
    <row r="565" customFormat="false" ht="12.75" hidden="false" customHeight="true" outlineLevel="0" collapsed="false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</row>
    <row r="566" customFormat="false" ht="12.75" hidden="false" customHeight="true" outlineLevel="0" collapsed="false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</row>
    <row r="567" customFormat="false" ht="12.75" hidden="false" customHeight="true" outlineLevel="0" collapsed="false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</row>
    <row r="568" customFormat="false" ht="12.75" hidden="false" customHeight="true" outlineLevel="0" collapsed="false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</row>
    <row r="569" customFormat="false" ht="12.75" hidden="false" customHeight="true" outlineLevel="0" collapsed="false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</row>
    <row r="570" customFormat="false" ht="12.75" hidden="false" customHeight="true" outlineLevel="0" collapsed="false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</row>
    <row r="571" customFormat="false" ht="12.75" hidden="false" customHeight="true" outlineLevel="0" collapsed="false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</row>
    <row r="572" customFormat="false" ht="12.75" hidden="false" customHeight="true" outlineLevel="0" collapsed="false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</row>
    <row r="573" customFormat="false" ht="12.75" hidden="false" customHeight="true" outlineLevel="0" collapsed="false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</row>
    <row r="574" customFormat="false" ht="12.75" hidden="false" customHeight="true" outlineLevel="0" collapsed="false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</row>
    <row r="575" customFormat="false" ht="12.75" hidden="false" customHeight="true" outlineLevel="0" collapsed="false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</row>
    <row r="576" customFormat="false" ht="12.75" hidden="false" customHeight="true" outlineLevel="0" collapsed="false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</row>
    <row r="577" customFormat="false" ht="12.75" hidden="false" customHeight="true" outlineLevel="0" collapsed="false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</row>
    <row r="578" customFormat="false" ht="12.75" hidden="false" customHeight="true" outlineLevel="0" collapsed="false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</row>
    <row r="579" customFormat="false" ht="12.75" hidden="false" customHeight="true" outlineLevel="0" collapsed="false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</row>
    <row r="580" customFormat="false" ht="12.75" hidden="false" customHeight="true" outlineLevel="0" collapsed="false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</row>
    <row r="581" customFormat="false" ht="12.75" hidden="false" customHeight="true" outlineLevel="0" collapsed="false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</row>
    <row r="582" customFormat="false" ht="12.75" hidden="false" customHeight="true" outlineLevel="0" collapsed="false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</row>
    <row r="583" customFormat="false" ht="12.75" hidden="false" customHeight="true" outlineLevel="0" collapsed="false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</row>
    <row r="584" customFormat="false" ht="12.75" hidden="false" customHeight="true" outlineLevel="0" collapsed="false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</row>
    <row r="585" customFormat="false" ht="12.75" hidden="false" customHeight="true" outlineLevel="0" collapsed="false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</row>
    <row r="586" customFormat="false" ht="12.75" hidden="false" customHeight="true" outlineLevel="0" collapsed="false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</row>
    <row r="587" customFormat="false" ht="12.75" hidden="false" customHeight="true" outlineLevel="0" collapsed="false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</row>
    <row r="588" customFormat="false" ht="12.75" hidden="false" customHeight="true" outlineLevel="0" collapsed="false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</row>
    <row r="589" customFormat="false" ht="12.75" hidden="false" customHeight="true" outlineLevel="0" collapsed="false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</row>
    <row r="590" customFormat="false" ht="12.75" hidden="false" customHeight="true" outlineLevel="0" collapsed="false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</row>
    <row r="591" customFormat="false" ht="12.75" hidden="false" customHeight="true" outlineLevel="0" collapsed="false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</row>
    <row r="592" customFormat="false" ht="12.75" hidden="false" customHeight="true" outlineLevel="0" collapsed="false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</row>
    <row r="593" customFormat="false" ht="12.75" hidden="false" customHeight="true" outlineLevel="0" collapsed="false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</row>
    <row r="594" customFormat="false" ht="12.75" hidden="false" customHeight="true" outlineLevel="0" collapsed="false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</row>
    <row r="595" customFormat="false" ht="12.75" hidden="false" customHeight="true" outlineLevel="0" collapsed="false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</row>
    <row r="596" customFormat="false" ht="12.75" hidden="false" customHeight="true" outlineLevel="0" collapsed="false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</row>
    <row r="597" customFormat="false" ht="12.75" hidden="false" customHeight="true" outlineLevel="0" collapsed="false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</row>
    <row r="598" customFormat="false" ht="12.75" hidden="false" customHeight="true" outlineLevel="0" collapsed="false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</row>
    <row r="599" customFormat="false" ht="12.75" hidden="false" customHeight="true" outlineLevel="0" collapsed="false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</row>
    <row r="600" customFormat="false" ht="12.75" hidden="false" customHeight="true" outlineLevel="0" collapsed="false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</row>
    <row r="601" customFormat="false" ht="12.75" hidden="false" customHeight="true" outlineLevel="0" collapsed="false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</row>
    <row r="602" customFormat="false" ht="12.75" hidden="false" customHeight="true" outlineLevel="0" collapsed="false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</row>
    <row r="603" customFormat="false" ht="12.75" hidden="false" customHeight="true" outlineLevel="0" collapsed="false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</row>
    <row r="604" customFormat="false" ht="12.75" hidden="false" customHeight="true" outlineLevel="0" collapsed="false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</row>
    <row r="605" customFormat="false" ht="12.75" hidden="false" customHeight="true" outlineLevel="0" collapsed="false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</row>
    <row r="606" customFormat="false" ht="12.75" hidden="false" customHeight="true" outlineLevel="0" collapsed="false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</row>
    <row r="607" customFormat="false" ht="12.75" hidden="false" customHeight="true" outlineLevel="0" collapsed="false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</row>
    <row r="608" customFormat="false" ht="12.75" hidden="false" customHeight="true" outlineLevel="0" collapsed="false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</row>
    <row r="609" customFormat="false" ht="12.75" hidden="false" customHeight="true" outlineLevel="0" collapsed="false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</row>
    <row r="610" customFormat="false" ht="12.75" hidden="false" customHeight="true" outlineLevel="0" collapsed="false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</row>
    <row r="611" customFormat="false" ht="12.75" hidden="false" customHeight="true" outlineLevel="0" collapsed="false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</row>
    <row r="612" customFormat="false" ht="12.75" hidden="false" customHeight="true" outlineLevel="0" collapsed="false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</row>
    <row r="613" customFormat="false" ht="12.75" hidden="false" customHeight="true" outlineLevel="0" collapsed="false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</row>
    <row r="614" customFormat="false" ht="12.75" hidden="false" customHeight="true" outlineLevel="0" collapsed="false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</row>
    <row r="615" customFormat="false" ht="12.75" hidden="false" customHeight="true" outlineLevel="0" collapsed="false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</row>
    <row r="616" customFormat="false" ht="12.75" hidden="false" customHeight="true" outlineLevel="0" collapsed="false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</row>
    <row r="617" customFormat="false" ht="12.75" hidden="false" customHeight="true" outlineLevel="0" collapsed="false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</row>
    <row r="618" customFormat="false" ht="12.75" hidden="false" customHeight="true" outlineLevel="0" collapsed="false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</row>
    <row r="619" customFormat="false" ht="12.75" hidden="false" customHeight="true" outlineLevel="0" collapsed="false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</row>
    <row r="620" customFormat="false" ht="12.75" hidden="false" customHeight="true" outlineLevel="0" collapsed="false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</row>
    <row r="621" customFormat="false" ht="12.75" hidden="false" customHeight="true" outlineLevel="0" collapsed="false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</row>
    <row r="622" customFormat="false" ht="12.75" hidden="false" customHeight="true" outlineLevel="0" collapsed="false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</row>
    <row r="623" customFormat="false" ht="12.75" hidden="false" customHeight="true" outlineLevel="0" collapsed="false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</row>
    <row r="624" customFormat="false" ht="12.75" hidden="false" customHeight="true" outlineLevel="0" collapsed="false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</row>
    <row r="625" customFormat="false" ht="12.75" hidden="false" customHeight="true" outlineLevel="0" collapsed="false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</row>
    <row r="626" customFormat="false" ht="12.75" hidden="false" customHeight="true" outlineLevel="0" collapsed="false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</row>
    <row r="627" customFormat="false" ht="12.75" hidden="false" customHeight="true" outlineLevel="0" collapsed="false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</row>
    <row r="628" customFormat="false" ht="12.75" hidden="false" customHeight="true" outlineLevel="0" collapsed="false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</row>
    <row r="629" customFormat="false" ht="12.75" hidden="false" customHeight="true" outlineLevel="0" collapsed="false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</row>
    <row r="630" customFormat="false" ht="12.75" hidden="false" customHeight="true" outlineLevel="0" collapsed="false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</row>
    <row r="631" customFormat="false" ht="12.75" hidden="false" customHeight="true" outlineLevel="0" collapsed="false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</row>
    <row r="632" customFormat="false" ht="12.75" hidden="false" customHeight="true" outlineLevel="0" collapsed="false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</row>
    <row r="633" customFormat="false" ht="12.75" hidden="false" customHeight="true" outlineLevel="0" collapsed="false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</row>
    <row r="634" customFormat="false" ht="12.75" hidden="false" customHeight="true" outlineLevel="0" collapsed="false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</row>
    <row r="635" customFormat="false" ht="12.75" hidden="false" customHeight="true" outlineLevel="0" collapsed="false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</row>
    <row r="636" customFormat="false" ht="12.75" hidden="false" customHeight="true" outlineLevel="0" collapsed="false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</row>
    <row r="637" customFormat="false" ht="12.75" hidden="false" customHeight="true" outlineLevel="0" collapsed="false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</row>
    <row r="638" customFormat="false" ht="12.75" hidden="false" customHeight="true" outlineLevel="0" collapsed="false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</row>
    <row r="639" customFormat="false" ht="12.75" hidden="false" customHeight="true" outlineLevel="0" collapsed="false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</row>
    <row r="640" customFormat="false" ht="12.75" hidden="false" customHeight="true" outlineLevel="0" collapsed="false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</row>
    <row r="641" customFormat="false" ht="12.75" hidden="false" customHeight="true" outlineLevel="0" collapsed="false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</row>
    <row r="642" customFormat="false" ht="12.75" hidden="false" customHeight="true" outlineLevel="0" collapsed="false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</row>
    <row r="643" customFormat="false" ht="12.75" hidden="false" customHeight="true" outlineLevel="0" collapsed="false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</row>
    <row r="644" customFormat="false" ht="12.75" hidden="false" customHeight="true" outlineLevel="0" collapsed="false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</row>
    <row r="645" customFormat="false" ht="12.75" hidden="false" customHeight="true" outlineLevel="0" collapsed="false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</row>
    <row r="646" customFormat="false" ht="12.75" hidden="false" customHeight="true" outlineLevel="0" collapsed="false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</row>
    <row r="647" customFormat="false" ht="12.75" hidden="false" customHeight="true" outlineLevel="0" collapsed="false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</row>
    <row r="648" customFormat="false" ht="12.75" hidden="false" customHeight="true" outlineLevel="0" collapsed="false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</row>
    <row r="649" customFormat="false" ht="12.75" hidden="false" customHeight="true" outlineLevel="0" collapsed="false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</row>
    <row r="650" customFormat="false" ht="12.75" hidden="false" customHeight="true" outlineLevel="0" collapsed="false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</row>
    <row r="651" customFormat="false" ht="12.75" hidden="false" customHeight="true" outlineLevel="0" collapsed="false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</row>
    <row r="652" customFormat="false" ht="12.75" hidden="false" customHeight="true" outlineLevel="0" collapsed="false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</row>
    <row r="653" customFormat="false" ht="12.75" hidden="false" customHeight="true" outlineLevel="0" collapsed="false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</row>
    <row r="654" customFormat="false" ht="12.75" hidden="false" customHeight="true" outlineLevel="0" collapsed="false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</row>
    <row r="655" customFormat="false" ht="12.75" hidden="false" customHeight="true" outlineLevel="0" collapsed="false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</row>
    <row r="656" customFormat="false" ht="12.75" hidden="false" customHeight="true" outlineLevel="0" collapsed="false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</row>
    <row r="657" customFormat="false" ht="12.75" hidden="false" customHeight="true" outlineLevel="0" collapsed="false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</row>
    <row r="658" customFormat="false" ht="12.75" hidden="false" customHeight="true" outlineLevel="0" collapsed="false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</row>
    <row r="659" customFormat="false" ht="12.75" hidden="false" customHeight="true" outlineLevel="0" collapsed="false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</row>
    <row r="660" customFormat="false" ht="12.75" hidden="false" customHeight="true" outlineLevel="0" collapsed="false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</row>
    <row r="661" customFormat="false" ht="12.75" hidden="false" customHeight="true" outlineLevel="0" collapsed="false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</row>
    <row r="662" customFormat="false" ht="12.75" hidden="false" customHeight="true" outlineLevel="0" collapsed="false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</row>
    <row r="663" customFormat="false" ht="12.75" hidden="false" customHeight="true" outlineLevel="0" collapsed="false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</row>
    <row r="664" customFormat="false" ht="12.75" hidden="false" customHeight="true" outlineLevel="0" collapsed="false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</row>
    <row r="665" customFormat="false" ht="12.75" hidden="false" customHeight="true" outlineLevel="0" collapsed="false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</row>
    <row r="666" customFormat="false" ht="12.75" hidden="false" customHeight="true" outlineLevel="0" collapsed="false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</row>
    <row r="667" customFormat="false" ht="12.75" hidden="false" customHeight="true" outlineLevel="0" collapsed="false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</row>
    <row r="668" customFormat="false" ht="12.75" hidden="false" customHeight="true" outlineLevel="0" collapsed="false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</row>
    <row r="669" customFormat="false" ht="12.75" hidden="false" customHeight="true" outlineLevel="0" collapsed="false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</row>
    <row r="670" customFormat="false" ht="12.75" hidden="false" customHeight="true" outlineLevel="0" collapsed="false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</row>
    <row r="671" customFormat="false" ht="12.75" hidden="false" customHeight="true" outlineLevel="0" collapsed="false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</row>
    <row r="672" customFormat="false" ht="12.75" hidden="false" customHeight="true" outlineLevel="0" collapsed="false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</row>
    <row r="673" customFormat="false" ht="12.75" hidden="false" customHeight="true" outlineLevel="0" collapsed="false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</row>
    <row r="674" customFormat="false" ht="12.75" hidden="false" customHeight="true" outlineLevel="0" collapsed="false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</row>
    <row r="675" customFormat="false" ht="12.75" hidden="false" customHeight="true" outlineLevel="0" collapsed="false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</row>
    <row r="676" customFormat="false" ht="12.75" hidden="false" customHeight="true" outlineLevel="0" collapsed="false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</row>
    <row r="677" customFormat="false" ht="12.75" hidden="false" customHeight="true" outlineLevel="0" collapsed="false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</row>
    <row r="678" customFormat="false" ht="12.75" hidden="false" customHeight="true" outlineLevel="0" collapsed="false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</row>
    <row r="679" customFormat="false" ht="12.75" hidden="false" customHeight="true" outlineLevel="0" collapsed="false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</row>
    <row r="680" customFormat="false" ht="12.75" hidden="false" customHeight="true" outlineLevel="0" collapsed="false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</row>
    <row r="681" customFormat="false" ht="12.75" hidden="false" customHeight="true" outlineLevel="0" collapsed="false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</row>
    <row r="682" customFormat="false" ht="12.75" hidden="false" customHeight="true" outlineLevel="0" collapsed="false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</row>
    <row r="683" customFormat="false" ht="12.75" hidden="false" customHeight="true" outlineLevel="0" collapsed="false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</row>
    <row r="684" customFormat="false" ht="12.75" hidden="false" customHeight="true" outlineLevel="0" collapsed="false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</row>
    <row r="685" customFormat="false" ht="12.75" hidden="false" customHeight="true" outlineLevel="0" collapsed="false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</row>
    <row r="686" customFormat="false" ht="12.75" hidden="false" customHeight="true" outlineLevel="0" collapsed="false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</row>
    <row r="687" customFormat="false" ht="12.75" hidden="false" customHeight="true" outlineLevel="0" collapsed="false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</row>
    <row r="688" customFormat="false" ht="12.75" hidden="false" customHeight="true" outlineLevel="0" collapsed="false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</row>
    <row r="689" customFormat="false" ht="12.75" hidden="false" customHeight="true" outlineLevel="0" collapsed="false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</row>
    <row r="690" customFormat="false" ht="12.75" hidden="false" customHeight="true" outlineLevel="0" collapsed="false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</row>
    <row r="691" customFormat="false" ht="12.75" hidden="false" customHeight="true" outlineLevel="0" collapsed="false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</row>
    <row r="692" customFormat="false" ht="12.75" hidden="false" customHeight="true" outlineLevel="0" collapsed="false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</row>
    <row r="693" customFormat="false" ht="12.75" hidden="false" customHeight="true" outlineLevel="0" collapsed="false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</row>
    <row r="694" customFormat="false" ht="12.75" hidden="false" customHeight="true" outlineLevel="0" collapsed="false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</row>
    <row r="695" customFormat="false" ht="12.75" hidden="false" customHeight="true" outlineLevel="0" collapsed="false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</row>
    <row r="696" customFormat="false" ht="12.75" hidden="false" customHeight="true" outlineLevel="0" collapsed="false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</row>
    <row r="697" customFormat="false" ht="12.75" hidden="false" customHeight="true" outlineLevel="0" collapsed="false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</row>
    <row r="698" customFormat="false" ht="12.75" hidden="false" customHeight="true" outlineLevel="0" collapsed="false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</row>
    <row r="699" customFormat="false" ht="12.75" hidden="false" customHeight="true" outlineLevel="0" collapsed="false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</row>
    <row r="700" customFormat="false" ht="12.75" hidden="false" customHeight="true" outlineLevel="0" collapsed="false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</row>
    <row r="701" customFormat="false" ht="12.75" hidden="false" customHeight="true" outlineLevel="0" collapsed="false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</row>
    <row r="702" customFormat="false" ht="12.75" hidden="false" customHeight="true" outlineLevel="0" collapsed="false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</row>
    <row r="703" customFormat="false" ht="12.75" hidden="false" customHeight="true" outlineLevel="0" collapsed="false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</row>
    <row r="704" customFormat="false" ht="12.75" hidden="false" customHeight="true" outlineLevel="0" collapsed="false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</row>
    <row r="705" customFormat="false" ht="12.75" hidden="false" customHeight="true" outlineLevel="0" collapsed="false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</row>
    <row r="706" customFormat="false" ht="12.75" hidden="false" customHeight="true" outlineLevel="0" collapsed="false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</row>
    <row r="707" customFormat="false" ht="12.75" hidden="false" customHeight="true" outlineLevel="0" collapsed="false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</row>
    <row r="708" customFormat="false" ht="12.75" hidden="false" customHeight="true" outlineLevel="0" collapsed="false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</row>
    <row r="709" customFormat="false" ht="12.75" hidden="false" customHeight="true" outlineLevel="0" collapsed="false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</row>
    <row r="710" customFormat="false" ht="12.75" hidden="false" customHeight="true" outlineLevel="0" collapsed="false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</row>
    <row r="711" customFormat="false" ht="12.75" hidden="false" customHeight="true" outlineLevel="0" collapsed="false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</row>
    <row r="712" customFormat="false" ht="12.75" hidden="false" customHeight="true" outlineLevel="0" collapsed="false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</row>
    <row r="713" customFormat="false" ht="12.75" hidden="false" customHeight="true" outlineLevel="0" collapsed="false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</row>
    <row r="714" customFormat="false" ht="12.75" hidden="false" customHeight="true" outlineLevel="0" collapsed="false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</row>
    <row r="715" customFormat="false" ht="12.75" hidden="false" customHeight="true" outlineLevel="0" collapsed="false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</row>
    <row r="716" customFormat="false" ht="12.75" hidden="false" customHeight="true" outlineLevel="0" collapsed="false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</row>
    <row r="717" customFormat="false" ht="12.75" hidden="false" customHeight="true" outlineLevel="0" collapsed="false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</row>
    <row r="718" customFormat="false" ht="12.75" hidden="false" customHeight="true" outlineLevel="0" collapsed="false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</row>
    <row r="719" customFormat="false" ht="12.75" hidden="false" customHeight="true" outlineLevel="0" collapsed="false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</row>
    <row r="720" customFormat="false" ht="12.75" hidden="false" customHeight="true" outlineLevel="0" collapsed="false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</row>
    <row r="721" customFormat="false" ht="12.75" hidden="false" customHeight="true" outlineLevel="0" collapsed="false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</row>
    <row r="722" customFormat="false" ht="12.75" hidden="false" customHeight="true" outlineLevel="0" collapsed="false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</row>
    <row r="723" customFormat="false" ht="12.75" hidden="false" customHeight="true" outlineLevel="0" collapsed="false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</row>
    <row r="724" customFormat="false" ht="12.75" hidden="false" customHeight="true" outlineLevel="0" collapsed="false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</row>
    <row r="725" customFormat="false" ht="12.75" hidden="false" customHeight="true" outlineLevel="0" collapsed="false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</row>
    <row r="726" customFormat="false" ht="12.75" hidden="false" customHeight="true" outlineLevel="0" collapsed="false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</row>
    <row r="727" customFormat="false" ht="12.75" hidden="false" customHeight="true" outlineLevel="0" collapsed="false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</row>
    <row r="728" customFormat="false" ht="12.75" hidden="false" customHeight="true" outlineLevel="0" collapsed="false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</row>
    <row r="729" customFormat="false" ht="12.75" hidden="false" customHeight="true" outlineLevel="0" collapsed="false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</row>
    <row r="730" customFormat="false" ht="12.75" hidden="false" customHeight="true" outlineLevel="0" collapsed="false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</row>
    <row r="731" customFormat="false" ht="12.75" hidden="false" customHeight="true" outlineLevel="0" collapsed="false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</row>
    <row r="732" customFormat="false" ht="12.75" hidden="false" customHeight="true" outlineLevel="0" collapsed="false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</row>
    <row r="733" customFormat="false" ht="12.75" hidden="false" customHeight="true" outlineLevel="0" collapsed="false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</row>
    <row r="734" customFormat="false" ht="12.75" hidden="false" customHeight="true" outlineLevel="0" collapsed="false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</row>
    <row r="735" customFormat="false" ht="12.75" hidden="false" customHeight="true" outlineLevel="0" collapsed="false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</row>
    <row r="736" customFormat="false" ht="12.75" hidden="false" customHeight="true" outlineLevel="0" collapsed="false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</row>
    <row r="737" customFormat="false" ht="12.75" hidden="false" customHeight="true" outlineLevel="0" collapsed="false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</row>
    <row r="738" customFormat="false" ht="12.75" hidden="false" customHeight="true" outlineLevel="0" collapsed="false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</row>
    <row r="739" customFormat="false" ht="12.75" hidden="false" customHeight="true" outlineLevel="0" collapsed="false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</row>
    <row r="740" customFormat="false" ht="12.75" hidden="false" customHeight="true" outlineLevel="0" collapsed="false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</row>
    <row r="741" customFormat="false" ht="12.75" hidden="false" customHeight="true" outlineLevel="0" collapsed="false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</row>
    <row r="742" customFormat="false" ht="12.75" hidden="false" customHeight="true" outlineLevel="0" collapsed="false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</row>
    <row r="743" customFormat="false" ht="12.75" hidden="false" customHeight="true" outlineLevel="0" collapsed="false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</row>
    <row r="744" customFormat="false" ht="12.75" hidden="false" customHeight="true" outlineLevel="0" collapsed="false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</row>
    <row r="745" customFormat="false" ht="12.75" hidden="false" customHeight="true" outlineLevel="0" collapsed="false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</row>
    <row r="746" customFormat="false" ht="12.75" hidden="false" customHeight="true" outlineLevel="0" collapsed="false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</row>
    <row r="747" customFormat="false" ht="12.75" hidden="false" customHeight="true" outlineLevel="0" collapsed="false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</row>
    <row r="748" customFormat="false" ht="12.75" hidden="false" customHeight="true" outlineLevel="0" collapsed="false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</row>
    <row r="749" customFormat="false" ht="12.75" hidden="false" customHeight="true" outlineLevel="0" collapsed="false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</row>
    <row r="750" customFormat="false" ht="12.75" hidden="false" customHeight="true" outlineLevel="0" collapsed="false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</row>
    <row r="751" customFormat="false" ht="12.75" hidden="false" customHeight="true" outlineLevel="0" collapsed="false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</row>
    <row r="752" customFormat="false" ht="12.75" hidden="false" customHeight="true" outlineLevel="0" collapsed="false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</row>
    <row r="753" customFormat="false" ht="12.75" hidden="false" customHeight="true" outlineLevel="0" collapsed="false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</row>
    <row r="754" customFormat="false" ht="12.75" hidden="false" customHeight="true" outlineLevel="0" collapsed="false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</row>
    <row r="755" customFormat="false" ht="12.75" hidden="false" customHeight="true" outlineLevel="0" collapsed="false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</row>
    <row r="756" customFormat="false" ht="12.75" hidden="false" customHeight="true" outlineLevel="0" collapsed="false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</row>
    <row r="757" customFormat="false" ht="12.75" hidden="false" customHeight="true" outlineLevel="0" collapsed="false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</row>
    <row r="758" customFormat="false" ht="12.75" hidden="false" customHeight="true" outlineLevel="0" collapsed="false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</row>
    <row r="759" customFormat="false" ht="12.75" hidden="false" customHeight="true" outlineLevel="0" collapsed="false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</row>
    <row r="760" customFormat="false" ht="12.75" hidden="false" customHeight="true" outlineLevel="0" collapsed="false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</row>
    <row r="761" customFormat="false" ht="12.75" hidden="false" customHeight="true" outlineLevel="0" collapsed="false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</row>
    <row r="762" customFormat="false" ht="12.75" hidden="false" customHeight="true" outlineLevel="0" collapsed="false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</row>
    <row r="763" customFormat="false" ht="12.75" hidden="false" customHeight="true" outlineLevel="0" collapsed="false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</row>
    <row r="764" customFormat="false" ht="12.75" hidden="false" customHeight="true" outlineLevel="0" collapsed="false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</row>
    <row r="765" customFormat="false" ht="12.75" hidden="false" customHeight="true" outlineLevel="0" collapsed="false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</row>
    <row r="766" customFormat="false" ht="12.75" hidden="false" customHeight="true" outlineLevel="0" collapsed="false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</row>
    <row r="767" customFormat="false" ht="12.75" hidden="false" customHeight="true" outlineLevel="0" collapsed="false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</row>
    <row r="768" customFormat="false" ht="12.75" hidden="false" customHeight="true" outlineLevel="0" collapsed="false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</row>
    <row r="769" customFormat="false" ht="12.75" hidden="false" customHeight="true" outlineLevel="0" collapsed="false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</row>
    <row r="770" customFormat="false" ht="12.75" hidden="false" customHeight="true" outlineLevel="0" collapsed="false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</row>
    <row r="771" customFormat="false" ht="12.75" hidden="false" customHeight="true" outlineLevel="0" collapsed="false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</row>
    <row r="772" customFormat="false" ht="12.75" hidden="false" customHeight="true" outlineLevel="0" collapsed="false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</row>
    <row r="773" customFormat="false" ht="12.75" hidden="false" customHeight="true" outlineLevel="0" collapsed="false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</row>
    <row r="774" customFormat="false" ht="12.75" hidden="false" customHeight="true" outlineLevel="0" collapsed="false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</row>
    <row r="775" customFormat="false" ht="12.75" hidden="false" customHeight="true" outlineLevel="0" collapsed="false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</row>
    <row r="776" customFormat="false" ht="12.75" hidden="false" customHeight="true" outlineLevel="0" collapsed="false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</row>
    <row r="777" customFormat="false" ht="12.75" hidden="false" customHeight="true" outlineLevel="0" collapsed="false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</row>
    <row r="778" customFormat="false" ht="12.75" hidden="false" customHeight="true" outlineLevel="0" collapsed="false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</row>
    <row r="779" customFormat="false" ht="12.75" hidden="false" customHeight="true" outlineLevel="0" collapsed="false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</row>
    <row r="780" customFormat="false" ht="12.75" hidden="false" customHeight="true" outlineLevel="0" collapsed="false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</row>
    <row r="781" customFormat="false" ht="12.75" hidden="false" customHeight="true" outlineLevel="0" collapsed="false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</row>
    <row r="782" customFormat="false" ht="12.75" hidden="false" customHeight="true" outlineLevel="0" collapsed="false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</row>
    <row r="783" customFormat="false" ht="12.75" hidden="false" customHeight="true" outlineLevel="0" collapsed="false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</row>
    <row r="784" customFormat="false" ht="12.75" hidden="false" customHeight="true" outlineLevel="0" collapsed="false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</row>
    <row r="785" customFormat="false" ht="12.75" hidden="false" customHeight="true" outlineLevel="0" collapsed="false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</row>
    <row r="786" customFormat="false" ht="12.75" hidden="false" customHeight="true" outlineLevel="0" collapsed="false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</row>
    <row r="787" customFormat="false" ht="12.75" hidden="false" customHeight="true" outlineLevel="0" collapsed="false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</row>
    <row r="788" customFormat="false" ht="12.75" hidden="false" customHeight="true" outlineLevel="0" collapsed="false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</row>
    <row r="789" customFormat="false" ht="12.75" hidden="false" customHeight="true" outlineLevel="0" collapsed="false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</row>
    <row r="790" customFormat="false" ht="12.75" hidden="false" customHeight="true" outlineLevel="0" collapsed="false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</row>
    <row r="791" customFormat="false" ht="12.75" hidden="false" customHeight="true" outlineLevel="0" collapsed="false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</row>
    <row r="792" customFormat="false" ht="12.75" hidden="false" customHeight="true" outlineLevel="0" collapsed="false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</row>
    <row r="793" customFormat="false" ht="12.75" hidden="false" customHeight="true" outlineLevel="0" collapsed="false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</row>
    <row r="794" customFormat="false" ht="12.75" hidden="false" customHeight="true" outlineLevel="0" collapsed="false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</row>
    <row r="795" customFormat="false" ht="12.75" hidden="false" customHeight="true" outlineLevel="0" collapsed="false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</row>
    <row r="796" customFormat="false" ht="12.75" hidden="false" customHeight="true" outlineLevel="0" collapsed="false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</row>
    <row r="797" customFormat="false" ht="12.75" hidden="false" customHeight="true" outlineLevel="0" collapsed="false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</row>
    <row r="798" customFormat="false" ht="12.75" hidden="false" customHeight="true" outlineLevel="0" collapsed="false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</row>
    <row r="799" customFormat="false" ht="12.75" hidden="false" customHeight="true" outlineLevel="0" collapsed="false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</row>
    <row r="800" customFormat="false" ht="12.75" hidden="false" customHeight="true" outlineLevel="0" collapsed="false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</row>
    <row r="801" customFormat="false" ht="12.75" hidden="false" customHeight="true" outlineLevel="0" collapsed="false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</row>
    <row r="802" customFormat="false" ht="12.75" hidden="false" customHeight="true" outlineLevel="0" collapsed="false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</row>
    <row r="803" customFormat="false" ht="12.75" hidden="false" customHeight="true" outlineLevel="0" collapsed="false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</row>
    <row r="804" customFormat="false" ht="12.75" hidden="false" customHeight="true" outlineLevel="0" collapsed="false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</row>
    <row r="805" customFormat="false" ht="12.75" hidden="false" customHeight="true" outlineLevel="0" collapsed="false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</row>
    <row r="806" customFormat="false" ht="12.75" hidden="false" customHeight="true" outlineLevel="0" collapsed="false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</row>
    <row r="807" customFormat="false" ht="12.75" hidden="false" customHeight="true" outlineLevel="0" collapsed="false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</row>
    <row r="808" customFormat="false" ht="12.75" hidden="false" customHeight="true" outlineLevel="0" collapsed="false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</row>
    <row r="809" customFormat="false" ht="12.75" hidden="false" customHeight="true" outlineLevel="0" collapsed="false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</row>
    <row r="810" customFormat="false" ht="12.75" hidden="false" customHeight="true" outlineLevel="0" collapsed="false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</row>
    <row r="811" customFormat="false" ht="12.75" hidden="false" customHeight="true" outlineLevel="0" collapsed="false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</row>
    <row r="812" customFormat="false" ht="12.75" hidden="false" customHeight="true" outlineLevel="0" collapsed="false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</row>
    <row r="813" customFormat="false" ht="12.75" hidden="false" customHeight="true" outlineLevel="0" collapsed="false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</row>
    <row r="814" customFormat="false" ht="12.75" hidden="false" customHeight="true" outlineLevel="0" collapsed="false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</row>
    <row r="815" customFormat="false" ht="12.75" hidden="false" customHeight="true" outlineLevel="0" collapsed="false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</row>
    <row r="816" customFormat="false" ht="12.75" hidden="false" customHeight="true" outlineLevel="0" collapsed="false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</row>
    <row r="817" customFormat="false" ht="12.75" hidden="false" customHeight="true" outlineLevel="0" collapsed="false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</row>
    <row r="818" customFormat="false" ht="12.75" hidden="false" customHeight="true" outlineLevel="0" collapsed="false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</row>
    <row r="819" customFormat="false" ht="12.75" hidden="false" customHeight="true" outlineLevel="0" collapsed="false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</row>
    <row r="820" customFormat="false" ht="12.75" hidden="false" customHeight="true" outlineLevel="0" collapsed="false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</row>
    <row r="821" customFormat="false" ht="12.75" hidden="false" customHeight="true" outlineLevel="0" collapsed="false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</row>
    <row r="822" customFormat="false" ht="12.75" hidden="false" customHeight="true" outlineLevel="0" collapsed="false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</row>
    <row r="823" customFormat="false" ht="12.75" hidden="false" customHeight="true" outlineLevel="0" collapsed="false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</row>
    <row r="824" customFormat="false" ht="12.75" hidden="false" customHeight="true" outlineLevel="0" collapsed="false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</row>
    <row r="825" customFormat="false" ht="12.75" hidden="false" customHeight="true" outlineLevel="0" collapsed="false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</row>
    <row r="826" customFormat="false" ht="12.75" hidden="false" customHeight="true" outlineLevel="0" collapsed="false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</row>
    <row r="827" customFormat="false" ht="12.75" hidden="false" customHeight="true" outlineLevel="0" collapsed="false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</row>
    <row r="828" customFormat="false" ht="12.75" hidden="false" customHeight="true" outlineLevel="0" collapsed="false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</row>
    <row r="829" customFormat="false" ht="12.75" hidden="false" customHeight="true" outlineLevel="0" collapsed="false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</row>
    <row r="830" customFormat="false" ht="12.75" hidden="false" customHeight="true" outlineLevel="0" collapsed="false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</row>
    <row r="831" customFormat="false" ht="12.75" hidden="false" customHeight="true" outlineLevel="0" collapsed="false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</row>
    <row r="832" customFormat="false" ht="12.75" hidden="false" customHeight="true" outlineLevel="0" collapsed="false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</row>
    <row r="833" customFormat="false" ht="12.75" hidden="false" customHeight="true" outlineLevel="0" collapsed="false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</row>
    <row r="834" customFormat="false" ht="12.75" hidden="false" customHeight="true" outlineLevel="0" collapsed="false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</row>
    <row r="835" customFormat="false" ht="12.75" hidden="false" customHeight="true" outlineLevel="0" collapsed="false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</row>
    <row r="836" customFormat="false" ht="12.75" hidden="false" customHeight="true" outlineLevel="0" collapsed="false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</row>
    <row r="837" customFormat="false" ht="12.75" hidden="false" customHeight="true" outlineLevel="0" collapsed="false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</row>
    <row r="838" customFormat="false" ht="12.75" hidden="false" customHeight="true" outlineLevel="0" collapsed="false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</row>
    <row r="839" customFormat="false" ht="12.75" hidden="false" customHeight="true" outlineLevel="0" collapsed="false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</row>
    <row r="840" customFormat="false" ht="12.75" hidden="false" customHeight="true" outlineLevel="0" collapsed="false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</row>
    <row r="841" customFormat="false" ht="12.75" hidden="false" customHeight="true" outlineLevel="0" collapsed="false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</row>
    <row r="842" customFormat="false" ht="12.75" hidden="false" customHeight="true" outlineLevel="0" collapsed="false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</row>
    <row r="843" customFormat="false" ht="12.75" hidden="false" customHeight="true" outlineLevel="0" collapsed="false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</row>
    <row r="844" customFormat="false" ht="12.75" hidden="false" customHeight="true" outlineLevel="0" collapsed="false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</row>
    <row r="845" customFormat="false" ht="12.75" hidden="false" customHeight="true" outlineLevel="0" collapsed="false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</row>
    <row r="846" customFormat="false" ht="12.75" hidden="false" customHeight="true" outlineLevel="0" collapsed="false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</row>
    <row r="847" customFormat="false" ht="12.75" hidden="false" customHeight="true" outlineLevel="0" collapsed="false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</row>
    <row r="848" customFormat="false" ht="12.75" hidden="false" customHeight="true" outlineLevel="0" collapsed="false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</row>
    <row r="849" customFormat="false" ht="12.75" hidden="false" customHeight="true" outlineLevel="0" collapsed="false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</row>
    <row r="850" customFormat="false" ht="12.75" hidden="false" customHeight="true" outlineLevel="0" collapsed="false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</row>
    <row r="851" customFormat="false" ht="12.75" hidden="false" customHeight="true" outlineLevel="0" collapsed="false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</row>
    <row r="852" customFormat="false" ht="12.75" hidden="false" customHeight="true" outlineLevel="0" collapsed="false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</row>
    <row r="853" customFormat="false" ht="12.75" hidden="false" customHeight="true" outlineLevel="0" collapsed="false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</row>
    <row r="854" customFormat="false" ht="12.75" hidden="false" customHeight="true" outlineLevel="0" collapsed="false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</row>
    <row r="855" customFormat="false" ht="12.75" hidden="false" customHeight="true" outlineLevel="0" collapsed="false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</row>
    <row r="856" customFormat="false" ht="12.75" hidden="false" customHeight="true" outlineLevel="0" collapsed="false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</row>
    <row r="857" customFormat="false" ht="12.75" hidden="false" customHeight="true" outlineLevel="0" collapsed="false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</row>
    <row r="858" customFormat="false" ht="12.75" hidden="false" customHeight="true" outlineLevel="0" collapsed="false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</row>
    <row r="859" customFormat="false" ht="12.75" hidden="false" customHeight="true" outlineLevel="0" collapsed="false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</row>
    <row r="860" customFormat="false" ht="12.75" hidden="false" customHeight="true" outlineLevel="0" collapsed="false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</row>
    <row r="861" customFormat="false" ht="12.75" hidden="false" customHeight="true" outlineLevel="0" collapsed="false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</row>
    <row r="862" customFormat="false" ht="12.75" hidden="false" customHeight="true" outlineLevel="0" collapsed="false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</row>
    <row r="863" customFormat="false" ht="12.75" hidden="false" customHeight="true" outlineLevel="0" collapsed="false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</row>
    <row r="864" customFormat="false" ht="12.75" hidden="false" customHeight="true" outlineLevel="0" collapsed="false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</row>
    <row r="865" customFormat="false" ht="12.75" hidden="false" customHeight="true" outlineLevel="0" collapsed="false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</row>
    <row r="866" customFormat="false" ht="12.75" hidden="false" customHeight="true" outlineLevel="0" collapsed="false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</row>
    <row r="867" customFormat="false" ht="12.75" hidden="false" customHeight="true" outlineLevel="0" collapsed="false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</row>
    <row r="868" customFormat="false" ht="12.75" hidden="false" customHeight="true" outlineLevel="0" collapsed="false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</row>
    <row r="869" customFormat="false" ht="12.75" hidden="false" customHeight="true" outlineLevel="0" collapsed="false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</row>
    <row r="870" customFormat="false" ht="12.75" hidden="false" customHeight="true" outlineLevel="0" collapsed="false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</row>
    <row r="871" customFormat="false" ht="12.75" hidden="false" customHeight="true" outlineLevel="0" collapsed="false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</row>
    <row r="872" customFormat="false" ht="12.75" hidden="false" customHeight="true" outlineLevel="0" collapsed="false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</row>
    <row r="873" customFormat="false" ht="12.75" hidden="false" customHeight="true" outlineLevel="0" collapsed="false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</row>
    <row r="874" customFormat="false" ht="12.75" hidden="false" customHeight="true" outlineLevel="0" collapsed="false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</row>
    <row r="875" customFormat="false" ht="12.75" hidden="false" customHeight="true" outlineLevel="0" collapsed="false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</row>
    <row r="876" customFormat="false" ht="12.75" hidden="false" customHeight="true" outlineLevel="0" collapsed="false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</row>
    <row r="877" customFormat="false" ht="12.75" hidden="false" customHeight="true" outlineLevel="0" collapsed="false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</row>
    <row r="878" customFormat="false" ht="12.75" hidden="false" customHeight="true" outlineLevel="0" collapsed="false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</row>
    <row r="879" customFormat="false" ht="12.75" hidden="false" customHeight="true" outlineLevel="0" collapsed="false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</row>
    <row r="880" customFormat="false" ht="12.75" hidden="false" customHeight="true" outlineLevel="0" collapsed="false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</row>
    <row r="881" customFormat="false" ht="12.75" hidden="false" customHeight="true" outlineLevel="0" collapsed="false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</row>
    <row r="882" customFormat="false" ht="12.75" hidden="false" customHeight="true" outlineLevel="0" collapsed="false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</row>
    <row r="883" customFormat="false" ht="12.75" hidden="false" customHeight="true" outlineLevel="0" collapsed="false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</row>
    <row r="884" customFormat="false" ht="12.75" hidden="false" customHeight="true" outlineLevel="0" collapsed="false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</row>
    <row r="885" customFormat="false" ht="12.75" hidden="false" customHeight="true" outlineLevel="0" collapsed="false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</row>
    <row r="886" customFormat="false" ht="12.75" hidden="false" customHeight="true" outlineLevel="0" collapsed="false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</row>
    <row r="887" customFormat="false" ht="12.75" hidden="false" customHeight="true" outlineLevel="0" collapsed="false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</row>
    <row r="888" customFormat="false" ht="12.75" hidden="false" customHeight="true" outlineLevel="0" collapsed="false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</row>
    <row r="889" customFormat="false" ht="12.75" hidden="false" customHeight="true" outlineLevel="0" collapsed="false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</row>
    <row r="890" customFormat="false" ht="12.75" hidden="false" customHeight="true" outlineLevel="0" collapsed="false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</row>
    <row r="891" customFormat="false" ht="12.75" hidden="false" customHeight="true" outlineLevel="0" collapsed="false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</row>
    <row r="892" customFormat="false" ht="12.75" hidden="false" customHeight="true" outlineLevel="0" collapsed="false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</row>
    <row r="893" customFormat="false" ht="12.75" hidden="false" customHeight="true" outlineLevel="0" collapsed="false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</row>
    <row r="894" customFormat="false" ht="12.75" hidden="false" customHeight="true" outlineLevel="0" collapsed="false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</row>
    <row r="895" customFormat="false" ht="12.75" hidden="false" customHeight="true" outlineLevel="0" collapsed="false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</row>
    <row r="896" customFormat="false" ht="12.75" hidden="false" customHeight="true" outlineLevel="0" collapsed="false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</row>
    <row r="897" customFormat="false" ht="12.75" hidden="false" customHeight="true" outlineLevel="0" collapsed="false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</row>
    <row r="898" customFormat="false" ht="12.75" hidden="false" customHeight="true" outlineLevel="0" collapsed="false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</row>
    <row r="899" customFormat="false" ht="12.75" hidden="false" customHeight="true" outlineLevel="0" collapsed="false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</row>
    <row r="900" customFormat="false" ht="12.75" hidden="false" customHeight="true" outlineLevel="0" collapsed="false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</row>
    <row r="901" customFormat="false" ht="12.75" hidden="false" customHeight="true" outlineLevel="0" collapsed="false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</row>
    <row r="902" customFormat="false" ht="12.75" hidden="false" customHeight="true" outlineLevel="0" collapsed="false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</row>
    <row r="903" customFormat="false" ht="12.75" hidden="false" customHeight="true" outlineLevel="0" collapsed="false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</row>
    <row r="904" customFormat="false" ht="12.75" hidden="false" customHeight="true" outlineLevel="0" collapsed="false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</row>
    <row r="905" customFormat="false" ht="12.75" hidden="false" customHeight="true" outlineLevel="0" collapsed="false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</row>
    <row r="906" customFormat="false" ht="12.75" hidden="false" customHeight="true" outlineLevel="0" collapsed="false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</row>
    <row r="907" customFormat="false" ht="12.75" hidden="false" customHeight="true" outlineLevel="0" collapsed="false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</row>
    <row r="908" customFormat="false" ht="12.75" hidden="false" customHeight="true" outlineLevel="0" collapsed="false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</row>
    <row r="909" customFormat="false" ht="12.75" hidden="false" customHeight="true" outlineLevel="0" collapsed="false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</row>
    <row r="910" customFormat="false" ht="12.75" hidden="false" customHeight="true" outlineLevel="0" collapsed="false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</row>
    <row r="911" customFormat="false" ht="12.75" hidden="false" customHeight="true" outlineLevel="0" collapsed="false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</row>
    <row r="912" customFormat="false" ht="12.75" hidden="false" customHeight="true" outlineLevel="0" collapsed="false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</row>
    <row r="913" customFormat="false" ht="12.75" hidden="false" customHeight="true" outlineLevel="0" collapsed="false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</row>
    <row r="914" customFormat="false" ht="12.75" hidden="false" customHeight="true" outlineLevel="0" collapsed="false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</row>
    <row r="915" customFormat="false" ht="12.75" hidden="false" customHeight="true" outlineLevel="0" collapsed="false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</row>
    <row r="916" customFormat="false" ht="12.75" hidden="false" customHeight="true" outlineLevel="0" collapsed="false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</row>
    <row r="917" customFormat="false" ht="12.75" hidden="false" customHeight="true" outlineLevel="0" collapsed="false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</row>
    <row r="918" customFormat="false" ht="12.75" hidden="false" customHeight="true" outlineLevel="0" collapsed="false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</row>
    <row r="919" customFormat="false" ht="12.75" hidden="false" customHeight="true" outlineLevel="0" collapsed="false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</row>
    <row r="920" customFormat="false" ht="12.75" hidden="false" customHeight="true" outlineLevel="0" collapsed="false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</row>
    <row r="921" customFormat="false" ht="12.75" hidden="false" customHeight="true" outlineLevel="0" collapsed="false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</row>
    <row r="922" customFormat="false" ht="12.75" hidden="false" customHeight="true" outlineLevel="0" collapsed="false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</row>
    <row r="923" customFormat="false" ht="12.75" hidden="false" customHeight="true" outlineLevel="0" collapsed="false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</row>
    <row r="924" customFormat="false" ht="12.75" hidden="false" customHeight="true" outlineLevel="0" collapsed="false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</row>
    <row r="925" customFormat="false" ht="12.75" hidden="false" customHeight="true" outlineLevel="0" collapsed="false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</row>
    <row r="926" customFormat="false" ht="12.75" hidden="false" customHeight="true" outlineLevel="0" collapsed="false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</row>
    <row r="927" customFormat="false" ht="12.75" hidden="false" customHeight="true" outlineLevel="0" collapsed="false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</row>
    <row r="928" customFormat="false" ht="12.75" hidden="false" customHeight="true" outlineLevel="0" collapsed="false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</row>
    <row r="929" customFormat="false" ht="12.75" hidden="false" customHeight="true" outlineLevel="0" collapsed="false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</row>
    <row r="930" customFormat="false" ht="12.75" hidden="false" customHeight="true" outlineLevel="0" collapsed="false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</row>
    <row r="931" customFormat="false" ht="12.75" hidden="false" customHeight="true" outlineLevel="0" collapsed="false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</row>
    <row r="932" customFormat="false" ht="12.75" hidden="false" customHeight="true" outlineLevel="0" collapsed="false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</row>
    <row r="933" customFormat="false" ht="12.75" hidden="false" customHeight="true" outlineLevel="0" collapsed="false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</row>
    <row r="934" customFormat="false" ht="12.75" hidden="false" customHeight="true" outlineLevel="0" collapsed="false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</row>
    <row r="935" customFormat="false" ht="12.75" hidden="false" customHeight="true" outlineLevel="0" collapsed="false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</row>
    <row r="936" customFormat="false" ht="12.75" hidden="false" customHeight="true" outlineLevel="0" collapsed="false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</row>
    <row r="937" customFormat="false" ht="12.75" hidden="false" customHeight="true" outlineLevel="0" collapsed="false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</row>
    <row r="938" customFormat="false" ht="12.75" hidden="false" customHeight="true" outlineLevel="0" collapsed="false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</row>
    <row r="939" customFormat="false" ht="12.75" hidden="false" customHeight="true" outlineLevel="0" collapsed="false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</row>
    <row r="940" customFormat="false" ht="12.75" hidden="false" customHeight="true" outlineLevel="0" collapsed="false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</row>
    <row r="941" customFormat="false" ht="12.75" hidden="false" customHeight="true" outlineLevel="0" collapsed="false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</row>
    <row r="942" customFormat="false" ht="12.75" hidden="false" customHeight="true" outlineLevel="0" collapsed="false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</row>
    <row r="943" customFormat="false" ht="12.75" hidden="false" customHeight="true" outlineLevel="0" collapsed="false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</row>
    <row r="944" customFormat="false" ht="12.75" hidden="false" customHeight="true" outlineLevel="0" collapsed="false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</row>
    <row r="945" customFormat="false" ht="12.75" hidden="false" customHeight="true" outlineLevel="0" collapsed="false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</row>
    <row r="946" customFormat="false" ht="12.75" hidden="false" customHeight="true" outlineLevel="0" collapsed="false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</row>
    <row r="947" customFormat="false" ht="12.75" hidden="false" customHeight="tru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</row>
    <row r="948" customFormat="false" ht="12.75" hidden="false" customHeight="true" outlineLevel="0" collapsed="false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</row>
    <row r="949" customFormat="false" ht="12.75" hidden="false" customHeight="true" outlineLevel="0" collapsed="false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</row>
    <row r="950" customFormat="false" ht="12.75" hidden="false" customHeight="true" outlineLevel="0" collapsed="false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</row>
    <row r="951" customFormat="false" ht="12.75" hidden="false" customHeight="true" outlineLevel="0" collapsed="false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</row>
    <row r="952" customFormat="false" ht="12.75" hidden="false" customHeight="true" outlineLevel="0" collapsed="false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</row>
    <row r="953" customFormat="false" ht="12.75" hidden="false" customHeight="true" outlineLevel="0" collapsed="false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</row>
    <row r="954" customFormat="false" ht="12.75" hidden="false" customHeight="true" outlineLevel="0" collapsed="false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</row>
    <row r="955" customFormat="false" ht="12.75" hidden="false" customHeight="true" outlineLevel="0" collapsed="false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</row>
    <row r="956" customFormat="false" ht="12.75" hidden="false" customHeight="true" outlineLevel="0" collapsed="false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</row>
    <row r="957" customFormat="false" ht="12.75" hidden="false" customHeight="true" outlineLevel="0" collapsed="false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</row>
    <row r="958" customFormat="false" ht="12.75" hidden="false" customHeight="true" outlineLevel="0" collapsed="false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</row>
    <row r="959" customFormat="false" ht="12.75" hidden="false" customHeight="true" outlineLevel="0" collapsed="false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</row>
    <row r="960" customFormat="false" ht="12.75" hidden="false" customHeight="true" outlineLevel="0" collapsed="false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</row>
    <row r="961" customFormat="false" ht="12.75" hidden="false" customHeight="true" outlineLevel="0" collapsed="false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</row>
    <row r="962" customFormat="false" ht="12.75" hidden="false" customHeight="true" outlineLevel="0" collapsed="false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</row>
    <row r="963" customFormat="false" ht="12.75" hidden="false" customHeight="true" outlineLevel="0" collapsed="false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</row>
    <row r="964" customFormat="false" ht="12.75" hidden="false" customHeight="true" outlineLevel="0" collapsed="false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</row>
    <row r="965" customFormat="false" ht="12.75" hidden="false" customHeight="true" outlineLevel="0" collapsed="false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</row>
    <row r="966" customFormat="false" ht="12.75" hidden="false" customHeight="true" outlineLevel="0" collapsed="false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</row>
    <row r="967" customFormat="false" ht="12.75" hidden="false" customHeight="true" outlineLevel="0" collapsed="false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</row>
    <row r="968" customFormat="false" ht="12.75" hidden="false" customHeight="true" outlineLevel="0" collapsed="false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</row>
    <row r="969" customFormat="false" ht="12.75" hidden="false" customHeight="true" outlineLevel="0" collapsed="false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</row>
    <row r="970" customFormat="false" ht="12.75" hidden="false" customHeight="true" outlineLevel="0" collapsed="false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</row>
    <row r="971" customFormat="false" ht="12.75" hidden="false" customHeight="tru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</row>
    <row r="972" customFormat="false" ht="12.75" hidden="false" customHeight="true" outlineLevel="0" collapsed="false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</row>
    <row r="973" customFormat="false" ht="12.75" hidden="false" customHeight="true" outlineLevel="0" collapsed="false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</row>
    <row r="974" customFormat="false" ht="12.75" hidden="false" customHeight="true" outlineLevel="0" collapsed="false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</row>
    <row r="975" customFormat="false" ht="12.75" hidden="false" customHeight="true" outlineLevel="0" collapsed="false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</row>
    <row r="976" customFormat="false" ht="12.75" hidden="false" customHeight="true" outlineLevel="0" collapsed="false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</row>
    <row r="977" customFormat="false" ht="12.75" hidden="false" customHeight="true" outlineLevel="0" collapsed="false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</row>
    <row r="978" customFormat="false" ht="12.75" hidden="false" customHeight="true" outlineLevel="0" collapsed="false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</row>
    <row r="979" customFormat="false" ht="12.75" hidden="false" customHeight="true" outlineLevel="0" collapsed="false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</row>
    <row r="980" customFormat="false" ht="12.75" hidden="false" customHeight="true" outlineLevel="0" collapsed="false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</row>
    <row r="981" customFormat="false" ht="12.75" hidden="false" customHeight="true" outlineLevel="0" collapsed="false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</row>
    <row r="982" customFormat="false" ht="12.75" hidden="false" customHeight="true" outlineLevel="0" collapsed="false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</row>
    <row r="983" customFormat="false" ht="12.75" hidden="false" customHeight="true" outlineLevel="0" collapsed="false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</row>
    <row r="984" customFormat="false" ht="12.75" hidden="false" customHeight="true" outlineLevel="0" collapsed="false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</row>
    <row r="985" customFormat="false" ht="12.75" hidden="false" customHeight="true" outlineLevel="0" collapsed="false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</row>
    <row r="986" customFormat="false" ht="12.75" hidden="false" customHeight="true" outlineLevel="0" collapsed="false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</row>
    <row r="987" customFormat="false" ht="12.75" hidden="false" customHeight="true" outlineLevel="0" collapsed="false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</row>
    <row r="988" customFormat="false" ht="12.75" hidden="false" customHeight="true" outlineLevel="0" collapsed="false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</row>
    <row r="989" customFormat="false" ht="12.75" hidden="false" customHeight="true" outlineLevel="0" collapsed="false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</row>
    <row r="990" customFormat="false" ht="12.75" hidden="false" customHeight="true" outlineLevel="0" collapsed="false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</row>
    <row r="991" customFormat="false" ht="12.75" hidden="false" customHeight="true" outlineLevel="0" collapsed="false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</row>
    <row r="992" customFormat="false" ht="12.75" hidden="false" customHeight="true" outlineLevel="0" collapsed="false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</row>
    <row r="993" customFormat="false" ht="12.75" hidden="false" customHeight="true" outlineLevel="0" collapsed="false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</row>
    <row r="994" customFormat="false" ht="12.75" hidden="false" customHeight="true" outlineLevel="0" collapsed="false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</row>
    <row r="995" customFormat="false" ht="12.75" hidden="false" customHeight="true" outlineLevel="0" collapsed="false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</row>
    <row r="996" customFormat="false" ht="12.75" hidden="false" customHeight="true" outlineLevel="0" collapsed="false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</row>
    <row r="997" customFormat="false" ht="12.75" hidden="false" customHeight="true" outlineLevel="0" collapsed="false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</row>
    <row r="998" customFormat="false" ht="12.75" hidden="false" customHeight="true" outlineLevel="0" collapsed="false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</row>
  </sheetData>
  <mergeCells count="2">
    <mergeCell ref="C2:D2"/>
    <mergeCell ref="C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LibreOffice/6.3.0.4$Linux_X86_64 LibreOffice_project/714e3e990d6aa57321bebab01999254e7bc38485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2019-08-30T10:13:27Z</dcterms:modified>
  <cp:revision>3</cp:revision>
  <dc:subject/>
  <dc:title/>
</cp:coreProperties>
</file>